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咨询报告\2023-1-0844北京市大兴区沐新路2号\"/>
    </mc:Choice>
  </mc:AlternateContent>
  <xr:revisionPtr revIDLastSave="0" documentId="13_ncr:1_{EB160316-8DE2-4B6B-AFB7-E040A66DE076}" xr6:coauthVersionLast="45" xr6:coauthVersionMax="45" xr10:uidLastSave="{00000000-0000-0000-0000-000000000000}"/>
  <bookViews>
    <workbookView xWindow="-120" yWindow="-120" windowWidth="21840" windowHeight="13140" tabRatio="899" firstSheet="8"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 sheetId="21" r:id="rId26"/>
    <sheet name="Sheet1 (2)" sheetId="8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5" hidden="1">比较法!$A$1:$L$49</definedName>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5">比较法!$A$1:$K$54,比较法!$A$57:$M$131</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比较法!$B$88:$M$88</definedName>
    <definedName name="住宅房型">比较法!$B$118:$M$118</definedName>
    <definedName name="住宅公共部分装修">比较法!$B$109:$M$109</definedName>
    <definedName name="住宅基础设施水平">比较法!$B$116:$M$116</definedName>
    <definedName name="住宅建筑结构">比较法!$B$105:$M$105</definedName>
    <definedName name="住宅建筑类型">比较法!$B$100:$M$100</definedName>
    <definedName name="住宅建筑品质">比较法!$B$107:$M$107</definedName>
    <definedName name="住宅交易情况">比较法!$A$61:$M$61</definedName>
    <definedName name="住宅楼层">比较法!$B$86:$M$86</definedName>
    <definedName name="住宅内部装修">比较法!$B$122:$M$122</definedName>
    <definedName name="住宅物业管理">比较法!$B$114:$M$114</definedName>
    <definedName name="住宅用途">比较法!$B$63:$M$63</definedName>
    <definedName name="住宅主力户型面积">比较法!$B$120:$M$120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7" i="21" l="1"/>
  <c r="E5" i="21"/>
  <c r="I47" i="21"/>
  <c r="G47" i="21"/>
  <c r="F19" i="6"/>
  <c r="I5" i="21"/>
  <c r="G5" i="21"/>
  <c r="B27" i="81"/>
  <c r="B26" i="81"/>
  <c r="B25" i="81"/>
  <c r="B24" i="81"/>
  <c r="B23" i="81"/>
  <c r="B22" i="81"/>
  <c r="B21" i="81"/>
  <c r="B20" i="81"/>
  <c r="B19" i="81"/>
  <c r="B18" i="81"/>
  <c r="B17" i="81"/>
  <c r="B16" i="81"/>
  <c r="B15" i="81"/>
  <c r="B14" i="81"/>
  <c r="B13" i="81"/>
  <c r="B12" i="81"/>
  <c r="B11" i="81"/>
  <c r="B10" i="81"/>
  <c r="B9" i="81"/>
  <c r="B8" i="81"/>
  <c r="B7" i="81"/>
  <c r="B6" i="81"/>
  <c r="B5" i="81"/>
  <c r="B4" i="81"/>
  <c r="B3" i="81"/>
  <c r="I44" i="21" l="1"/>
  <c r="G44" i="21"/>
  <c r="E44" i="21"/>
  <c r="I7" i="21"/>
  <c r="G7" i="21"/>
  <c r="P27" i="79" l="1"/>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D34" i="79" s="1"/>
  <c r="AB33" i="79"/>
  <c r="AA33" i="79"/>
  <c r="Z33" i="79"/>
  <c r="N33" i="79"/>
  <c r="U33" i="79" s="1"/>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c r="D53" i="71"/>
  <c r="Q52" i="71"/>
  <c r="P52" i="71"/>
  <c r="O52" i="71"/>
  <c r="N52" i="71"/>
  <c r="Q51" i="71"/>
  <c r="P51" i="71"/>
  <c r="O51" i="71"/>
  <c r="N51" i="71"/>
  <c r="Q50" i="71"/>
  <c r="P50" i="71"/>
  <c r="O50" i="71"/>
  <c r="C51" i="71" s="1"/>
  <c r="N50" i="71"/>
  <c r="Q49" i="71"/>
  <c r="F50"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N45" i="71"/>
  <c r="B46" i="71"/>
  <c r="B47" i="71" s="1"/>
  <c r="B48" i="71"/>
  <c r="S48" i="71" s="1"/>
  <c r="D45" i="71"/>
  <c r="Q44" i="71"/>
  <c r="P44" i="71"/>
  <c r="O44" i="71"/>
  <c r="N44" i="71"/>
  <c r="Q43" i="71"/>
  <c r="P43" i="71"/>
  <c r="O43" i="71"/>
  <c r="N43" i="71"/>
  <c r="Q42" i="71"/>
  <c r="P42" i="71"/>
  <c r="O42" i="71"/>
  <c r="N42" i="71"/>
  <c r="Q41" i="71"/>
  <c r="F42" i="71" s="1"/>
  <c r="F43" i="71" s="1"/>
  <c r="F44" i="71" s="1"/>
  <c r="V44" i="71" s="1"/>
  <c r="P41" i="71"/>
  <c r="E42" i="71" s="1"/>
  <c r="E43" i="71"/>
  <c r="E44" i="71" s="1"/>
  <c r="U44" i="71" s="1"/>
  <c r="O41" i="71"/>
  <c r="C42" i="71"/>
  <c r="D42" i="71" s="1"/>
  <c r="N41" i="71"/>
  <c r="B42" i="71"/>
  <c r="B43" i="71" s="1"/>
  <c r="B44" i="71"/>
  <c r="S44" i="71" s="1"/>
  <c r="D41" i="71"/>
  <c r="Q40" i="71"/>
  <c r="P40" i="71"/>
  <c r="O40" i="71"/>
  <c r="N40" i="71"/>
  <c r="Q39" i="71"/>
  <c r="P39" i="71"/>
  <c r="AA39" i="71"/>
  <c r="O39" i="71"/>
  <c r="Y39" i="71"/>
  <c r="Z39" i="71" s="1"/>
  <c r="N39" i="71"/>
  <c r="Q38" i="71"/>
  <c r="P38" i="71"/>
  <c r="AA38" i="71" s="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N35" i="71"/>
  <c r="Q34" i="71"/>
  <c r="P34" i="71"/>
  <c r="AA34" i="71" s="1"/>
  <c r="O34" i="71"/>
  <c r="Y34" i="71"/>
  <c r="Z34" i="71" s="1"/>
  <c r="N34" i="71"/>
  <c r="Q33" i="71"/>
  <c r="F34" i="71" s="1"/>
  <c r="F35" i="71" s="1"/>
  <c r="F36" i="71" s="1"/>
  <c r="V36" i="71" s="1"/>
  <c r="P33" i="71"/>
  <c r="O33" i="71"/>
  <c r="N33" i="71"/>
  <c r="D33" i="71"/>
  <c r="Q32" i="71"/>
  <c r="P32" i="71"/>
  <c r="O32" i="71"/>
  <c r="Y32" i="71"/>
  <c r="Z32" i="71" s="1"/>
  <c r="N32" i="71"/>
  <c r="Q31" i="71"/>
  <c r="P31" i="71"/>
  <c r="O31" i="71"/>
  <c r="N31" i="71"/>
  <c r="Q30" i="71"/>
  <c r="AB30" i="71" s="1"/>
  <c r="P30" i="71"/>
  <c r="O30" i="71"/>
  <c r="N30" i="71"/>
  <c r="X30" i="71" s="1"/>
  <c r="Q29" i="71"/>
  <c r="F30" i="71" s="1"/>
  <c r="F31" i="71" s="1"/>
  <c r="F32" i="71" s="1"/>
  <c r="V32" i="71" s="1"/>
  <c r="P29" i="71"/>
  <c r="O29" i="71"/>
  <c r="N29" i="71"/>
  <c r="D29" i="71"/>
  <c r="O28" i="71"/>
  <c r="C28" i="71" s="1"/>
  <c r="N28" i="71"/>
  <c r="B30" i="71"/>
  <c r="B31" i="71" s="1"/>
  <c r="B32" i="71" s="1"/>
  <c r="S32" i="71" s="1"/>
  <c r="X29" i="71"/>
  <c r="B34" i="71"/>
  <c r="B35" i="71" s="1"/>
  <c r="B36" i="71"/>
  <c r="S36" i="71" s="1"/>
  <c r="X33" i="71"/>
  <c r="E38" i="71"/>
  <c r="E39" i="71" s="1"/>
  <c r="E40" i="71" s="1"/>
  <c r="U40" i="71" s="1"/>
  <c r="AA37" i="71"/>
  <c r="E34" i="71"/>
  <c r="E35" i="71" s="1"/>
  <c r="E36" i="71"/>
  <c r="U36" i="71" s="1"/>
  <c r="AA33" i="71"/>
  <c r="C30" i="71"/>
  <c r="Y29" i="71"/>
  <c r="Z29" i="71" s="1"/>
  <c r="AB29" i="71"/>
  <c r="AA30" i="71"/>
  <c r="AA31" i="71"/>
  <c r="AA32" i="71"/>
  <c r="C34" i="71"/>
  <c r="C35" i="7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43" i="71"/>
  <c r="C47" i="71"/>
  <c r="D47" i="71" s="1"/>
  <c r="D46" i="71"/>
  <c r="D50" i="71"/>
  <c r="P28" i="71"/>
  <c r="E55" i="71"/>
  <c r="E56" i="71"/>
  <c r="U56" i="71" s="1"/>
  <c r="E59" i="71"/>
  <c r="E60" i="71" s="1"/>
  <c r="U60" i="71" s="1"/>
  <c r="E63" i="71"/>
  <c r="E64" i="71"/>
  <c r="U64" i="71" s="1"/>
  <c r="Q65" i="71"/>
  <c r="U68" i="71"/>
  <c r="E67" i="71"/>
  <c r="Q28" i="71"/>
  <c r="C55" i="71"/>
  <c r="D54" i="71"/>
  <c r="C59" i="71"/>
  <c r="D58" i="71"/>
  <c r="C63" i="71"/>
  <c r="D62"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s="1"/>
  <c r="C66" i="71"/>
  <c r="D66" i="71" s="1"/>
  <c r="O67" i="71"/>
  <c r="D67" i="71"/>
  <c r="C64" i="71"/>
  <c r="D63" i="71"/>
  <c r="D83" i="71"/>
  <c r="C82" i="71"/>
  <c r="D82" i="71" s="1"/>
  <c r="D75" i="71"/>
  <c r="C74" i="71"/>
  <c r="D74" i="71"/>
  <c r="D87" i="71"/>
  <c r="C86" i="71"/>
  <c r="D86" i="71" s="1"/>
  <c r="D79" i="71"/>
  <c r="C78" i="71"/>
  <c r="D78" i="71"/>
  <c r="D71" i="71"/>
  <c r="C70" i="71"/>
  <c r="D70" i="71" s="1"/>
  <c r="C60" i="71"/>
  <c r="T60" i="71" s="1"/>
  <c r="D59" i="71"/>
  <c r="C56" i="71"/>
  <c r="T56" i="71" s="1"/>
  <c r="D55" i="71"/>
  <c r="P67" i="71"/>
  <c r="E66" i="71"/>
  <c r="C52" i="71"/>
  <c r="T52" i="71" s="1"/>
  <c r="D51" i="71"/>
  <c r="C44" i="71"/>
  <c r="T44" i="71" s="1"/>
  <c r="D43" i="71"/>
  <c r="C36" i="71"/>
  <c r="T36" i="71" s="1"/>
  <c r="D35" i="71"/>
  <c r="C32" i="71"/>
  <c r="T32" i="71" s="1"/>
  <c r="D31" i="71"/>
  <c r="C26" i="71"/>
  <c r="D26" i="71" s="1"/>
  <c r="D27" i="71"/>
  <c r="V28" i="71"/>
  <c r="P65" i="71"/>
  <c r="P66" i="71"/>
  <c r="O66" i="71"/>
  <c r="O65" i="71"/>
  <c r="D32" i="71"/>
  <c r="D36" i="71"/>
  <c r="D44" i="71"/>
  <c r="D52" i="71"/>
  <c r="D56"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AB19" i="21" s="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C21" i="33"/>
  <c r="J21" i="21"/>
  <c r="AC21" i="21" s="1"/>
  <c r="C40" i="69"/>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B2" i="1"/>
  <c r="C7" i="34" s="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5" i="3" s="1"/>
  <c r="BT14" i="3"/>
  <c r="BT15" i="3"/>
  <c r="BT16" i="3"/>
  <c r="BT17" i="3"/>
  <c r="BM14" i="3"/>
  <c r="BM15" i="3"/>
  <c r="BL15" i="3" s="1"/>
  <c r="BM16" i="3"/>
  <c r="BM17" i="3"/>
  <c r="BO13" i="3"/>
  <c r="BO14" i="3"/>
  <c r="BO15" i="3"/>
  <c r="BO16" i="3"/>
  <c r="BO17" i="3"/>
  <c r="BN13" i="3"/>
  <c r="BN5" i="3" s="1"/>
  <c r="G29" i="6" s="1"/>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B5" i="3" s="1"/>
  <c r="E5" i="6" s="1"/>
  <c r="BC13" i="3"/>
  <c r="BD13" i="3"/>
  <c r="BE13" i="3"/>
  <c r="BF13" i="3"/>
  <c r="BF5" i="3" s="1"/>
  <c r="BG13" i="3"/>
  <c r="BH13" i="3"/>
  <c r="BI13" i="3"/>
  <c r="BJ13" i="3"/>
  <c r="BJ5" i="3" s="1"/>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AZ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H12" i="34" s="1"/>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S9" i="21" s="1"/>
  <c r="G18" i="20"/>
  <c r="B90" i="43"/>
  <c r="G19" i="20"/>
  <c r="B87" i="43"/>
  <c r="G16" i="20"/>
  <c r="B84" i="43"/>
  <c r="G15" i="20"/>
  <c r="B83" i="43"/>
  <c r="C24" i="20"/>
  <c r="B97" i="43" s="1"/>
  <c r="C21" i="20"/>
  <c r="B99" i="43" s="1"/>
  <c r="C20" i="20"/>
  <c r="B101" i="43" s="1"/>
  <c r="C18" i="20"/>
  <c r="B94" i="43" s="1"/>
  <c r="C17" i="20"/>
  <c r="B61" i="43"/>
  <c r="C16" i="20"/>
  <c r="C17" i="39"/>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c r="B130" i="21"/>
  <c r="B128" i="21"/>
  <c r="J45" i="21" s="1"/>
  <c r="B126" i="21"/>
  <c r="J44" i="21" s="1"/>
  <c r="B98" i="21"/>
  <c r="H31" i="21" s="1"/>
  <c r="B96" i="21"/>
  <c r="B94" i="21"/>
  <c r="J29" i="21"/>
  <c r="AC29" i="21" s="1"/>
  <c r="B92" i="21"/>
  <c r="B90" i="21"/>
  <c r="J27" i="21"/>
  <c r="W27" i="21" s="1"/>
  <c r="B74" i="21"/>
  <c r="B72" i="21"/>
  <c r="H13" i="21"/>
  <c r="AB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H36" i="21"/>
  <c r="U36" i="21" s="1"/>
  <c r="F35" i="21"/>
  <c r="AA35" i="21" s="1"/>
  <c r="J10" i="21"/>
  <c r="AC10" i="21" s="1"/>
  <c r="H26" i="21"/>
  <c r="AB26"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W22" i="35"/>
  <c r="S31" i="35"/>
  <c r="F36" i="34"/>
  <c r="J35" i="34"/>
  <c r="U34" i="34"/>
  <c r="H39" i="33"/>
  <c r="AB39" i="33" s="1"/>
  <c r="F26" i="33"/>
  <c r="AA26" i="33" s="1"/>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C27" i="39"/>
  <c r="H11" i="39"/>
  <c r="S40" i="39"/>
  <c r="H32" i="33"/>
  <c r="AB32" i="33"/>
  <c r="H11" i="21"/>
  <c r="U11" i="21" s="1"/>
  <c r="J11" i="21"/>
  <c r="W11" i="21" s="1"/>
  <c r="H37" i="40"/>
  <c r="U37" i="40"/>
  <c r="H36" i="40"/>
  <c r="AB36" i="40"/>
  <c r="F35" i="40"/>
  <c r="AA35" i="40"/>
  <c r="H23" i="40"/>
  <c r="AB23" i="40"/>
  <c r="H17" i="40"/>
  <c r="U17" i="40"/>
  <c r="J15" i="40"/>
  <c r="W15" i="40"/>
  <c r="J11" i="40"/>
  <c r="W11" i="40"/>
  <c r="AB8" i="39"/>
  <c r="AB12" i="33"/>
  <c r="AB12" i="35"/>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c r="F23" i="35"/>
  <c r="AA23"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8" i="34"/>
  <c r="AA28" i="34"/>
  <c r="F27" i="34"/>
  <c r="AA27"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J42" i="21"/>
  <c r="AC42" i="21" s="1"/>
  <c r="H42" i="21"/>
  <c r="U42" i="21" s="1"/>
  <c r="J44" i="34"/>
  <c r="F44" i="34"/>
  <c r="AA44" i="34"/>
  <c r="J10" i="35"/>
  <c r="AC10" i="35" s="1"/>
  <c r="BL587" i="3"/>
  <c r="J14" i="21"/>
  <c r="W14" i="21" s="1"/>
  <c r="F14" i="21"/>
  <c r="S14" i="21" s="1"/>
  <c r="H14" i="21"/>
  <c r="U14" i="21" s="1"/>
  <c r="H28" i="21"/>
  <c r="AB28" i="21"/>
  <c r="F28" i="21"/>
  <c r="AA28" i="21"/>
  <c r="J28" i="21"/>
  <c r="W28" i="21"/>
  <c r="H30" i="21"/>
  <c r="U30" i="21"/>
  <c r="F30" i="21"/>
  <c r="S30" i="21"/>
  <c r="J30" i="21"/>
  <c r="AC30"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c r="F27" i="21"/>
  <c r="AA27" i="21"/>
  <c r="H29" i="21"/>
  <c r="U29" i="21"/>
  <c r="J31" i="21"/>
  <c r="AC31" i="21"/>
  <c r="F31" i="21"/>
  <c r="S31" i="21"/>
  <c r="F45" i="21"/>
  <c r="AA45" i="21" s="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AZ585" i="3"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AZ557" i="3" s="1"/>
  <c r="BQ583" i="3"/>
  <c r="BL583" i="3" s="1"/>
  <c r="AZ583" i="3" s="1"/>
  <c r="BQ581" i="3"/>
  <c r="BL581" i="3"/>
  <c r="AZ581" i="3" s="1"/>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s="1"/>
  <c r="BQ521" i="3"/>
  <c r="BL521" i="3" s="1"/>
  <c r="AZ521" i="3" s="1"/>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6"/>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H5" i="3"/>
  <c r="BD5" i="3"/>
  <c r="AZ309" i="3"/>
  <c r="AZ317" i="3"/>
  <c r="AZ325" i="3"/>
  <c r="AZ333" i="3"/>
  <c r="AZ341" i="3"/>
  <c r="BQ5" i="3"/>
  <c r="F28" i="6" s="1"/>
  <c r="AC5" i="3"/>
  <c r="AZ549" i="3"/>
  <c r="AZ506" i="3"/>
  <c r="AZ496" i="3"/>
  <c r="G548" i="3"/>
  <c r="G538" i="3"/>
  <c r="G520" i="3"/>
  <c r="G502" i="3"/>
  <c r="BS5" i="3"/>
  <c r="BP5" i="3"/>
  <c r="BK5" i="3"/>
  <c r="BI5" i="3"/>
  <c r="BG5" i="3"/>
  <c r="BE5" i="3"/>
  <c r="BC5" i="3"/>
  <c r="G17" i="3"/>
  <c r="BA17" i="3"/>
  <c r="AZ350" i="3"/>
  <c r="AZ356" i="3"/>
  <c r="AZ364" i="3"/>
  <c r="AZ368" i="3"/>
  <c r="BA15" i="3"/>
  <c r="AZ15" i="3" s="1"/>
  <c r="BR5" i="3"/>
  <c r="AZ380" i="3"/>
  <c r="AZ388" i="3"/>
  <c r="AZ396" i="3"/>
  <c r="AZ499" i="3"/>
  <c r="AZ509" i="3"/>
  <c r="G509" i="3"/>
  <c r="BL493" i="3"/>
  <c r="AZ491" i="3"/>
  <c r="AZ390" i="3"/>
  <c r="AZ493" i="3"/>
  <c r="U36" i="40"/>
  <c r="F83" i="43"/>
  <c r="H85" i="43" s="1"/>
  <c r="F50" i="43"/>
  <c r="H54" i="43" s="1"/>
  <c r="F72" i="43"/>
  <c r="H75" i="43" s="1"/>
  <c r="U17" i="39"/>
  <c r="S14" i="35"/>
  <c r="U35" i="21"/>
  <c r="AC35" i="21"/>
  <c r="G8" i="1"/>
  <c r="G10" i="1"/>
  <c r="AC11" i="39"/>
  <c r="AZ563" i="3"/>
  <c r="AZ501" i="3"/>
  <c r="W37" i="37"/>
  <c r="W44" i="34"/>
  <c r="AC44" i="34"/>
  <c r="S15" i="37"/>
  <c r="U13" i="37"/>
  <c r="U12" i="40"/>
  <c r="AA12" i="40"/>
  <c r="J37" i="33"/>
  <c r="W37" i="33" s="1"/>
  <c r="AC17" i="34"/>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J10" i="33"/>
  <c r="W10" i="33" s="1"/>
  <c r="H10" i="33"/>
  <c r="U10" i="33" s="1"/>
  <c r="AC11" i="33"/>
  <c r="AB14" i="33"/>
  <c r="W43" i="21"/>
  <c r="W36" i="21"/>
  <c r="W41" i="21"/>
  <c r="AA43" i="21"/>
  <c r="S39" i="21"/>
  <c r="AA38" i="21"/>
  <c r="AA36" i="21"/>
  <c r="AC40" i="21"/>
  <c r="J15" i="21"/>
  <c r="W15" i="21" s="1"/>
  <c r="F77" i="21"/>
  <c r="G77" i="2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5"/>
  <c r="C48" i="35" s="1"/>
  <c r="D48" i="35" s="1"/>
  <c r="C7" i="21"/>
  <c r="M47" i="9"/>
  <c r="C46" i="36"/>
  <c r="D46" i="36" s="1"/>
  <c r="E46" i="36" s="1"/>
  <c r="F46" i="36" s="1"/>
  <c r="G46" i="36" s="1"/>
  <c r="H46" i="36" s="1"/>
  <c r="I46" i="36"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AB42" i="21"/>
  <c r="U28" i="21"/>
  <c r="S45" i="21"/>
  <c r="F33" i="21"/>
  <c r="AA33" i="21" s="1"/>
  <c r="J33" i="21"/>
  <c r="AC33" i="21" s="1"/>
  <c r="H33" i="21"/>
  <c r="AB33" i="21" s="1"/>
  <c r="F37" i="21"/>
  <c r="AA37" i="21" s="1"/>
  <c r="AA26" i="21"/>
  <c r="AB14" i="21"/>
  <c r="AB46" i="21"/>
  <c r="U40" i="21"/>
  <c r="U13" i="21"/>
  <c r="S35" i="21"/>
  <c r="J37" i="21"/>
  <c r="W37" i="21" s="1"/>
  <c r="H15" i="21"/>
  <c r="U15" i="21" s="1"/>
  <c r="J17" i="21"/>
  <c r="AC17" i="21" s="1"/>
  <c r="AC14" i="21"/>
  <c r="W30" i="21"/>
  <c r="S46" i="21"/>
  <c r="H45" i="21"/>
  <c r="U45" i="21" s="1"/>
  <c r="F29" i="21"/>
  <c r="S29" i="21"/>
  <c r="F13" i="21"/>
  <c r="AA13" i="21"/>
  <c r="H9" i="21"/>
  <c r="U9" i="21" s="1"/>
  <c r="J9" i="21"/>
  <c r="AC9" i="21" s="1"/>
  <c r="J32" i="21"/>
  <c r="W32" i="21" s="1"/>
  <c r="F32" i="21"/>
  <c r="S32" i="21" s="1"/>
  <c r="AA31" i="21"/>
  <c r="W29" i="21"/>
  <c r="S19" i="21"/>
  <c r="AA9" i="21"/>
  <c r="K141" i="21"/>
  <c r="K144" i="21"/>
  <c r="K143" i="21"/>
  <c r="U27" i="21"/>
  <c r="AB25" i="21"/>
  <c r="AA30" i="21"/>
  <c r="F10" i="21"/>
  <c r="AA10" i="21" s="1"/>
  <c r="K145" i="21"/>
  <c r="W25" i="21"/>
  <c r="AA29" i="21"/>
  <c r="W31" i="21"/>
  <c r="S27" i="21"/>
  <c r="AA15" i="21"/>
  <c r="AC27" i="21"/>
  <c r="AC26" i="21"/>
  <c r="AB29" i="21"/>
  <c r="S28" i="21"/>
  <c r="W12" i="21"/>
  <c r="AB36" i="21"/>
  <c r="W30" i="40"/>
  <c r="C19" i="39"/>
  <c r="C15" i="40"/>
  <c r="C17" i="40"/>
  <c r="C23" i="40"/>
  <c r="C21" i="40"/>
  <c r="U30" i="40"/>
  <c r="B56" i="43"/>
  <c r="B67" i="43"/>
  <c r="B51" i="43"/>
  <c r="B54"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AA23" i="21"/>
  <c r="J23" i="21"/>
  <c r="W23" i="21" s="1"/>
  <c r="F85" i="21"/>
  <c r="G85" i="21"/>
  <c r="H23" i="21"/>
  <c r="U23" i="21" s="1"/>
  <c r="S13" i="21"/>
  <c r="D6" i="52"/>
  <c r="AP7" i="1"/>
  <c r="A18" i="62"/>
  <c r="B64" i="72" s="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9" i="15"/>
  <c r="M24" i="15"/>
  <c r="F7" i="67"/>
  <c r="D35" i="9"/>
  <c r="M26" i="15"/>
  <c r="F38" i="15"/>
  <c r="F7" i="73"/>
  <c r="M28" i="15"/>
  <c r="L48" i="67"/>
  <c r="C76" i="15"/>
  <c r="F6" i="67"/>
  <c r="F36" i="67"/>
  <c r="J15" i="67"/>
  <c r="E13" i="76"/>
  <c r="E2" i="69"/>
  <c r="F5" i="73"/>
  <c r="F13" i="67"/>
  <c r="J15" i="15"/>
  <c r="E8" i="76"/>
  <c r="F8" i="15"/>
  <c r="M9" i="67"/>
  <c r="B13" i="76"/>
  <c r="F4" i="73"/>
  <c r="E10" i="76"/>
  <c r="F6" i="15"/>
  <c r="F8" i="67"/>
  <c r="F43" i="15"/>
  <c r="F6" i="73"/>
  <c r="F16" i="67"/>
  <c r="B10" i="76"/>
  <c r="M6" i="15"/>
  <c r="F16" i="15"/>
  <c r="E2" i="68"/>
  <c r="B7" i="76"/>
  <c r="M6" i="67"/>
  <c r="F38" i="67"/>
  <c r="E12" i="76"/>
  <c r="F20" i="31"/>
  <c r="M22" i="15"/>
  <c r="F26" i="67"/>
  <c r="F40" i="67"/>
  <c r="F42" i="67"/>
  <c r="M9" i="15"/>
  <c r="F13" i="15"/>
  <c r="L47" i="67"/>
  <c r="L47" i="15"/>
  <c r="D6" i="73"/>
  <c r="M23" i="67"/>
  <c r="L48" i="15"/>
  <c r="AO13" i="1"/>
  <c r="M29" i="67"/>
  <c r="M23" i="15"/>
  <c r="E11" i="76"/>
  <c r="D19" i="9"/>
  <c r="D4" i="73"/>
  <c r="F3" i="73"/>
  <c r="M24" i="67"/>
  <c r="M8" i="67"/>
  <c r="F9" i="67"/>
  <c r="M8" i="15"/>
  <c r="D34" i="9"/>
  <c r="B12" i="76"/>
  <c r="D5" i="73"/>
  <c r="B8" i="76"/>
  <c r="E7" i="76"/>
  <c r="F43" i="67"/>
  <c r="B11" i="76"/>
  <c r="M26" i="67"/>
  <c r="F26" i="15"/>
  <c r="E9" i="76"/>
  <c r="B9" i="76"/>
  <c r="M29" i="15"/>
  <c r="D3" i="73"/>
  <c r="M28" i="67"/>
  <c r="C76" i="67"/>
  <c r="F37" i="15"/>
  <c r="D20" i="9"/>
  <c r="F40" i="15"/>
  <c r="D7" i="73"/>
  <c r="F37" i="67"/>
  <c r="M22" i="67"/>
  <c r="F42" i="15"/>
  <c r="F7" i="15"/>
  <c r="F36" i="15"/>
  <c r="J34" i="21" l="1"/>
  <c r="W34" i="21" s="1"/>
  <c r="F34" i="21"/>
  <c r="AA34" i="21" s="1"/>
  <c r="AB23" i="21"/>
  <c r="C15" i="39"/>
  <c r="B65" i="43"/>
  <c r="B69" i="43"/>
  <c r="B58" i="43"/>
  <c r="C25" i="39"/>
  <c r="B79" i="43"/>
  <c r="B62" i="43"/>
  <c r="C21" i="39"/>
  <c r="W44" i="21"/>
  <c r="AC44" i="21"/>
  <c r="F44" i="21"/>
  <c r="H44" i="21"/>
  <c r="F17" i="21"/>
  <c r="W39" i="21"/>
  <c r="H32" i="21"/>
  <c r="AB32" i="21" s="1"/>
  <c r="S40" i="21"/>
  <c r="S37" i="21"/>
  <c r="AB45" i="21"/>
  <c r="U43" i="21"/>
  <c r="W42" i="21"/>
  <c r="AB39" i="21"/>
  <c r="AC38" i="21"/>
  <c r="S34" i="21"/>
  <c r="AC34" i="21"/>
  <c r="U34" i="21"/>
  <c r="AA32" i="21"/>
  <c r="AC23" i="21"/>
  <c r="AB21" i="21"/>
  <c r="AC19" i="21"/>
  <c r="U17" i="21"/>
  <c r="B73" i="43"/>
  <c r="B76" i="43"/>
  <c r="B75" i="43"/>
  <c r="AB15" i="21"/>
  <c r="AC15" i="21"/>
  <c r="W13" i="21"/>
  <c r="AA12" i="21"/>
  <c r="AB9" i="21"/>
  <c r="W9" i="21"/>
  <c r="A118" i="9"/>
  <c r="C28" i="67"/>
  <c r="G23" i="43"/>
  <c r="O23" i="43" s="1"/>
  <c r="C7" i="40"/>
  <c r="C63" i="40" s="1"/>
  <c r="C7" i="33"/>
  <c r="C58" i="33" s="1"/>
  <c r="D58" i="33" s="1"/>
  <c r="E58" i="33" s="1"/>
  <c r="F58" i="33" s="1"/>
  <c r="G58" i="33" s="1"/>
  <c r="H58" i="33" s="1"/>
  <c r="I58" i="33" s="1"/>
  <c r="J58" i="33" s="1"/>
  <c r="K58" i="33" s="1"/>
  <c r="L58" i="33" s="1"/>
  <c r="M58" i="33" s="1"/>
  <c r="N58" i="33" s="1"/>
  <c r="O58" i="33" s="1"/>
  <c r="C7" i="39"/>
  <c r="C67" i="39" s="1"/>
  <c r="E19" i="71"/>
  <c r="E18" i="71" s="1"/>
  <c r="E17" i="71" s="1"/>
  <c r="E16" i="71" s="1"/>
  <c r="V20" i="71"/>
  <c r="C16" i="71"/>
  <c r="D17" i="71"/>
  <c r="D19" i="53"/>
  <c r="B38" i="72" s="1"/>
  <c r="D16" i="53"/>
  <c r="B34" i="72" s="1"/>
  <c r="AB31" i="21"/>
  <c r="U31" i="21"/>
  <c r="W45" i="21"/>
  <c r="AC45" i="21"/>
  <c r="AB9" i="34"/>
  <c r="U9" i="34"/>
  <c r="AB9" i="33"/>
  <c r="U9" i="33"/>
  <c r="U12" i="34"/>
  <c r="AB12" i="34"/>
  <c r="AC11" i="35"/>
  <c r="J12" i="35"/>
  <c r="H36" i="35"/>
  <c r="J36" i="35"/>
  <c r="J23" i="36"/>
  <c r="H23" i="36"/>
  <c r="F23" i="36"/>
  <c r="W31" i="35"/>
  <c r="AC31" i="35"/>
  <c r="G551" i="3"/>
  <c r="G5" i="3" s="1"/>
  <c r="B3" i="3" s="1"/>
  <c r="BL548" i="3"/>
  <c r="AZ548" i="3" s="1"/>
  <c r="AZ489" i="3"/>
  <c r="W17" i="21"/>
  <c r="BA5" i="3"/>
  <c r="U12" i="39"/>
  <c r="G28" i="6"/>
  <c r="E28" i="6" s="1"/>
  <c r="K14" i="1" s="1"/>
  <c r="K16" i="1" s="1"/>
  <c r="F29" i="6"/>
  <c r="AA41" i="34"/>
  <c r="J9" i="34"/>
  <c r="F9" i="34"/>
  <c r="AA9" i="34" s="1"/>
  <c r="J12" i="34"/>
  <c r="F12" i="34"/>
  <c r="J34" i="35"/>
  <c r="H34" i="35"/>
  <c r="F34" i="35"/>
  <c r="AZ398" i="3"/>
  <c r="AZ405" i="3"/>
  <c r="AZ407" i="3"/>
  <c r="AZ410" i="3"/>
  <c r="AZ415" i="3"/>
  <c r="AZ420" i="3"/>
  <c r="AZ426" i="3"/>
  <c r="AZ431" i="3"/>
  <c r="AZ436" i="3"/>
  <c r="AZ448" i="3"/>
  <c r="AZ452" i="3"/>
  <c r="AZ461" i="3"/>
  <c r="AZ463" i="3"/>
  <c r="AZ468" i="3"/>
  <c r="AZ470" i="3"/>
  <c r="AZ479" i="3"/>
  <c r="AZ485" i="3"/>
  <c r="AZ385" i="3"/>
  <c r="AZ210" i="3"/>
  <c r="AZ225" i="3"/>
  <c r="AZ239" i="3"/>
  <c r="AZ255" i="3"/>
  <c r="AZ272" i="3"/>
  <c r="AZ276" i="3"/>
  <c r="AZ289" i="3"/>
  <c r="AZ294" i="3"/>
  <c r="AZ300" i="3"/>
  <c r="AZ118" i="3"/>
  <c r="AZ121" i="3"/>
  <c r="AZ134" i="3"/>
  <c r="AZ137" i="3"/>
  <c r="AZ145" i="3"/>
  <c r="AZ161" i="3"/>
  <c r="AZ177" i="3"/>
  <c r="AZ193" i="3"/>
  <c r="AZ34" i="3"/>
  <c r="AZ38" i="3"/>
  <c r="AZ44" i="3"/>
  <c r="AZ48" i="3"/>
  <c r="AZ60" i="3"/>
  <c r="AZ73" i="3"/>
  <c r="AZ78" i="3"/>
  <c r="AZ87" i="3"/>
  <c r="AZ91" i="3"/>
  <c r="AZ95" i="3"/>
  <c r="AZ98" i="3"/>
  <c r="AZ100" i="3"/>
  <c r="AZ104" i="3"/>
  <c r="S21" i="21"/>
  <c r="U18" i="36"/>
  <c r="X25" i="71"/>
  <c r="X27" i="71"/>
  <c r="E30" i="71"/>
  <c r="E31" i="71" s="1"/>
  <c r="E32" i="71" s="1"/>
  <c r="U32" i="71" s="1"/>
  <c r="AA29" i="71"/>
  <c r="Y35" i="71"/>
  <c r="Z35" i="71" s="1"/>
  <c r="Y33" i="71"/>
  <c r="Z33" i="71" s="1"/>
  <c r="B38" i="71"/>
  <c r="B39" i="71" s="1"/>
  <c r="B40" i="71" s="1"/>
  <c r="S40" i="71" s="1"/>
  <c r="X37" i="71"/>
  <c r="AB38" i="71"/>
  <c r="AB37" i="71"/>
  <c r="AB10" i="71"/>
  <c r="AB9" i="71"/>
  <c r="AB39" i="71"/>
  <c r="S68" i="71"/>
  <c r="B67" i="71"/>
  <c r="N68" i="71"/>
  <c r="C39" i="71"/>
  <c r="Y30" i="71"/>
  <c r="Z30" i="71" s="1"/>
  <c r="Y31" i="71"/>
  <c r="Z31" i="71" s="1"/>
  <c r="AB31" i="71"/>
  <c r="X31" i="71"/>
  <c r="X32" i="71"/>
  <c r="AB32" i="71"/>
  <c r="AB34" i="71"/>
  <c r="AB33" i="71"/>
  <c r="AA35" i="71"/>
  <c r="AA36" i="71"/>
  <c r="X9" i="71"/>
  <c r="X10" i="71"/>
  <c r="X39" i="71"/>
  <c r="AB24" i="71"/>
  <c r="Y24" i="71"/>
  <c r="Z24" i="71" s="1"/>
  <c r="AB23" i="71"/>
  <c r="Y21" i="71"/>
  <c r="Z21" i="71" s="1"/>
  <c r="AB21" i="71"/>
  <c r="AA21" i="71"/>
  <c r="X21" i="71"/>
  <c r="X17" i="71"/>
  <c r="Y17" i="71"/>
  <c r="Z17" i="71" s="1"/>
  <c r="AA17" i="71"/>
  <c r="AB18" i="71"/>
  <c r="Y13" i="71"/>
  <c r="Z13" i="71" s="1"/>
  <c r="AB13" i="71"/>
  <c r="Y9" i="71"/>
  <c r="Z9" i="71" s="1"/>
  <c r="Y10" i="71"/>
  <c r="Z10" i="71" s="1"/>
  <c r="AA9" i="71"/>
  <c r="AA10" i="71"/>
  <c r="X24" i="71"/>
  <c r="AA24" i="71"/>
  <c r="AA23" i="71"/>
  <c r="AA22" i="71"/>
  <c r="Y18" i="71"/>
  <c r="Z18" i="71" s="1"/>
  <c r="X18" i="71"/>
  <c r="AA18" i="71"/>
  <c r="Y23" i="71"/>
  <c r="Z23" i="71" s="1"/>
  <c r="Y22" i="71"/>
  <c r="Z22" i="71" s="1"/>
  <c r="X22" i="71"/>
  <c r="X15" i="71"/>
  <c r="AA15" i="71"/>
  <c r="AB11" i="71"/>
  <c r="Y11" i="71"/>
  <c r="Z11" i="71" s="1"/>
  <c r="Y12" i="71"/>
  <c r="Z12" i="71" s="1"/>
  <c r="Y14" i="71"/>
  <c r="Z14" i="71" s="1"/>
  <c r="AA12" i="71"/>
  <c r="AA14" i="71"/>
  <c r="X13" i="71"/>
  <c r="AB15" i="71"/>
  <c r="AB17" i="71"/>
  <c r="AB12" i="71"/>
  <c r="AB14" i="71"/>
  <c r="AA11" i="71"/>
  <c r="AA13" i="71"/>
  <c r="X12" i="71"/>
  <c r="X11" i="71"/>
  <c r="X14" i="71"/>
  <c r="H83" i="43"/>
  <c r="D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F26" i="43" s="1"/>
  <c r="E29" i="6"/>
  <c r="K15" i="1" s="1"/>
  <c r="F30" i="6"/>
  <c r="G30" i="6"/>
  <c r="G31" i="6" s="1"/>
  <c r="L19" i="6"/>
  <c r="L27" i="6" s="1"/>
  <c r="M6" i="1"/>
  <c r="O6" i="1" s="1"/>
  <c r="T13" i="1"/>
  <c r="C58" i="21"/>
  <c r="D58" i="21"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C23" i="43"/>
  <c r="I18" i="43"/>
  <c r="E17" i="43" s="1"/>
  <c r="C17" i="43" s="1"/>
  <c r="C24" i="43"/>
  <c r="H26" i="43"/>
  <c r="J26" i="43"/>
  <c r="E26" i="43"/>
  <c r="H55" i="43"/>
  <c r="H86" i="43"/>
  <c r="H87" i="43"/>
  <c r="N370"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N59" i="67"/>
  <c r="L59" i="67"/>
  <c r="L58" i="67"/>
  <c r="M59" i="67"/>
  <c r="B13" i="70"/>
  <c r="M7" i="67"/>
  <c r="J6" i="67" s="1"/>
  <c r="F50" i="67"/>
  <c r="F68" i="67"/>
  <c r="F64" i="67"/>
  <c r="F68" i="15"/>
  <c r="C36" i="68"/>
  <c r="D9" i="69"/>
  <c r="F27" i="69"/>
  <c r="C36" i="69"/>
  <c r="D9" i="68"/>
  <c r="C16" i="67"/>
  <c r="G1" i="73"/>
  <c r="C16" i="15"/>
  <c r="F7" i="36" l="1"/>
  <c r="J7" i="37"/>
  <c r="H7" i="36"/>
  <c r="N94" i="46"/>
  <c r="G26" i="43"/>
  <c r="P6" i="1"/>
  <c r="C13" i="12" s="1"/>
  <c r="U44" i="21"/>
  <c r="AB44" i="21"/>
  <c r="AA44" i="21"/>
  <c r="S44" i="21"/>
  <c r="AA17" i="21"/>
  <c r="S17" i="21"/>
  <c r="U32" i="21"/>
  <c r="P26" i="43"/>
  <c r="A1" i="79"/>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46" i="3"/>
  <c r="E391" i="3"/>
  <c r="E333" i="3"/>
  <c r="E356" i="3"/>
  <c r="AL6" i="3"/>
  <c r="E42" i="3"/>
  <c r="E94" i="3"/>
  <c r="E75" i="3"/>
  <c r="E428" i="3"/>
  <c r="E482" i="3"/>
  <c r="E412" i="3"/>
  <c r="E18" i="3"/>
  <c r="E96" i="3"/>
  <c r="E100" i="3"/>
  <c r="E170" i="3"/>
  <c r="E137" i="3"/>
  <c r="E194" i="3"/>
  <c r="E234" i="3"/>
  <c r="E219" i="3"/>
  <c r="E299" i="3"/>
  <c r="E339" i="3"/>
  <c r="E383" i="3"/>
  <c r="E392" i="3"/>
  <c r="AQ6" i="3"/>
  <c r="E35" i="3"/>
  <c r="E86" i="3"/>
  <c r="E34" i="3"/>
  <c r="E49" i="3"/>
  <c r="E206" i="3"/>
  <c r="E232" i="3"/>
  <c r="E251" i="3"/>
  <c r="E370" i="3"/>
  <c r="AF6" i="3"/>
  <c r="E50" i="3"/>
  <c r="E20" i="3"/>
  <c r="E62" i="3"/>
  <c r="E176" i="3"/>
  <c r="E218" i="3"/>
  <c r="E265" i="3"/>
  <c r="E365" i="3"/>
  <c r="E524" i="3"/>
  <c r="E10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32" i="3"/>
  <c r="E372" i="3"/>
  <c r="L6" i="3"/>
  <c r="E60" i="3"/>
  <c r="E43" i="3"/>
  <c r="E540" i="3"/>
  <c r="E473" i="3"/>
  <c r="E15" i="3"/>
  <c r="E455" i="3"/>
  <c r="E79" i="3"/>
  <c r="E38" i="3"/>
  <c r="E78" i="3"/>
  <c r="E129" i="3"/>
  <c r="E190" i="3"/>
  <c r="E174" i="3"/>
  <c r="E220" i="3"/>
  <c r="E275" i="3"/>
  <c r="E235" i="3"/>
  <c r="E324" i="3"/>
  <c r="E325" i="3"/>
  <c r="E342" i="3"/>
  <c r="E522" i="3"/>
  <c r="E52" i="3"/>
  <c r="E36" i="3"/>
  <c r="E112" i="3"/>
  <c r="E123" i="3"/>
  <c r="E147" i="3"/>
  <c r="E289" i="3"/>
  <c r="E340" i="3"/>
  <c r="E364" i="3"/>
  <c r="E102" i="3"/>
  <c r="E80" i="3"/>
  <c r="E113" i="3"/>
  <c r="E158" i="3"/>
  <c r="E287" i="3"/>
  <c r="E308" i="3"/>
  <c r="E326" i="3"/>
  <c r="E22"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H6" i="3" s="1"/>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E3" i="6" s="1"/>
  <c r="S34" i="35"/>
  <c r="AA34" i="35"/>
  <c r="AC34" i="35"/>
  <c r="W34" i="35"/>
  <c r="W12" i="34"/>
  <c r="AC12" i="34"/>
  <c r="AC9" i="34"/>
  <c r="W9" i="34"/>
  <c r="AA23" i="36"/>
  <c r="S23" i="36"/>
  <c r="W23" i="36"/>
  <c r="AC23" i="36"/>
  <c r="AB36" i="35"/>
  <c r="U36" i="35"/>
  <c r="BL5" i="3"/>
  <c r="B15" i="71"/>
  <c r="B14" i="71" s="1"/>
  <c r="B13" i="71" s="1"/>
  <c r="B12" i="71" s="1"/>
  <c r="S16" i="71"/>
  <c r="D39" i="71"/>
  <c r="C40" i="71"/>
  <c r="B66" i="71"/>
  <c r="N67" i="71"/>
  <c r="AB34" i="35"/>
  <c r="U34" i="35"/>
  <c r="S12" i="34"/>
  <c r="AA12" i="34"/>
  <c r="AB23" i="36"/>
  <c r="U23" i="36"/>
  <c r="AC36" i="35"/>
  <c r="W36" i="35"/>
  <c r="W12" i="35"/>
  <c r="AC12" i="35"/>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AY6" i="3" l="1"/>
  <c r="E65" i="39"/>
  <c r="T40" i="71"/>
  <c r="D40" i="71"/>
  <c r="E11" i="71"/>
  <c r="E10" i="71" s="1"/>
  <c r="E9" i="71" s="1"/>
  <c r="E8" i="71" s="1"/>
  <c r="E7" i="71" s="1"/>
  <c r="E6" i="71" s="1"/>
  <c r="E5" i="71" s="1"/>
  <c r="V12" i="71"/>
  <c r="D15" i="71"/>
  <c r="C14" i="71"/>
  <c r="N65" i="71"/>
  <c r="N66"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G54" i="34" l="1"/>
  <c r="H54" i="34" s="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C12" i="71" l="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D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W7" i="2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l="1"/>
  <c r="V48" i="21" s="1"/>
  <c r="I48" i="21"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50" i="21" l="1"/>
  <c r="C50" i="2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6" i="71" l="1"/>
  <c r="D7" i="71"/>
  <c r="L57" i="67"/>
  <c r="L60" i="67" s="1"/>
  <c r="L46" i="67" s="1"/>
  <c r="Q67" i="67"/>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19" i="9"/>
  <c r="G19" i="9" l="1"/>
  <c r="G21" i="9" s="1"/>
  <c r="C102" i="9"/>
  <c r="D22" i="9"/>
  <c r="C21" i="9"/>
  <c r="B3" i="21"/>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7"/>
  <c r="D2" i="36"/>
  <c r="D2" i="35"/>
  <c r="D2" i="34"/>
  <c r="C20" i="9"/>
  <c r="G20" i="9" l="1"/>
  <c r="C32" i="9" s="1"/>
  <c r="C103"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AO6" i="1"/>
  <c r="AO8" i="1"/>
  <c r="AO9" i="1"/>
  <c r="AO12" i="1"/>
  <c r="AO11" i="1"/>
  <c r="AO7" i="1"/>
  <c r="C35" i="9" l="1"/>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B53" i="72" l="1"/>
  <c r="F5" i="52"/>
  <c r="F119" i="9"/>
  <c r="B48" i="72"/>
  <c r="E4" i="52"/>
  <c r="B47" i="72"/>
  <c r="D4" i="52"/>
  <c r="B21" i="72"/>
  <c r="D7" i="53"/>
  <c r="H5" i="52"/>
  <c r="H119" i="9"/>
  <c r="N61" i="9"/>
  <c r="N59" i="9"/>
  <c r="N60" i="9"/>
  <c r="C81" i="9"/>
  <c r="E81" i="9"/>
  <c r="C72" i="9"/>
  <c r="C79" i="9"/>
  <c r="C80" i="9"/>
  <c r="E80" i="9"/>
  <c r="M54" i="9"/>
  <c r="C97" i="9"/>
  <c r="D58" i="9"/>
  <c r="D56" i="9"/>
  <c r="B52" i="72"/>
  <c r="G4" i="52"/>
  <c r="B32" i="72"/>
  <c r="D14" i="53"/>
  <c r="B31" i="72"/>
  <c r="D15" i="53"/>
  <c r="C73" i="9"/>
  <c r="C78" i="9"/>
  <c r="B22" i="72"/>
  <c r="D6" i="53"/>
  <c r="D8" i="52"/>
  <c r="M48" i="9"/>
  <c r="G118" i="9"/>
  <c r="F118" i="9"/>
  <c r="F4" i="52"/>
  <c r="B51" i="72"/>
  <c r="E118" i="9"/>
  <c r="D118" i="9"/>
  <c r="D119" i="9"/>
  <c r="D5" i="52"/>
  <c r="B49" i="72"/>
  <c r="C85" i="9"/>
  <c r="C95" i="9"/>
  <c r="C96" i="9"/>
  <c r="E96" i="9"/>
  <c r="E97" i="9"/>
  <c r="D52" i="9"/>
  <c r="D53" i="9"/>
  <c r="C105" i="9"/>
  <c r="I4" i="52"/>
  <c r="H102" i="9"/>
  <c r="C5" i="74"/>
  <c r="H4" i="52"/>
  <c r="C104" i="9"/>
  <c r="D5" i="53"/>
  <c r="B20" i="72"/>
  <c r="N58" i="9"/>
  <c r="D55" i="9"/>
  <c r="M53" i="9"/>
  <c r="N57" i="9"/>
  <c r="P57" i="9"/>
  <c r="C68" i="9"/>
  <c r="D54" i="9"/>
  <c r="D122" i="9"/>
  <c r="D123" i="9"/>
  <c r="D9" i="52"/>
  <c r="C93" i="9"/>
  <c r="C86" i="9"/>
  <c r="D45" i="9"/>
  <c r="C64" i="9"/>
  <c r="C63" i="9"/>
  <c r="C67" i="9"/>
  <c r="D59" i="9"/>
  <c r="M55" i="9"/>
  <c r="D13" i="53"/>
  <c r="B30" i="72"/>
  <c r="I118" i="9"/>
  <c r="H118" i="9"/>
  <c r="H101" i="9"/>
  <c r="H107" i="9"/>
  <c r="H108" i="9"/>
  <c r="C6"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<sst xmlns="http://schemas.openxmlformats.org/spreadsheetml/2006/main" count="7946" uniqueCount="3451">
  <si>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</si>
  <si>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</si>
  <si>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</si>
  <si>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</si>
  <si>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</si>
  <si>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</si>
  <si>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</si>
  <si>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</si>
  <si>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</si>
  <si>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</si>
  <si>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</si>
  <si>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</si>
  <si>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</si>
  <si>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</si>
  <si>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</si>
  <si>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</si>
  <si>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</si>
  <si>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</si>
  <si>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</si>
  <si>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</si>
  <si>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</si>
  <si>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</si>
  <si>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</si>
  <si>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</si>
  <si>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</si>
  <si>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</si>
  <si>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</si>
  <si>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</si>
  <si>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</si>
  <si>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</si>
  <si>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</si>
  <si>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</si>
  <si>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</si>
  <si>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</si>
  <si>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</si>
  <si>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</si>
  <si>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</si>
  <si>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</si>
  <si>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</si>
  <si>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</si>
  <si>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</si>
  <si>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</si>
  <si>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</si>
  <si>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</si>
  <si>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</si>
  <si>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</si>
  <si>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</si>
  <si>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</si>
  <si>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</si>
  <si>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</si>
  <si>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</si>
  <si>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</si>
  <si>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</si>
  <si>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</si>
  <si>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</si>
  <si>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</si>
  <si>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</si>
  <si>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</si>
  <si>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</si>
  <si>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</si>
  <si>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</si>
  <si>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</si>
  <si>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</si>
  <si>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</si>
  <si>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</si>
  <si>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</si>
  <si>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</si>
  <si>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</si>
  <si>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</si>
  <si>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</si>
  <si>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</si>
  <si>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</si>
  <si>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</si>
  <si>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</si>
  <si>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</si>
  <si>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</si>
  <si>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</si>
  <si>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</si>
  <si>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</si>
  <si>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</si>
  <si>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</si>
  <si>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</si>
  <si>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</si>
  <si>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</si>
  <si>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</si>
  <si>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</si>
  <si>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</si>
  <si>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</si>
  <si>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</si>
  <si>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</si>
  <si>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</si>
  <si>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</si>
  <si>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</si>
  <si>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</si>
  <si>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</si>
  <si>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</si>
  <si>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</si>
  <si>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</si>
  <si>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</si>
  <si>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</si>
  <si>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</si>
  <si>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</si>
  <si>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</si>
  <si>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</si>
  <si>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</si>
  <si>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</si>
  <si>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</si>
  <si>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</si>
  <si>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</si>
  <si>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</si>
  <si>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</si>
  <si>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</si>
  <si>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</si>
  <si>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</si>
  <si>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</si>
  <si>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</si>
  <si>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</si>
  <si>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</si>
  <si>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</si>
  <si>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</si>
  <si>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</si>
  <si>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</si>
  <si>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</si>
  <si>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</si>
  <si>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</si>
  <si>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</si>
  <si>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</si>
  <si>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</si>
  <si>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</si>
  <si>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</si>
  <si>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</si>
  <si>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</si>
  <si>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</si>
  <si>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</si>
  <si>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</si>
  <si>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</si>
  <si>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</si>
  <si>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</si>
  <si>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</si>
  <si>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</si>
  <si>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</si>
  <si>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</si>
  <si>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</si>
  <si>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</si>
  <si>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</si>
  <si>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</si>
  <si>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</si>
  <si>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</si>
  <si>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</si>
  <si>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</si>
  <si>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</si>
  <si>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</si>
  <si>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</si>
  <si>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</si>
  <si>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</si>
  <si>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</si>
  <si>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</si>
  <si>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</si>
  <si>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</si>
  <si>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</si>
  <si>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</si>
  <si>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</si>
  <si>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</si>
  <si>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</si>
  <si>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</si>
  <si>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</si>
  <si>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</si>
  <si>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</si>
  <si>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</si>
  <si>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</si>
  <si>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</si>
  <si>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</si>
  <si>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</si>
  <si>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</si>
  <si>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</si>
  <si>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</si>
  <si>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</si>
  <si>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</si>
  <si>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</si>
  <si>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</si>
  <si>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</si>
  <si>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</si>
  <si>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</si>
  <si>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</si>
  <si>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</si>
  <si>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</si>
  <si>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</si>
  <si>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</si>
  <si>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</si>
  <si>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</si>
  <si>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</si>
  <si>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</si>
  <si>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</si>
  <si>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</si>
  <si>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</si>
  <si>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</si>
  <si>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</si>
  <si>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</si>
  <si>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</si>
  <si>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</si>
  <si>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</si>
  <si>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</si>
  <si>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</si>
  <si>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</si>
  <si>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</si>
  <si>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</si>
  <si>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</si>
  <si>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</si>
  <si>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</si>
  <si>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</si>
  <si>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</si>
  <si>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</si>
  <si>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</si>
  <si>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</si>
  <si>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</si>
  <si>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</si>
  <si>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</si>
  <si>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</si>
  <si>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</si>
  <si>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</si>
  <si>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</si>
  <si>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</si>
  <si>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</si>
  <si>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</si>
  <si>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</si>
  <si>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</si>
  <si>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</si>
  <si>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</si>
  <si>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</si>
  <si>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</si>
  <si>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</si>
  <si>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</si>
  <si>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</si>
  <si>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</si>
  <si>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</si>
  <si>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</si>
  <si>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</si>
  <si>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</si>
  <si>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</si>
  <si>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</si>
  <si>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</si>
  <si>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</si>
  <si>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</si>
  <si>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</si>
  <si>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</si>
  <si>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</si>
  <si>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</si>
  <si>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</si>
  <si>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</si>
  <si>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</si>
  <si>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</si>
  <si>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</si>
  <si>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</si>
  <si>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</si>
  <si>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</si>
  <si>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</si>
  <si>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</si>
  <si>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</si>
  <si>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</si>
  <si>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</si>
  <si>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</si>
  <si>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</si>
  <si>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</si>
  <si>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</si>
  <si>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</si>
  <si>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</si>
  <si>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</si>
  <si>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</si>
  <si>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</si>
  <si>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</si>
  <si>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</si>
  <si>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</si>
  <si>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</si>
  <si>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</si>
  <si>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</si>
  <si>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</si>
  <si>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</si>
  <si>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</si>
  <si>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</si>
  <si>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</si>
  <si>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</si>
  <si>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</si>
  <si>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</si>
  <si>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</si>
  <si>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</si>
  <si>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</si>
  <si>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</si>
  <si>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</si>
  <si>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</si>
  <si>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</si>
  <si>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</si>
  <si>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</si>
  <si>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</si>
  <si>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</si>
  <si>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</si>
  <si>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</si>
  <si>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</si>
  <si>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</si>
  <si>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</si>
  <si>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</si>
  <si>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</si>
  <si>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</si>
  <si>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</si>
  <si>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</si>
  <si>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</si>
  <si>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</si>
  <si>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</si>
  <si>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</si>
  <si>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</si>
  <si>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</si>
  <si>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</si>
  <si>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</si>
  <si>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</si>
  <si>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</si>
  <si>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</si>
  <si>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</si>
  <si>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</si>
  <si>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</si>
  <si>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</si>
  <si>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</si>
  <si>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</si>
  <si>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</si>
  <si>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</si>
  <si>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</si>
  <si>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</si>
  <si>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</si>
  <si>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</si>
  <si>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</si>
  <si>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</si>
  <si>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</si>
  <si>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</si>
  <si>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</si>
  <si>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</si>
  <si>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</si>
  <si>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</si>
  <si>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</si>
  <si>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</si>
  <si>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</si>
  <si>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</si>
  <si>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</si>
  <si>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</si>
  <si>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</si>
  <si>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</si>
  <si>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</si>
  <si>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</si>
  <si>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</si>
  <si>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</si>
  <si>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</si>
  <si>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</si>
  <si>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</si>
  <si>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</si>
  <si>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</si>
  <si>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</si>
  <si>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</si>
  <si>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</si>
  <si>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</si>
  <si>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</si>
  <si>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</si>
  <si>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</si>
  <si>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</si>
  <si>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</si>
  <si>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</si>
  <si>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</si>
  <si>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</si>
  <si>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</si>
  <si>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</si>
  <si>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</si>
  <si>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</si>
  <si>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</si>
  <si>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</si>
  <si>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</si>
  <si>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</si>
  <si>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</si>
  <si>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</si>
  <si>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</si>
  <si>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</si>
  <si>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</si>
  <si>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</si>
  <si>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</si>
  <si>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</si>
  <si>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</si>
  <si>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</si>
  <si>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</si>
  <si>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</si>
  <si>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</si>
  <si>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</si>
  <si>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</si>
  <si>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</si>
  <si>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</si>
  <si>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</si>
  <si>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</si>
  <si>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</si>
  <si>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</si>
  <si>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</si>
  <si>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</si>
  <si>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</si>
  <si>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</si>
  <si>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</si>
  <si>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</si>
  <si>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</si>
  <si>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</si>
  <si>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</si>
  <si>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</si>
  <si>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</si>
  <si>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</si>
  <si>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</si>
  <si>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</si>
  <si>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</si>
  <si>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</si>
  <si>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</si>
  <si>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</si>
  <si>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</si>
  <si>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</si>
  <si>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</si>
  <si>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</si>
  <si>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</si>
  <si>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</si>
  <si>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</si>
  <si>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</si>
  <si>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</si>
  <si>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</si>
  <si>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</si>
  <si>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</si>
  <si>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</si>
  <si>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</si>
  <si>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</si>
  <si>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</si>
  <si>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</si>
  <si>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</si>
  <si>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</si>
  <si>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</si>
  <si>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</si>
  <si>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</si>
  <si>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</si>
  <si>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</si>
  <si>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</si>
  <si>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</si>
  <si>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</si>
  <si>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</si>
  <si>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</si>
  <si>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</si>
  <si>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</si>
  <si>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</si>
  <si>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</si>
  <si>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</si>
  <si>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</si>
  <si>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</si>
  <si>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</si>
  <si>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</si>
  <si>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</si>
  <si>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</si>
  <si>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</si>
  <si>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</si>
  <si>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</si>
  <si>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</si>
  <si>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</si>
  <si>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</si>
  <si>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</si>
  <si>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</si>
  <si>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</si>
  <si>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</si>
  <si>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</si>
  <si>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</si>
  <si>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</si>
  <si>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</si>
  <si>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</si>
  <si>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</si>
  <si>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</si>
  <si>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</si>
  <si>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</si>
  <si>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</si>
  <si>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</si>
  <si>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</si>
  <si>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</si>
  <si>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</si>
  <si>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</si>
  <si>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</si>
  <si>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</si>
  <si>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</si>
  <si>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</si>
  <si>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</si>
  <si>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</si>
  <si>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</si>
  <si>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</si>
  <si>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</si>
  <si>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</si>
  <si>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</si>
  <si>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</si>
  <si>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</si>
  <si>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</si>
  <si>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</si>
  <si>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</si>
  <si>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</si>
  <si>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</si>
  <si>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</si>
  <si>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</si>
  <si>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</si>
  <si>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</si>
  <si>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</si>
  <si>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</si>
  <si>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</si>
  <si>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</si>
  <si>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</si>
  <si>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</si>
  <si>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</si>
  <si>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</si>
  <si>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</si>
  <si>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</si>
  <si>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</si>
  <si>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</si>
  <si>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</si>
  <si>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</si>
  <si>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</si>
  <si>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</si>
  <si>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</si>
  <si>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</si>
  <si>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</si>
  <si>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</si>
  <si>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</si>
  <si>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</si>
  <si>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</si>
  <si>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</si>
  <si>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</si>
  <si>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</si>
  <si>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</si>
  <si>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</si>
  <si>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</si>
  <si>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</si>
  <si>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</si>
  <si>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</si>
  <si>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</si>
  <si>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</si>
  <si>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</si>
  <si>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</si>
  <si>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</si>
  <si>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</si>
  <si>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</si>
  <si>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</si>
  <si>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</si>
  <si>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</si>
  <si>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</si>
  <si>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</si>
  <si>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</si>
  <si>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</si>
  <si>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</si>
  <si>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</si>
  <si>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</si>
  <si>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</si>
  <si>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</si>
  <si>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</si>
  <si>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</si>
  <si>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</si>
  <si>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</si>
  <si>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</si>
  <si>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</si>
  <si>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</si>
  <si>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</si>
  <si>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</si>
  <si>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</si>
  <si>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</si>
  <si>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</si>
  <si>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</si>
  <si>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</si>
  <si>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</si>
  <si>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</si>
  <si>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</si>
  <si>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</si>
  <si>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</si>
  <si>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</si>
  <si>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</si>
  <si>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</si>
  <si>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</si>
  <si>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</si>
  <si>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</si>
  <si>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</si>
  <si>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</si>
  <si>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</si>
  <si>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</si>
  <si>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</si>
  <si>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</si>
  <si>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</si>
  <si>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</si>
  <si>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</si>
  <si>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</si>
  <si>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</si>
  <si>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</si>
  <si>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</si>
  <si>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</si>
  <si>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</si>
  <si>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</si>
  <si>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</si>
  <si>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</si>
  <si>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</si>
  <si>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</si>
  <si>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</si>
  <si>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</si>
  <si>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</si>
  <si>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</si>
  <si>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</si>
  <si>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</si>
  <si>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</si>
  <si>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</si>
  <si>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</si>
  <si>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</si>
  <si>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</si>
  <si>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</si>
  <si>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</si>
  <si>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</si>
  <si>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</si>
  <si>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</si>
  <si>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</si>
  <si>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</si>
  <si>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</si>
  <si>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</si>
  <si>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</si>
  <si>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</si>
  <si>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</si>
  <si>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</si>
  <si>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</si>
  <si>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</si>
  <si>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</si>
  <si>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</si>
  <si>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</si>
  <si>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</si>
  <si>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</si>
  <si>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</si>
  <si>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</si>
  <si>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</si>
  <si>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</si>
  <si>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</si>
  <si>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</si>
  <si>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</si>
  <si>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</si>
  <si>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</si>
  <si>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</si>
  <si>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</si>
  <si>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</si>
  <si>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</si>
  <si>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</si>
  <si>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</si>
  <si>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</si>
  <si>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</si>
  <si>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</si>
  <si>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</si>
  <si>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</si>
  <si>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</si>
  <si>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</si>
  <si>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</si>
  <si>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</si>
  <si>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</si>
  <si>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</si>
  <si>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</si>
  <si>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</si>
  <si>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</si>
  <si>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</si>
  <si>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</si>
  <si>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</si>
  <si>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</si>
  <si>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</si>
  <si>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</si>
  <si>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</si>
  <si>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</si>
  <si>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</si>
  <si>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</si>
  <si>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</si>
  <si>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</si>
  <si>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</si>
  <si>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</si>
  <si>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</si>
  <si>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</si>
  <si>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</si>
  <si>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</si>
  <si>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</si>
  <si>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</si>
  <si>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</si>
  <si>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</si>
  <si>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</si>
  <si>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</si>
  <si>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</si>
  <si>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</si>
  <si>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</si>
  <si>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</si>
  <si>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</si>
  <si>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</si>
  <si>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</si>
  <si>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</si>
  <si>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</si>
  <si>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</si>
  <si>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</si>
  <si>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</si>
  <si>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</si>
  <si>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</si>
  <si>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</si>
  <si>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</si>
  <si>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</si>
  <si>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</si>
  <si>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</si>
  <si>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</si>
  <si>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</si>
  <si>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</si>
  <si>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</si>
  <si>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</si>
  <si>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</si>
  <si>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</si>
  <si>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</si>
  <si>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</si>
  <si>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</si>
  <si>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</si>
  <si>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</si>
  <si>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</si>
  <si>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</si>
  <si>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</si>
  <si>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</si>
  <si>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</si>
  <si>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</si>
  <si>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</si>
  <si>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</si>
  <si>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</si>
  <si>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</si>
  <si>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</si>
  <si>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</si>
  <si>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</si>
  <si>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</si>
  <si>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</si>
  <si>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</si>
  <si>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</si>
  <si>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</si>
  <si>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</si>
  <si>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</si>
  <si>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</si>
  <si>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</si>
  <si>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</si>
  <si>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</si>
  <si>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</si>
  <si>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</si>
  <si>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</si>
  <si>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</si>
  <si>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</si>
  <si>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</si>
  <si>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</si>
  <si>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</si>
  <si>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</si>
  <si>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</si>
  <si>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</si>
  <si>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</si>
  <si>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</si>
  <si>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</si>
  <si>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</si>
  <si>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</si>
  <si>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</si>
  <si>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</si>
  <si>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</si>
  <si>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</si>
  <si>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</si>
  <si>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</si>
  <si>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</si>
  <si>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</si>
  <si>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</si>
  <si>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</si>
  <si>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</si>
  <si>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</si>
  <si>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</si>
  <si>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</si>
  <si>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</si>
  <si>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</si>
  <si>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</si>
  <si>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</si>
  <si>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</si>
  <si>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</si>
  <si>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</si>
  <si>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</si>
  <si>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</si>
  <si>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</si>
  <si>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</si>
  <si>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</si>
  <si>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</si>
  <si>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</si>
  <si>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</si>
  <si>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</si>
  <si>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</si>
  <si>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</si>
  <si>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</si>
  <si>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</si>
  <si>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</si>
  <si>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</si>
  <si>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</si>
  <si>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</si>
  <si>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</si>
  <si>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</si>
  <si>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</si>
  <si>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</si>
  <si>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</si>
  <si>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</si>
  <si>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</si>
  <si>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</si>
  <si>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</si>
  <si>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</si>
  <si>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</si>
  <si>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</si>
  <si>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</si>
  <si>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</si>
  <si>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</si>
  <si>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</si>
  <si>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</si>
  <si>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</si>
  <si>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</si>
  <si>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</si>
  <si>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</si>
  <si>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</si>
  <si>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</si>
  <si>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</si>
  <si>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</si>
  <si>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</si>
  <si>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</si>
  <si>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</si>
  <si>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</si>
  <si>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</si>
  <si>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</si>
  <si>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</si>
  <si>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</si>
  <si>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</si>
  <si>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</si>
  <si>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</si>
  <si>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</si>
  <si>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</si>
  <si>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</si>
  <si>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</si>
  <si>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</si>
  <si>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</si>
  <si>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</si>
  <si>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</si>
  <si>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</si>
  <si>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</si>
  <si>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</si>
  <si>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</si>
  <si>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</si>
  <si>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</si>
  <si>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</si>
  <si>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</si>
  <si>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</si>
  <si>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</si>
  <si>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</si>
  <si>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</si>
  <si>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</si>
  <si>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</si>
  <si>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</si>
  <si>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</si>
  <si>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</si>
  <si>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</si>
  <si>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</si>
  <si>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</si>
  <si>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</si>
  <si>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</si>
  <si>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</si>
  <si>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</si>
  <si>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</si>
  <si>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</si>
  <si>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</si>
  <si>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</si>
  <si>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</si>
  <si>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</si>
  <si>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</si>
  <si>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</si>
  <si>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</si>
  <si>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</si>
  <si>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</si>
  <si>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</si>
  <si>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</si>
  <si>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</si>
  <si>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</si>
  <si>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</si>
  <si>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</si>
  <si>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</si>
  <si>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</si>
  <si>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</si>
  <si>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</si>
  <si>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</si>
  <si>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</si>
  <si>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</si>
  <si>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</si>
  <si>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</si>
  <si>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</si>
  <si>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</si>
  <si>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</si>
  <si>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</si>
  <si>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</si>
  <si>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</si>
  <si>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</si>
  <si>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</si>
  <si>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</si>
  <si>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</si>
  <si>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</si>
  <si>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</si>
  <si>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</si>
  <si>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</si>
  <si>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</si>
  <si>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</si>
  <si>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</si>
  <si>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</si>
  <si>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</si>
  <si>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</si>
  <si>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</si>
  <si>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</si>
  <si>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</si>
  <si>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</si>
  <si>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</si>
  <si>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</si>
  <si>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</si>
  <si>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</si>
  <si>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</si>
  <si>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</si>
  <si>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</si>
  <si>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</si>
  <si>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</si>
  <si>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</si>
  <si>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</si>
  <si>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</si>
  <si>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</si>
  <si>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</si>
  <si>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</si>
  <si>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</si>
  <si>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</si>
  <si>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</si>
  <si>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</si>
  <si>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</si>
  <si>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</si>
  <si>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</si>
  <si>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</si>
  <si>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</si>
  <si>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</si>
  <si>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</si>
  <si>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</si>
  <si>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</si>
  <si>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</si>
  <si>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</si>
  <si>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</si>
  <si>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</si>
  <si>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</si>
  <si>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</si>
  <si>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</si>
  <si>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</si>
  <si>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</si>
  <si>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</si>
  <si>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</si>
  <si>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</si>
  <si>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</si>
  <si>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</si>
  <si>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</si>
  <si>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</si>
  <si>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</si>
  <si>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</si>
  <si>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</si>
  <si>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</si>
  <si>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</si>
  <si>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</si>
  <si>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</si>
  <si>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</si>
  <si>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</si>
  <si>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</si>
  <si>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</si>
  <si>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</si>
  <si>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</si>
  <si>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</si>
  <si>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</si>
  <si>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</si>
  <si>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</si>
  <si>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</si>
  <si>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</si>
  <si>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</si>
  <si>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</si>
  <si>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</si>
  <si>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</si>
  <si>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</si>
  <si>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</si>
  <si>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</si>
  <si>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</si>
  <si>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</si>
  <si>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</si>
  <si>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</si>
  <si>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</si>
  <si>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</si>
  <si>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</si>
  <si>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</si>
  <si>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</si>
  <si>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</si>
  <si>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</si>
  <si>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</si>
  <si>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</si>
  <si>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</si>
  <si>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</si>
  <si>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</si>
  <si>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</si>
  <si>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</si>
  <si>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</si>
  <si>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</si>
  <si>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</si>
  <si>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</si>
  <si>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</si>
  <si>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</si>
  <si>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</si>
  <si>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</si>
  <si>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</si>
  <si>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</si>
  <si>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</si>
  <si>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</si>
  <si>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</si>
  <si>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</si>
  <si>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</si>
  <si>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</si>
  <si>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</si>
  <si>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</si>
  <si>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</si>
  <si>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</si>
  <si>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</si>
  <si>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</si>
  <si>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</si>
  <si>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</si>
  <si>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</si>
  <si>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</si>
  <si>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</si>
  <si>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</si>
  <si>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</si>
  <si>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</si>
  <si>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</si>
  <si>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</si>
  <si>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</si>
  <si>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</si>
  <si>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</si>
  <si>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</si>
  <si>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</si>
  <si>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</si>
  <si>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</si>
  <si>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</si>
  <si>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</si>
  <si>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</si>
  <si>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</si>
  <si>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</si>
  <si>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</si>
  <si>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</si>
  <si>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</si>
  <si>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</si>
  <si>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</si>
  <si>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</si>
  <si>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</si>
  <si>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</si>
  <si>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</si>
  <si>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</si>
  <si>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</si>
  <si>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</si>
  <si>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</si>
  <si>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</si>
  <si>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</si>
  <si>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</si>
  <si>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</si>
  <si>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</si>
  <si>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</si>
  <si>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</si>
  <si>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</si>
  <si>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</si>
  <si>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</si>
  <si>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</si>
  <si>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</si>
  <si>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</si>
  <si>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</si>
  <si>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</si>
  <si>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</si>
  <si>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</si>
  <si>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</si>
  <si>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</si>
  <si>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</si>
  <si>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</si>
  <si>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</si>
  <si>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</si>
  <si>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</si>
  <si>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</si>
  <si>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</si>
  <si>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</si>
  <si>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</si>
  <si>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</si>
  <si>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</si>
  <si>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</si>
  <si>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</si>
  <si>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</si>
  <si>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</si>
  <si>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</si>
  <si>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</si>
  <si>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</si>
  <si>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</si>
  <si>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</si>
  <si>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</si>
  <si>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</si>
  <si>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</si>
  <si>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</si>
  <si>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</si>
  <si>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</si>
  <si>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</si>
  <si>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</si>
  <si>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</si>
  <si>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</si>
  <si>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</si>
  <si>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</si>
  <si>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</si>
  <si>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</si>
  <si>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</si>
  <si>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</si>
  <si>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</si>
  <si>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</si>
  <si>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</si>
  <si>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</si>
  <si>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</si>
  <si>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</si>
  <si>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</si>
  <si>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</si>
  <si>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</si>
  <si>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</si>
  <si>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</si>
  <si>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</si>
  <si>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</si>
  <si>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</si>
  <si>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</si>
  <si>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</si>
  <si>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</si>
  <si>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</si>
  <si>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</si>
  <si>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</si>
  <si>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</si>
  <si>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</si>
  <si>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</si>
  <si>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</si>
  <si>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</si>
  <si>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</si>
  <si>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</si>
  <si>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</si>
  <si>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</si>
  <si>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</si>
  <si>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</si>
  <si>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</si>
  <si>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</si>
  <si>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</si>
  <si>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</si>
  <si>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</si>
  <si>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</si>
  <si>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</si>
  <si>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</si>
  <si>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</si>
  <si>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</si>
  <si>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</si>
  <si>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</si>
  <si>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</si>
  <si>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</si>
  <si>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</si>
  <si>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</si>
  <si>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</si>
  <si>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</si>
  <si>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</si>
  <si>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</si>
  <si>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</si>
  <si>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</si>
  <si>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</si>
  <si>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</si>
  <si>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</si>
  <si>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</si>
  <si>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</si>
  <si>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</si>
  <si>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</si>
  <si>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</si>
  <si>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</si>
  <si>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</si>
  <si>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</si>
  <si>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</si>
  <si>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</si>
  <si>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</si>
  <si>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</si>
  <si>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</si>
  <si>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</si>
  <si>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</si>
  <si>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</si>
  <si>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</si>
  <si>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</si>
  <si>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</si>
  <si>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</si>
  <si>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</si>
  <si>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</si>
  <si>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</si>
  <si>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</si>
  <si>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</si>
  <si>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</si>
  <si>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</si>
  <si>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</si>
  <si>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</si>
  <si>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</si>
  <si>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</si>
  <si>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</si>
  <si>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</si>
  <si>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</si>
  <si>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</si>
  <si>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</si>
  <si>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</si>
  <si>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</si>
  <si>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</si>
  <si>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</si>
  <si>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</si>
  <si>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</si>
  <si>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</si>
  <si>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</si>
  <si>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</si>
  <si>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</si>
  <si>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</si>
  <si>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</si>
  <si>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</si>
  <si>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</si>
  <si>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</si>
  <si>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</si>
  <si>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</si>
  <si>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</si>
  <si>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</si>
  <si>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</si>
  <si>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</si>
  <si>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</si>
  <si>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</si>
  <si>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</si>
  <si>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</si>
  <si>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</si>
  <si>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</si>
  <si>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</si>
  <si>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</si>
  <si>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</si>
  <si>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</si>
  <si>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</si>
  <si>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</si>
  <si>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</si>
  <si>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</si>
  <si>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</si>
  <si>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</si>
  <si>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</si>
  <si>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</si>
  <si>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</si>
  <si>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</si>
  <si>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</si>
  <si>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</si>
  <si>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</si>
  <si>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</si>
  <si>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</si>
  <si>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</si>
  <si>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</si>
  <si>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</si>
  <si>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</si>
  <si>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</si>
  <si>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</si>
  <si>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</si>
  <si>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</si>
  <si>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</si>
  <si>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</si>
  <si>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</si>
  <si>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</si>
  <si>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</si>
  <si>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</si>
  <si>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</si>
  <si>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</si>
  <si>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</si>
  <si>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</si>
  <si>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</si>
  <si>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</si>
  <si>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</si>
  <si>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</si>
  <si>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</si>
  <si>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</si>
  <si>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</si>
  <si>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</si>
  <si>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</si>
  <si>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</si>
  <si>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</si>
  <si>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</si>
  <si>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</si>
  <si>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</si>
  <si>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</si>
  <si>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</si>
  <si>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</si>
  <si>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</si>
  <si>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</si>
  <si>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</si>
  <si>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</si>
  <si>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</si>
  <si>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</si>
  <si>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</si>
  <si>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</si>
  <si>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</si>
  <si>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</si>
  <si>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</si>
  <si>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</si>
  <si>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</si>
  <si>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</si>
  <si>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</si>
  <si>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</si>
  <si>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</si>
  <si>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</si>
  <si>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</si>
  <si>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</si>
  <si>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</si>
  <si>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</si>
  <si>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</si>
  <si>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</si>
  <si>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</si>
  <si>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</si>
  <si>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</si>
  <si>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</si>
  <si>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</si>
  <si>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</si>
  <si>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</si>
  <si>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</si>
  <si>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</si>
  <si>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</si>
  <si>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</si>
  <si>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</si>
  <si>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</si>
  <si>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</si>
  <si>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</si>
  <si>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</si>
  <si>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</si>
  <si>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</si>
  <si>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</si>
  <si>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</si>
  <si>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</si>
  <si>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</si>
  <si>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</si>
  <si>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</si>
  <si>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</si>
  <si>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</si>
  <si>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</si>
  <si>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</si>
  <si>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</si>
  <si>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</si>
  <si>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</si>
  <si>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</si>
  <si>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</si>
  <si>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</si>
  <si>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</si>
  <si>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</si>
  <si>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</si>
  <si>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</si>
  <si>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</si>
  <si>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</si>
  <si>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</si>
  <si>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</si>
  <si>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</si>
  <si>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</si>
  <si>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</si>
  <si>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</si>
  <si>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</si>
  <si>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</si>
  <si>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</si>
  <si>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</si>
  <si>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</si>
  <si>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</si>
  <si>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</si>
  <si>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</si>
  <si>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</si>
  <si>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</si>
  <si>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</si>
  <si>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</si>
  <si>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</si>
  <si>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</si>
  <si>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</si>
  <si>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</si>
  <si>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</si>
  <si>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</si>
  <si>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</si>
  <si>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</si>
  <si>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</si>
  <si>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</si>
  <si>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</si>
  <si>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</si>
  <si>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</si>
  <si>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</si>
  <si>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</si>
  <si>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</si>
  <si>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</si>
  <si>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</si>
  <si>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</si>
  <si>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</si>
  <si>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</si>
  <si>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</si>
  <si>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</si>
  <si>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</si>
  <si>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</si>
  <si>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</si>
  <si>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</si>
  <si>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</si>
  <si>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</si>
  <si>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</si>
  <si>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</si>
  <si>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</si>
  <si>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</si>
  <si>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</si>
  <si>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</si>
  <si>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</si>
  <si>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</si>
  <si>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</si>
  <si>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</si>
  <si>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</si>
  <si>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</si>
  <si>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</si>
  <si>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</si>
  <si>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</si>
  <si>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</si>
  <si>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</si>
  <si>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</si>
  <si>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</si>
  <si>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</si>
  <si>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</si>
  <si>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</si>
  <si>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</si>
  <si>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</si>
  <si>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</si>
  <si>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</si>
  <si>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</si>
  <si>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</si>
  <si>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</si>
  <si>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</si>
  <si>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</si>
  <si>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</si>
  <si>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</si>
  <si>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</si>
  <si>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</si>
  <si>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</si>
  <si>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</si>
  <si>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</si>
  <si>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</si>
  <si>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</si>
  <si>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</si>
  <si>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</si>
  <si>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</si>
  <si>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</si>
  <si>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</si>
  <si>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</si>
  <si>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</si>
  <si>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</si>
  <si>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</si>
  <si>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</si>
  <si>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</si>
  <si>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</si>
  <si>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</si>
  <si>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</si>
  <si>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</si>
  <si>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</si>
  <si>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</si>
  <si>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</si>
  <si>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</si>
  <si>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</si>
  <si>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</si>
  <si>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</si>
  <si>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</si>
  <si>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</si>
  <si>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</si>
  <si>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</si>
  <si>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</si>
  <si>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</si>
  <si>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</si>
  <si>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</si>
  <si>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</si>
  <si>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</si>
  <si>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</si>
  <si>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</si>
  <si>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</si>
  <si>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</si>
  <si>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</si>
  <si>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</si>
  <si>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</si>
  <si>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</si>
  <si>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</si>
  <si>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</si>
  <si>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</si>
  <si>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</si>
  <si>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</si>
  <si>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</si>
  <si>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</si>
  <si>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</si>
  <si>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</si>
  <si>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</si>
  <si>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</si>
  <si>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</si>
  <si>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</si>
  <si>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</si>
  <si>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</si>
  <si>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</si>
  <si>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</si>
  <si>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</si>
  <si>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</si>
  <si>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</si>
  <si>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</si>
  <si>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</si>
  <si>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</si>
  <si>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</si>
  <si>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</si>
  <si>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</si>
  <si>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</si>
  <si>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</si>
  <si>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</si>
  <si>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</si>
  <si>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</si>
  <si>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</si>
  <si>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</si>
  <si>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</si>
  <si>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</si>
  <si>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</si>
  <si>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</si>
  <si>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</si>
  <si>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</si>
  <si>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</si>
  <si>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</si>
  <si>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</si>
  <si>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</si>
  <si>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</si>
  <si>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</si>
  <si>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</si>
  <si>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</si>
  <si>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</si>
  <si>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</si>
  <si>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</si>
  <si>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</si>
  <si>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</si>
  <si>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</si>
  <si>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</si>
  <si>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</si>
  <si>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</si>
  <si>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</si>
  <si>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</si>
  <si>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</si>
  <si>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</si>
  <si>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</si>
  <si>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</si>
  <si>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</si>
  <si>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</si>
  <si>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</si>
  <si>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</si>
  <si>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</si>
  <si>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</si>
  <si>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</si>
  <si>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</si>
  <si>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</si>
  <si>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</si>
  <si>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</si>
  <si>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</si>
  <si>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</si>
  <si>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</si>
  <si>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</si>
  <si>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</si>
  <si>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</si>
  <si>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</si>
  <si>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</si>
  <si>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</si>
  <si>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</si>
  <si>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</si>
  <si>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</si>
  <si>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</si>
  <si>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</si>
  <si>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</si>
  <si>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</si>
  <si>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</si>
  <si>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</si>
  <si>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</si>
  <si>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</si>
  <si>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</si>
  <si>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</si>
  <si>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</si>
  <si>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</si>
  <si>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</si>
  <si>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</si>
  <si>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</si>
  <si>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</si>
  <si>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</si>
  <si>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</si>
  <si>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</si>
  <si>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</si>
  <si>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</si>
  <si>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</si>
  <si>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</si>
  <si>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</si>
  <si>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</si>
  <si>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</si>
  <si>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</si>
  <si>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</si>
  <si>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</si>
  <si>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</si>
  <si>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</si>
  <si>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</si>
  <si>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</si>
  <si>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</si>
  <si>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</si>
  <si>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</si>
  <si>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</si>
  <si>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</si>
  <si>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</si>
  <si>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</si>
  <si>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</si>
  <si>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</si>
  <si>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</si>
  <si>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</si>
  <si>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</si>
  <si>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</si>
  <si>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</si>
  <si>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</si>
  <si>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</si>
  <si>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</si>
  <si>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</si>
  <si>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</si>
  <si>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</si>
  <si>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</si>
  <si>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</si>
  <si>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</si>
  <si>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</si>
  <si>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</si>
  <si>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</si>
  <si>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</si>
  <si>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</si>
  <si>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</si>
  <si>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</si>
  <si>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</si>
  <si>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</si>
  <si>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</si>
  <si>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</si>
  <si>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</si>
  <si>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</si>
  <si>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</si>
  <si>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</si>
  <si>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</si>
  <si>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</si>
  <si>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</si>
  <si>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</si>
  <si>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</si>
  <si>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</si>
  <si>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</si>
  <si>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</si>
  <si>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</si>
  <si>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</si>
  <si>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</si>
  <si>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</si>
  <si>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</si>
  <si>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</si>
  <si>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</si>
  <si>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</si>
  <si>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</si>
  <si>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</si>
  <si>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</si>
  <si>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</si>
  <si>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</si>
  <si>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</si>
  <si>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</si>
  <si>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</si>
  <si>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</si>
  <si>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</si>
  <si>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</si>
  <si>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</si>
  <si>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</si>
  <si>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</si>
  <si>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</si>
  <si>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</si>
  <si>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</si>
  <si>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</si>
  <si>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</si>
  <si>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</si>
  <si>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</si>
  <si>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</si>
  <si>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</si>
  <si>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</si>
  <si>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</si>
  <si>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</si>
  <si>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</si>
  <si>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</si>
  <si>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</si>
  <si>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</si>
  <si>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</si>
  <si>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</si>
  <si>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</si>
  <si>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</si>
  <si>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</si>
  <si>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</si>
  <si>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</si>
  <si>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</si>
  <si>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</si>
  <si>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</si>
  <si>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</si>
  <si>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</si>
  <si>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</si>
  <si>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</si>
  <si>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</si>
  <si>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</si>
  <si>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</si>
  <si>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</si>
  <si>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</si>
  <si>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</si>
  <si>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</si>
  <si>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</si>
  <si>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</si>
  <si>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</si>
  <si>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</si>
  <si>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</si>
  <si>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</si>
  <si>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</si>
  <si>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</si>
  <si>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</si>
  <si>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</si>
  <si>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</si>
  <si>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</si>
  <si>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</si>
  <si>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</si>
  <si>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</si>
  <si>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</si>
  <si>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</si>
  <si>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</si>
  <si>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</si>
  <si>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</si>
  <si>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</si>
  <si>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</si>
  <si>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</si>
  <si>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</si>
  <si>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</si>
  <si>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</si>
  <si>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</si>
  <si>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</si>
  <si>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</si>
  <si>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</si>
  <si>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</si>
  <si>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</si>
  <si>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</si>
  <si>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</si>
  <si>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</si>
  <si>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</si>
  <si>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</si>
  <si>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</si>
  <si>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</si>
  <si>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</si>
  <si>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</si>
  <si>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</si>
  <si>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</si>
  <si>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</si>
  <si>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</si>
  <si>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</si>
  <si>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</si>
  <si>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</si>
  <si>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</si>
  <si>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</si>
  <si>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</si>
  <si>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</si>
  <si>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</si>
  <si>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</si>
  <si>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</si>
  <si>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</si>
  <si>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</si>
  <si>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</si>
  <si>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</si>
  <si>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</si>
  <si>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</si>
  <si>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</si>
  <si>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</si>
  <si>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</si>
  <si>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</si>
  <si>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</si>
  <si>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</si>
  <si>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</si>
  <si>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</si>
  <si>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</si>
  <si>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</si>
  <si>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</si>
  <si>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</si>
  <si>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</si>
  <si>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</si>
  <si>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</si>
  <si>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</si>
  <si>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</si>
  <si>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</si>
  <si>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</si>
  <si>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</si>
  <si>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</si>
  <si>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</si>
  <si>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</si>
  <si>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</si>
  <si>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</si>
  <si>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</si>
  <si>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</si>
  <si>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</si>
  <si>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</si>
  <si>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</si>
  <si>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</si>
  <si>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</si>
  <si>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</si>
  <si>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</si>
  <si>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</si>
  <si>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</si>
  <si>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</si>
  <si>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</si>
  <si>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</si>
  <si>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</si>
  <si>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</si>
  <si>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</si>
  <si>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</si>
  <si>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</si>
  <si>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</si>
  <si>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</si>
  <si>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</si>
  <si>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</si>
  <si>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</si>
  <si>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</si>
  <si>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</si>
  <si>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</si>
  <si>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</si>
  <si>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</si>
  <si>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</si>
  <si>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</si>
  <si>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</si>
  <si>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</si>
  <si>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</si>
  <si>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</si>
  <si>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</si>
  <si>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</si>
  <si>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</si>
  <si>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</si>
  <si>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</si>
  <si>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</si>
  <si>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</si>
  <si>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</si>
  <si>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</si>
  <si>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</si>
  <si>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</si>
  <si>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</si>
  <si>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</si>
  <si>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</si>
  <si>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</si>
  <si>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</si>
  <si>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</si>
  <si>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</si>
  <si>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</si>
  <si>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</si>
  <si>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</si>
  <si>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</si>
  <si>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</si>
  <si>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</si>
  <si>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</si>
  <si>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</si>
  <si>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</si>
  <si>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</si>
  <si>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</si>
  <si>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</si>
  <si>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</si>
  <si>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</si>
  <si>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</si>
  <si>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</si>
  <si>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</si>
  <si>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</si>
  <si>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</si>
  <si>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</si>
  <si>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</si>
  <si>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</si>
  <si>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</si>
  <si>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</si>
  <si>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</si>
  <si>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</si>
  <si>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</si>
  <si>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</si>
  <si>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</si>
  <si>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</si>
  <si>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</si>
  <si>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</si>
  <si>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</si>
  <si>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</si>
  <si>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</si>
  <si>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</si>
  <si>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</si>
  <si>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</si>
  <si>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</si>
  <si>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</si>
  <si>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</si>
  <si>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</si>
  <si>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</si>
  <si>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</si>
  <si>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</si>
  <si>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</si>
  <si>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</si>
  <si>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</si>
  <si>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</si>
  <si>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</si>
  <si>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</si>
  <si>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</si>
  <si>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</si>
  <si>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</si>
  <si>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</si>
  <si>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</si>
  <si>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</si>
  <si>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</si>
  <si>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</si>
  <si>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</si>
  <si>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</si>
  <si>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</si>
  <si>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</si>
  <si>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</si>
  <si>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</si>
  <si>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</si>
  <si>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</si>
  <si>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</si>
  <si>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</si>
  <si>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</si>
  <si>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</si>
  <si>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</si>
  <si>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</si>
  <si>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</si>
  <si>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</si>
  <si>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</si>
  <si>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</si>
  <si>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</si>
  <si>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</si>
  <si>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</si>
  <si>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</si>
  <si>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</si>
  <si>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</si>
  <si>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</si>
  <si>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</si>
  <si>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</si>
  <si>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</si>
  <si>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</si>
  <si>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</si>
  <si>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</si>
  <si>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</si>
  <si>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</si>
  <si>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</si>
  <si>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</si>
  <si>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</si>
  <si>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</si>
  <si>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</si>
  <si>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</si>
  <si>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</si>
  <si>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</si>
  <si>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</si>
  <si>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</si>
  <si>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</si>
  <si>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</si>
  <si>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</si>
  <si>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</si>
  <si>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</si>
  <si>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</si>
  <si>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</si>
  <si>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</si>
  <si>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</si>
  <si>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</si>
  <si>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</si>
  <si>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</si>
  <si>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</si>
  <si>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</si>
  <si>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</si>
  <si>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</si>
  <si>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</si>
  <si>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</si>
  <si>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</si>
  <si>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</si>
  <si>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</si>
  <si>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</si>
  <si>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</si>
  <si>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</si>
  <si>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</si>
  <si>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</si>
  <si>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</si>
  <si>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</si>
  <si>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</si>
  <si>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</si>
  <si>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</si>
  <si>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</si>
  <si>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</si>
  <si>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</si>
  <si>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</si>
  <si>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</si>
  <si>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</si>
  <si>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</si>
  <si>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</si>
  <si>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</si>
  <si>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</si>
  <si>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</si>
  <si>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</si>
  <si>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</si>
  <si>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</si>
  <si>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</si>
  <si>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</si>
  <si>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</si>
  <si>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</si>
  <si>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</si>
  <si>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</si>
  <si>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</si>
  <si>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</si>
  <si>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</si>
  <si>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</si>
  <si>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</si>
  <si>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</si>
  <si>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</si>
  <si>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</si>
  <si>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</si>
  <si>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</si>
  <si>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</si>
  <si>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</si>
  <si>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</si>
  <si>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</si>
  <si>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</si>
  <si>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</si>
  <si>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</si>
  <si>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</si>
  <si>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</si>
  <si>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</si>
  <si>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</si>
  <si>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</si>
  <si>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</si>
  <si>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</si>
  <si>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</si>
  <si>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</si>
  <si>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</si>
  <si>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</si>
  <si>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</si>
  <si>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</si>
  <si>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</si>
  <si>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</si>
  <si>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</si>
  <si>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</si>
  <si>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</si>
  <si>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</si>
  <si>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</si>
  <si>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</si>
  <si>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</si>
  <si>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</si>
  <si>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</si>
  <si>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</si>
  <si>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</si>
  <si>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</si>
  <si>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</si>
  <si>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</si>
  <si>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</si>
  <si>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</si>
  <si>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</si>
  <si>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</si>
  <si>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</si>
  <si>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</si>
  <si>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</si>
  <si>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</si>
  <si>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</si>
  <si>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</si>
  <si>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</si>
  <si>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</si>
  <si>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</si>
  <si>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</si>
  <si>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</si>
  <si>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</si>
  <si>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</si>
  <si>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</si>
  <si>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</si>
  <si>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</si>
  <si>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</si>
  <si>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</si>
  <si>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</si>
  <si>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</si>
  <si>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</si>
  <si>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</si>
  <si>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</si>
  <si>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</si>
  <si>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</si>
  <si>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</si>
  <si>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</si>
  <si>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</si>
  <si>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</si>
  <si>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</si>
  <si>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</si>
  <si>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</si>
  <si>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</si>
  <si>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</si>
  <si>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</si>
  <si>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</si>
  <si>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</si>
  <si>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</si>
  <si>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</si>
  <si>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</si>
  <si>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</si>
  <si>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</si>
  <si>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</si>
  <si>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</si>
  <si>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</si>
  <si>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</si>
  <si>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</si>
  <si>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</si>
  <si>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</si>
  <si>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</si>
  <si>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</si>
  <si>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</si>
  <si>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</si>
  <si>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</si>
  <si>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</si>
  <si>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</si>
  <si>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</si>
  <si>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</si>
  <si>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</si>
  <si>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</si>
  <si>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</si>
  <si>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</si>
  <si>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</si>
  <si>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</si>
  <si>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</si>
  <si>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</si>
  <si>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</si>
  <si>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</si>
  <si>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</si>
  <si>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</si>
  <si>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</si>
  <si>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</si>
  <si>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</si>
  <si>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</si>
  <si>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</si>
  <si>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</si>
  <si>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</si>
  <si>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</si>
  <si>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</si>
  <si>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</si>
  <si>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</si>
  <si>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</si>
  <si>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</si>
  <si>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</si>
  <si>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</si>
  <si>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</si>
  <si>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</si>
  <si>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</si>
  <si>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</si>
  <si>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</si>
  <si>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</si>
  <si>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</si>
  <si>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</si>
  <si>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</si>
  <si>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</si>
  <si>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</si>
  <si>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</si>
  <si>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</si>
  <si>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</si>
  <si>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</si>
  <si>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</si>
  <si>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</si>
  <si>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</si>
  <si>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</si>
  <si>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</si>
  <si>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</si>
  <si>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</si>
  <si>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</si>
  <si>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</si>
  <si>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</si>
  <si>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</si>
  <si>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</si>
  <si>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</si>
  <si>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</si>
  <si>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</si>
  <si>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</si>
  <si>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</si>
  <si>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</si>
  <si>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</si>
  <si>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</si>
  <si>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</si>
  <si>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</si>
  <si>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</si>
  <si>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</si>
  <si>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</si>
  <si>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</si>
  <si>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</si>
  <si>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</si>
  <si>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</si>
  <si>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</si>
  <si>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</si>
  <si>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</si>
  <si>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</si>
  <si>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</si>
  <si>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</si>
  <si>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</si>
  <si>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</si>
  <si>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</si>
  <si>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</si>
  <si>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</si>
  <si>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</si>
  <si>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</si>
  <si>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</si>
  <si>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</si>
  <si>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</si>
  <si>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</si>
  <si>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</si>
  <si>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</si>
  <si>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</si>
  <si>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</si>
  <si>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</si>
  <si>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</si>
  <si>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</si>
  <si>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</si>
  <si>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</si>
  <si>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</si>
  <si>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</si>
  <si>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</si>
  <si>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</si>
  <si>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</si>
  <si>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</si>
  <si>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</si>
  <si>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</si>
  <si>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</si>
  <si>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</si>
  <si>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</si>
  <si>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</si>
  <si>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</si>
  <si>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</si>
  <si>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</si>
  <si>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</si>
  <si>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</si>
  <si>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</si>
  <si>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</si>
  <si>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</si>
  <si>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</si>
  <si>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</si>
  <si>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</si>
  <si>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</si>
  <si>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</si>
  <si>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</si>
  <si>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</si>
  <si>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</si>
  <si>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</si>
  <si>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</si>
  <si>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</si>
  <si>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</si>
  <si>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</si>
  <si>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</si>
  <si>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</si>
  <si>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</si>
  <si>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</si>
  <si>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</si>
  <si>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</si>
  <si>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</si>
  <si>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</si>
  <si>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</si>
  <si>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</si>
  <si>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</si>
  <si>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</si>
  <si>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</si>
  <si>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</si>
  <si>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</si>
  <si>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</si>
  <si>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</si>
  <si>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</si>
  <si>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</si>
  <si>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</si>
  <si>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</si>
  <si>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</si>
  <si>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</si>
  <si>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</si>
  <si>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</si>
  <si>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</si>
  <si>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</si>
  <si>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</si>
  <si>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</si>
  <si>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</si>
  <si>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</si>
  <si>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</si>
  <si>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</si>
  <si>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</si>
  <si>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</si>
  <si>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</si>
  <si>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</si>
  <si>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</si>
  <si>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</si>
  <si>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</si>
  <si>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</si>
  <si>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</si>
  <si>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</si>
  <si>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</si>
  <si>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</si>
  <si>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</si>
  <si>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</si>
  <si>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</si>
  <si>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</si>
  <si>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</si>
  <si>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</si>
  <si>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</si>
  <si>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</si>
  <si>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</si>
  <si>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</si>
  <si>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</si>
  <si>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</si>
  <si>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</si>
  <si>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</si>
  <si>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</si>
  <si>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</si>
  <si>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</si>
  <si>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</si>
  <si>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</si>
  <si>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</si>
  <si>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</si>
  <si>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</si>
  <si>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</si>
  <si>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</si>
  <si>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</si>
  <si>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</si>
  <si>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</si>
  <si>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</si>
  <si>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</si>
  <si>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</si>
  <si>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</si>
  <si>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</si>
  <si>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</si>
  <si>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</si>
  <si>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</si>
  <si>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</si>
  <si>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</si>
  <si>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</si>
  <si>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</si>
  <si>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</si>
  <si>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</si>
  <si>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</si>
  <si>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</si>
  <si>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</si>
  <si>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</si>
  <si>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</si>
  <si>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</si>
  <si>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</si>
  <si>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</si>
  <si>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</si>
  <si>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</si>
  <si>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</si>
  <si>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</si>
  <si>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</si>
  <si>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</si>
  <si>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</si>
  <si>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</si>
  <si>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</si>
  <si>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</si>
  <si>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</si>
  <si>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</si>
  <si>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</si>
  <si>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</si>
  <si>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</si>
  <si>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</si>
  <si>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</si>
  <si>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</si>
  <si>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</si>
  <si>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</si>
  <si>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</si>
  <si>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</si>
  <si>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</si>
  <si>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</si>
  <si>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</si>
  <si>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</si>
  <si>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</si>
  <si>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</si>
  <si>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</si>
  <si>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</si>
  <si>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</si>
  <si>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</si>
  <si>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</si>
  <si>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</si>
  <si>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</si>
  <si>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</si>
  <si>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</si>
  <si>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</si>
  <si>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</si>
  <si>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</si>
  <si>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</si>
  <si>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</si>
  <si>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</si>
  <si>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</si>
  <si>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</si>
  <si>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</si>
  <si>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</si>
  <si>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</si>
  <si>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</si>
  <si>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</si>
  <si>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</si>
  <si>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</si>
  <si>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</si>
  <si>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</si>
  <si>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</si>
  <si>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</si>
  <si>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</si>
  <si>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</si>
  <si>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</si>
  <si>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</si>
  <si>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</si>
  <si>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</si>
  <si>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</si>
  <si>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</si>
  <si>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</si>
  <si>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</si>
  <si>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</si>
  <si>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</si>
  <si>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</si>
  <si>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</si>
  <si>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</si>
  <si>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</si>
  <si>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</si>
  <si>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</si>
  <si>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</si>
  <si>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</si>
  <si>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</si>
  <si>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</si>
  <si>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</si>
  <si>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</si>
  <si>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</si>
  <si>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</si>
  <si>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</si>
  <si>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</si>
  <si>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</si>
  <si>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</si>
  <si>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</si>
  <si>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</si>
  <si>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</si>
  <si>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</si>
  <si>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</si>
  <si>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</si>
  <si>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</si>
  <si>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</si>
  <si>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</si>
  <si>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</si>
  <si>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</si>
  <si>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</si>
  <si>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</si>
  <si>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</si>
  <si>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</si>
  <si>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</si>
  <si>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</si>
  <si>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</si>
  <si>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</si>
  <si>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</si>
  <si>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</si>
  <si>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</si>
  <si>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</si>
  <si>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</si>
  <si>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</si>
  <si>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</si>
  <si>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</si>
  <si>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</si>
  <si>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</si>
  <si>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</si>
  <si>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</si>
  <si>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</si>
  <si>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</si>
  <si>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</si>
  <si>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</si>
  <si>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</si>
  <si>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</si>
  <si>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</si>
  <si>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</si>
  <si>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</si>
  <si>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</si>
  <si>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</si>
  <si>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</si>
  <si>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</si>
  <si>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</si>
  <si>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</si>
  <si>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</si>
  <si>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</si>
  <si>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</si>
  <si>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</si>
  <si>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</si>
  <si>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</si>
  <si>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</si>
  <si>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</si>
  <si>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</si>
  <si>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</si>
  <si>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</si>
  <si>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</si>
  <si>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</si>
  <si>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</si>
  <si>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</si>
  <si>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</si>
  <si>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</si>
  <si>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</si>
  <si>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</si>
  <si>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</si>
  <si>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</si>
  <si>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</si>
  <si>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</si>
  <si>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</si>
  <si>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</si>
  <si>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</si>
  <si>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</si>
  <si>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</si>
  <si>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</si>
  <si>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</si>
  <si>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</si>
  <si>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</si>
  <si>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</si>
  <si>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</si>
  <si>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</si>
  <si>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</si>
  <si>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</si>
  <si>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</si>
  <si>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</si>
  <si>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</si>
  <si>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</si>
  <si>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</si>
  <si>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</si>
  <si>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</si>
  <si>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</si>
  <si>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</si>
  <si>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</si>
  <si>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</si>
  <si>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</si>
  <si>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</si>
  <si>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</si>
  <si>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</si>
  <si>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</si>
  <si>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</si>
  <si>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</si>
  <si>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</si>
  <si>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</si>
  <si>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</si>
  <si>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</si>
  <si>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</si>
  <si>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</si>
  <si>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</si>
  <si>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</si>
  <si>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</si>
  <si>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</si>
  <si>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</si>
  <si>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</si>
  <si>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</si>
  <si>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</si>
  <si>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</si>
  <si>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</si>
  <si>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</si>
  <si>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</si>
  <si>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</si>
  <si>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</si>
  <si>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</si>
  <si>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</si>
  <si>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</si>
  <si>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</si>
  <si>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</si>
  <si>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</si>
  <si>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</si>
  <si>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</si>
  <si>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</si>
  <si>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</si>
  <si>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</si>
  <si>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</si>
  <si>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</si>
  <si>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</si>
  <si>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</si>
  <si>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</si>
  <si>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</si>
  <si>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</si>
  <si>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</si>
  <si>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</si>
  <si>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</si>
  <si>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</si>
  <si>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</si>
  <si>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</si>
  <si>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</si>
  <si>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</si>
  <si>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</si>
  <si>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</si>
  <si>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</si>
  <si>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</si>
  <si>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</si>
  <si>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</si>
  <si>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</si>
  <si>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</si>
  <si>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</si>
  <si>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</si>
  <si>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</si>
  <si>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</si>
  <si>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</si>
  <si>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</si>
  <si>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</si>
  <si>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</si>
  <si>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</si>
  <si>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</si>
  <si>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</si>
  <si>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</si>
  <si>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</si>
  <si>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</si>
  <si>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</si>
  <si>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</si>
  <si>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</si>
  <si>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</si>
  <si>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</si>
  <si>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</si>
  <si>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</si>
  <si>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</si>
  <si>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</si>
  <si>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</si>
  <si>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</si>
  <si>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</si>
  <si>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</si>
  <si>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</si>
  <si>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</si>
  <si>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</si>
  <si>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</si>
  <si>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</si>
  <si>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</si>
  <si>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</si>
  <si>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</si>
  <si>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</si>
  <si>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</si>
  <si>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</si>
  <si>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</si>
  <si>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</si>
  <si>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</si>
  <si>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</si>
  <si>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</si>
  <si>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</si>
  <si>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</si>
  <si>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</si>
  <si>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</si>
  <si>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</si>
  <si>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</si>
  <si>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</si>
  <si>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</si>
  <si>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</si>
  <si>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</si>
  <si>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</si>
  <si>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</si>
  <si>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</si>
  <si>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</si>
  <si>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</si>
  <si>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</si>
  <si>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</si>
  <si>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</si>
  <si>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</si>
  <si>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</si>
  <si>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</si>
  <si>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</si>
  <si>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</si>
  <si>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</si>
  <si>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</si>
  <si>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</si>
  <si>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</si>
  <si>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</si>
  <si>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</si>
  <si>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</si>
  <si>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</si>
  <si>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</si>
  <si>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</si>
  <si>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</si>
  <si>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</si>
  <si>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</si>
  <si>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</si>
  <si>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</si>
  <si>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</si>
  <si>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</si>
  <si>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</si>
  <si>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</si>
  <si>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</si>
  <si>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</si>
  <si>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</si>
  <si>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</si>
  <si>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</si>
  <si>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</si>
  <si>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</si>
  <si>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</si>
  <si>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</si>
  <si>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</si>
  <si>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</si>
  <si>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</si>
  <si>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</si>
  <si>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</si>
  <si>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</si>
  <si>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</si>
  <si>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</si>
  <si>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</si>
  <si>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</si>
  <si>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</si>
  <si>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</si>
  <si>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</si>
  <si>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</si>
  <si>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</si>
  <si>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</si>
  <si>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</si>
  <si>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</si>
  <si>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</si>
  <si>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</si>
  <si>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</si>
  <si>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</si>
  <si>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</si>
  <si>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</si>
  <si>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</si>
  <si>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</si>
  <si>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</si>
  <si>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</si>
  <si>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</si>
  <si>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</si>
  <si>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</si>
  <si>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</si>
  <si>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</si>
  <si>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</si>
  <si>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</si>
  <si>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</si>
  <si>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</si>
  <si>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</si>
  <si>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</si>
  <si>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</si>
  <si>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</si>
  <si>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</si>
  <si>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</si>
  <si>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</si>
  <si>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</si>
  <si>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</si>
  <si>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</si>
  <si>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</si>
  <si>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</si>
  <si>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</si>
  <si>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</si>
  <si>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</si>
  <si>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</si>
  <si>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</si>
  <si>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</si>
  <si>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</si>
  <si>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</si>
  <si>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</si>
  <si>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</si>
  <si>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</si>
  <si>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</si>
  <si>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</si>
  <si>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</si>
  <si>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</si>
  <si>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</si>
  <si>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</si>
  <si>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</si>
  <si>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</si>
  <si>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</si>
  <si>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</si>
  <si>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</si>
  <si>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</si>
  <si>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</si>
  <si>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</si>
  <si>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</si>
  <si>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</si>
  <si>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</si>
  <si>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</si>
  <si>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</si>
  <si>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</si>
  <si>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</si>
  <si>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</si>
  <si>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</si>
  <si>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</si>
  <si>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</si>
  <si>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</si>
  <si>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</si>
  <si>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</si>
  <si>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</si>
  <si>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</si>
  <si>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</si>
  <si>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</si>
  <si>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</si>
  <si>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</si>
  <si>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</si>
  <si>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</si>
  <si>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</si>
  <si>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</si>
  <si>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</si>
  <si>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</si>
  <si>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</si>
  <si>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</si>
  <si>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</si>
  <si>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</si>
  <si>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</si>
  <si>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</si>
  <si>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</si>
  <si>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</si>
  <si>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</si>
  <si>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</si>
  <si>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</si>
  <si>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</si>
  <si>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</si>
  <si>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</si>
  <si>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</si>
  <si>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</si>
  <si>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</si>
  <si>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</si>
  <si>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</si>
  <si>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</si>
  <si>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</si>
  <si>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</si>
  <si>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</si>
  <si>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</si>
  <si>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</si>
  <si>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</si>
  <si>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</si>
  <si>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</si>
  <si>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</si>
  <si>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</si>
  <si>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</si>
  <si>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</si>
  <si>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</si>
  <si>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</si>
  <si>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</si>
  <si>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</si>
  <si>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</si>
  <si>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</si>
  <si>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</si>
  <si>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</si>
  <si>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</si>
  <si>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</si>
  <si>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</si>
  <si>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</si>
  <si>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</si>
  <si>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</si>
  <si>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</si>
  <si>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</si>
  <si>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</si>
  <si>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</si>
  <si>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</si>
  <si>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</si>
  <si>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</si>
  <si>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</si>
  <si>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</si>
  <si>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</si>
  <si>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</si>
  <si>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</si>
  <si>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</si>
  <si>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</si>
  <si>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</si>
  <si>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</si>
  <si>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</si>
  <si>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</si>
  <si>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</si>
  <si>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</si>
  <si>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</si>
  <si>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</si>
  <si>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</si>
  <si>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</si>
  <si>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</si>
  <si>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</si>
  <si>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</si>
  <si>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</si>
  <si>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</si>
  <si>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</si>
  <si>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</si>
  <si>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</si>
  <si>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</si>
  <si>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</si>
  <si>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</si>
  <si>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</si>
  <si>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</si>
  <si>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</si>
  <si>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</si>
  <si>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</si>
  <si>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</si>
  <si>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</si>
  <si>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</si>
  <si>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</si>
  <si>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</si>
  <si>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</si>
  <si>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</si>
  <si>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</si>
  <si>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</si>
  <si>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</si>
  <si>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</si>
  <si>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</si>
  <si>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</si>
  <si>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</si>
  <si>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</si>
  <si>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</si>
  <si>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</si>
  <si>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</si>
  <si>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</si>
  <si>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</si>
  <si>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</si>
  <si>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</si>
  <si>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</si>
  <si>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</si>
  <si>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</si>
  <si>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</si>
  <si>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</si>
  <si>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</si>
  <si>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</si>
  <si>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</si>
  <si>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</si>
  <si>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</si>
  <si>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</si>
  <si>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</si>
  <si>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</si>
  <si>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</si>
  <si>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</si>
  <si>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</si>
  <si>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</si>
  <si>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</si>
  <si>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</si>
  <si>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</si>
  <si>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</si>
  <si>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</si>
  <si>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</si>
  <si>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</si>
  <si>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</si>
  <si>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</si>
  <si>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</si>
  <si>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</si>
  <si>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</si>
  <si>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</si>
  <si>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</si>
  <si>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</si>
  <si>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</si>
  <si>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</si>
  <si>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</si>
  <si>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</si>
  <si>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</si>
  <si>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</si>
  <si>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</si>
  <si>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</si>
  <si>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</si>
  <si>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</si>
  <si>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</si>
  <si>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</si>
  <si>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</si>
  <si>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</si>
  <si>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</si>
  <si>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</si>
  <si>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</si>
  <si>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</si>
  <si>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</si>
  <si>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</si>
  <si>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</si>
  <si>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</si>
  <si>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</si>
  <si>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</si>
  <si>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</si>
  <si>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</si>
  <si>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</si>
  <si>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</si>
  <si>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</si>
  <si>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</si>
  <si>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</si>
  <si>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</si>
  <si>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</si>
  <si>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</si>
  <si>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</si>
  <si>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</si>
  <si>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</si>
  <si>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</si>
  <si>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</si>
  <si>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</si>
  <si>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</si>
  <si>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</si>
  <si>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</si>
  <si>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</si>
  <si>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</si>
  <si>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</si>
  <si>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</si>
  <si>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</si>
  <si>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</si>
  <si>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</si>
  <si>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</si>
  <si>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</si>
  <si>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</si>
  <si>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</si>
  <si>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</si>
  <si>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</si>
  <si>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</si>
  <si>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</si>
  <si>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</si>
  <si>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</si>
  <si>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</si>
  <si>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</si>
  <si>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</si>
  <si>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</si>
  <si>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</si>
  <si>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</si>
  <si>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</si>
  <si>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</si>
  <si>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</si>
  <si>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</si>
  <si>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</si>
  <si>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</si>
  <si>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</si>
  <si>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</si>
  <si>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</si>
  <si>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</si>
  <si>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</si>
  <si>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</si>
  <si>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</si>
  <si>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</si>
  <si>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</si>
  <si>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</si>
  <si>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</si>
  <si>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</si>
  <si>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</si>
  <si>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</si>
  <si>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</si>
  <si>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</si>
  <si>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</si>
  <si>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</si>
  <si>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</si>
  <si>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</si>
  <si>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</si>
  <si>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</si>
  <si>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</si>
  <si>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</si>
  <si>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</si>
  <si>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</si>
  <si>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</si>
  <si>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</si>
  <si>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</si>
  <si>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</si>
  <si>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</si>
  <si>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</si>
  <si>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</si>
  <si>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</si>
  <si>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</si>
  <si>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</si>
  <si>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</si>
  <si>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</si>
  <si>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</si>
  <si>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</si>
  <si>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</si>
  <si>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</si>
  <si>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</si>
  <si>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</si>
  <si>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</si>
  <si>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</si>
  <si>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</si>
  <si>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</si>
  <si>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</si>
  <si>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</si>
  <si>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</si>
  <si>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</si>
  <si>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</si>
  <si>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</si>
  <si>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</si>
  <si>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</si>
  <si>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</si>
  <si>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</si>
  <si>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</si>
  <si>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</si>
  <si>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</si>
  <si>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</si>
  <si>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</si>
  <si>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</si>
  <si>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</si>
  <si>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</si>
  <si>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</si>
  <si>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</si>
  <si>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</si>
  <si>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</si>
  <si>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</si>
  <si>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</si>
  <si>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</si>
  <si>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</si>
  <si>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</si>
  <si>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</si>
  <si>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</si>
  <si>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</si>
  <si>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</si>
  <si>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</si>
  <si>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</si>
  <si>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</si>
  <si>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</si>
  <si>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</si>
  <si>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</si>
  <si>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</si>
  <si>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</si>
  <si>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</si>
  <si>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</si>
  <si>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</si>
  <si>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</si>
  <si>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</si>
  <si>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</si>
  <si>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</si>
  <si>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</si>
  <si>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</si>
  <si>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</si>
  <si>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</si>
  <si>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</si>
  <si>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</si>
  <si>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</si>
  <si>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</si>
  <si>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</si>
  <si>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</si>
  <si>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</si>
  <si>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</si>
  <si>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</si>
  <si>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</si>
  <si>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</si>
  <si>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</si>
  <si>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</si>
  <si>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</si>
  <si>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</si>
  <si>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</si>
  <si>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</si>
  <si>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</si>
  <si>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</si>
  <si>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</si>
  <si>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</si>
  <si>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</si>
  <si>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</si>
  <si>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</si>
  <si>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</si>
  <si>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</si>
  <si>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</si>
  <si>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</si>
  <si>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</si>
  <si>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</si>
  <si>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</si>
  <si>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</si>
  <si>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</si>
  <si>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</si>
  <si>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</si>
  <si>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</si>
  <si>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</si>
  <si>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</si>
  <si>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</si>
  <si>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</si>
  <si>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</si>
  <si>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</si>
  <si>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</si>
  <si>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</si>
  <si>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</si>
  <si>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</si>
  <si>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</si>
  <si>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</si>
  <si>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</si>
  <si>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</si>
  <si>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</si>
  <si>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</si>
  <si>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</si>
  <si>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</si>
  <si>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</si>
  <si>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</si>
  <si>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</si>
  <si>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</si>
  <si>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</si>
  <si>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</si>
  <si>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</si>
  <si>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</si>
  <si>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</si>
  <si>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</si>
  <si>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</si>
  <si>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</si>
  <si>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</si>
  <si>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</si>
  <si>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</si>
  <si>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</si>
  <si>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</si>
  <si>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</si>
  <si>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</si>
  <si>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</si>
  <si>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</si>
  <si>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</si>
  <si>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</si>
  <si>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</si>
  <si>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</si>
  <si>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</si>
  <si>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</si>
  <si>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</si>
  <si>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</si>
  <si>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</si>
  <si>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</si>
  <si>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</si>
  <si>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</si>
  <si>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</si>
  <si>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</si>
  <si>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</si>
  <si>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</si>
  <si>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</si>
  <si>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</si>
  <si>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</si>
  <si>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</si>
  <si>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</si>
  <si>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</si>
  <si>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</si>
  <si>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</si>
  <si>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</si>
  <si>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</si>
  <si>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</si>
  <si>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</si>
  <si>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</si>
  <si>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</si>
  <si>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</si>
  <si>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</si>
  <si>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</si>
  <si>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</si>
  <si>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</si>
  <si>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</si>
  <si>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</si>
  <si>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</si>
  <si>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</si>
  <si>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</si>
  <si>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</si>
  <si>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</si>
  <si>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</si>
  <si>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</si>
  <si>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</si>
  <si>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</si>
  <si>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</si>
  <si>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</si>
  <si>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</si>
  <si>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</si>
  <si>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</si>
  <si>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</si>
  <si>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</si>
  <si>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</si>
  <si>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</si>
  <si>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</si>
  <si>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</si>
  <si>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</si>
  <si>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</si>
  <si>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</si>
  <si>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</si>
  <si>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</si>
  <si>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</si>
  <si>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</si>
  <si>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</si>
  <si>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</si>
  <si>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</si>
  <si>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</si>
  <si>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</si>
  <si>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</si>
  <si>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</si>
  <si>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</si>
  <si>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</si>
  <si>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</si>
  <si>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</si>
  <si>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</si>
  <si>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</si>
  <si>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</si>
  <si>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</si>
  <si>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</si>
  <si>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</si>
  <si>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</si>
  <si>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</si>
  <si>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</si>
  <si>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</si>
  <si>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</si>
  <si>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</si>
  <si>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</si>
  <si>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</si>
  <si>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</si>
  <si>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</si>
  <si>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</si>
  <si>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</si>
  <si>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</si>
  <si>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</si>
  <si>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</si>
  <si>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</si>
  <si>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</si>
  <si>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</si>
  <si>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</si>
  <si>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</si>
  <si>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</si>
  <si>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</si>
  <si>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</si>
  <si>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</si>
  <si>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</si>
  <si>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</si>
  <si>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</si>
  <si>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</si>
  <si>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</si>
  <si>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</si>
  <si>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</si>
  <si>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</si>
  <si>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</si>
  <si>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</si>
  <si>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</si>
  <si>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</si>
  <si>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</si>
  <si>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</si>
  <si>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</si>
  <si>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</si>
  <si>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</si>
  <si>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</si>
  <si>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</si>
  <si>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</si>
  <si>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</si>
  <si>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</si>
  <si>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</si>
  <si>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</si>
  <si>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</si>
  <si>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</si>
  <si>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</si>
  <si>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</si>
  <si>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</si>
  <si>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</si>
  <si>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</si>
  <si>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</si>
  <si>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</si>
  <si>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</si>
  <si>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</si>
  <si>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</si>
  <si>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</si>
  <si>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</si>
  <si>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</si>
  <si>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</si>
  <si>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</si>
  <si>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</si>
  <si>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</si>
  <si>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</si>
  <si>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</si>
  <si>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</si>
  <si>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</si>
  <si>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</si>
  <si>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</si>
  <si>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</si>
  <si>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</si>
  <si>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</si>
  <si>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</si>
  <si>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</si>
  <si>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</si>
  <si>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</si>
  <si>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</si>
  <si>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</si>
  <si>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</si>
  <si>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</si>
  <si>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</si>
  <si>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</si>
  <si>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</si>
  <si>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</si>
  <si>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</si>
  <si>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</si>
  <si>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</si>
  <si>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</si>
  <si>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</si>
  <si>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</si>
  <si>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</si>
  <si>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</si>
  <si>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</si>
  <si>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</si>
  <si>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</si>
  <si>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</si>
  <si>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</si>
  <si>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</si>
  <si>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</si>
  <si>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</si>
  <si>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</si>
  <si>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</si>
  <si>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</si>
  <si>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</si>
  <si>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</si>
  <si>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</si>
  <si>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</si>
  <si>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</si>
  <si>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</si>
  <si>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</si>
  <si>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</si>
  <si>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</si>
  <si>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</si>
  <si>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</si>
  <si>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</si>
  <si>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</si>
  <si>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</si>
  <si>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</si>
  <si>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</si>
  <si>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</si>
  <si>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</si>
  <si>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</si>
  <si>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</si>
  <si>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</si>
  <si>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</si>
  <si>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</si>
  <si>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</si>
  <si>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</si>
  <si>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</si>
  <si>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</si>
  <si>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</si>
  <si>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</si>
  <si>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</si>
  <si>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</si>
  <si>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</si>
  <si>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</si>
  <si>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</si>
  <si>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</si>
  <si>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</si>
  <si>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</si>
  <si>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</si>
  <si>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</si>
  <si>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</si>
  <si>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</si>
  <si>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</si>
  <si>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</si>
  <si>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</si>
  <si>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</si>
  <si>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</si>
  <si>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</si>
  <si>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</si>
  <si>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</si>
  <si>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</si>
  <si>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</si>
  <si>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</si>
  <si>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</si>
  <si>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核定资产</t>
  </si>
  <si>
    <t>北京市</t>
  </si>
  <si>
    <t>正常</t>
  </si>
  <si>
    <t>住宅</t>
  </si>
  <si>
    <t>住宅</t>
    <phoneticPr fontId="24" type="noConversion"/>
  </si>
  <si>
    <t>较好</t>
  </si>
  <si>
    <t>估价对象所在区域基础设施水平达七通</t>
    <phoneticPr fontId="24" type="noConversion"/>
  </si>
  <si>
    <t>估价对象所在区域公共配套设施齐备</t>
    <phoneticPr fontId="40" type="noConversion"/>
  </si>
  <si>
    <t>好</t>
  </si>
  <si>
    <t>七通</t>
  </si>
  <si>
    <t>砖混</t>
  </si>
  <si>
    <t>砖混</t>
    <phoneticPr fontId="24" type="noConversion"/>
  </si>
  <si>
    <t>简单装修</t>
  </si>
  <si>
    <t>简单装修</t>
    <phoneticPr fontId="24" type="noConversion"/>
  </si>
  <si>
    <t>物业公司管理</t>
  </si>
  <si>
    <t>物业公司管理</t>
    <phoneticPr fontId="24" type="noConversion"/>
  </si>
  <si>
    <t>单位自管</t>
  </si>
  <si>
    <t>单位自管</t>
    <phoneticPr fontId="24" type="noConversion"/>
  </si>
  <si>
    <t>七通</t>
    <phoneticPr fontId="24" type="noConversion"/>
  </si>
  <si>
    <t>六通</t>
    <phoneticPr fontId="24" type="noConversion"/>
  </si>
  <si>
    <t>五通</t>
    <phoneticPr fontId="24" type="noConversion"/>
  </si>
  <si>
    <t>平层</t>
  </si>
  <si>
    <t>平层</t>
    <phoneticPr fontId="24" type="noConversion"/>
  </si>
  <si>
    <t>平房</t>
    <phoneticPr fontId="24" type="noConversion"/>
  </si>
  <si>
    <t>板楼</t>
  </si>
  <si>
    <t>板楼</t>
    <phoneticPr fontId="24" type="noConversion"/>
  </si>
  <si>
    <t>塔楼</t>
    <phoneticPr fontId="24" type="noConversion"/>
  </si>
  <si>
    <t>板楼、塔楼</t>
  </si>
  <si>
    <t>板楼、塔楼</t>
    <phoneticPr fontId="24" type="noConversion"/>
  </si>
  <si>
    <t>钢混、砖混</t>
  </si>
  <si>
    <t>钢混、砖混</t>
    <phoneticPr fontId="24" type="noConversion"/>
  </si>
  <si>
    <t>独立卫生间</t>
    <phoneticPr fontId="24" type="noConversion"/>
  </si>
  <si>
    <t>有</t>
    <phoneticPr fontId="24" type="noConversion"/>
  </si>
  <si>
    <t>项目类型</t>
  </si>
  <si>
    <t>比较法-楼房</t>
  </si>
  <si>
    <t>比较法-楼房</t>
    <phoneticPr fontId="16" type="noConversion"/>
  </si>
  <si>
    <t>比较法-平房</t>
  </si>
  <si>
    <t>比较法-平房</t>
    <phoneticPr fontId="16" type="noConversion"/>
  </si>
  <si>
    <t>住宅</t>
    <phoneticPr fontId="7" type="noConversion"/>
  </si>
  <si>
    <t>地上</t>
  </si>
  <si>
    <t>小区</t>
  </si>
  <si>
    <t>平米租金(元/㎡·月)</t>
  </si>
  <si>
    <t>一般</t>
  </si>
  <si>
    <t>绿地·海珀云翡&lt;观音寺街道&lt;大兴区</t>
  </si>
  <si>
    <t>华远西红世&lt;观音寺街道&lt;大兴区</t>
  </si>
  <si>
    <t>金地悦风华&lt;观音寺街道&lt;大兴区</t>
  </si>
  <si>
    <t>双河南里尚城&lt;观音寺街道&lt;大兴区</t>
  </si>
  <si>
    <t>团河苑小区&lt;观音寺街道&lt;大兴区</t>
  </si>
  <si>
    <t>清源佳园&lt;观音寺街道&lt;大兴区</t>
  </si>
  <si>
    <t>盛春坊&lt;观音寺街道&lt;大兴区</t>
  </si>
  <si>
    <t>福苑小区&lt;观音寺街道&lt;大兴区</t>
  </si>
  <si>
    <t>美澜湾F区&lt;观音寺街道&lt;大兴区</t>
  </si>
  <si>
    <t>盛嘉华苑&lt;观音寺街道&lt;大兴区</t>
  </si>
  <si>
    <t>泰中花园&lt;观音寺街道&lt;大兴区</t>
  </si>
  <si>
    <t>双河北里尚城&lt;观音寺街道&lt;大兴区</t>
  </si>
  <si>
    <t>福海佳园&lt;观音寺街道&lt;大兴区</t>
  </si>
  <si>
    <t>观音寺小区&lt;观音寺街道&lt;大兴区</t>
  </si>
  <si>
    <t>新安里小区&lt;观音寺街道&lt;大兴区</t>
  </si>
  <si>
    <t>首座御园三期&lt;观音寺街道&lt;大兴区</t>
  </si>
  <si>
    <t>首座御园二期1号院&lt;观音寺街道&lt;大兴区</t>
  </si>
  <si>
    <t>金华里&lt;观音寺街道&lt;大兴区</t>
  </si>
  <si>
    <t>双河北里&lt;观音寺街道&lt;大兴区</t>
  </si>
  <si>
    <t>观音寺南里&lt;观音寺街道&lt;大兴区</t>
  </si>
  <si>
    <t>双河南里&lt;观音寺街道&lt;大兴区</t>
  </si>
  <si>
    <t>观音寺北里&lt;观音寺街道&lt;大兴区</t>
  </si>
  <si>
    <t>首座御园二期2号院&lt;观音寺街道&lt;大兴区</t>
  </si>
  <si>
    <t>新居里&lt;观音寺街道&lt;大兴区</t>
  </si>
  <si>
    <t>是</t>
  </si>
  <si>
    <t>北京市大兴区沐新路2号</t>
    <phoneticPr fontId="3" type="noConversion"/>
  </si>
  <si>
    <t>估价对象周边有团河苑小区、首座御园、新居里等社区，综合评价居住社区成熟度较好</t>
    <phoneticPr fontId="40" type="noConversion"/>
  </si>
  <si>
    <t>估价对象周边有兴33路、X101路、X103路、946路、957路等多条公共线路，距地铁大兴机场线（大兴新城站）约500米，地面可停车，综合评价交通便捷度一般</t>
    <phoneticPr fontId="24" type="noConversion"/>
  </si>
  <si>
    <t>城市支路——沐新路</t>
    <phoneticPr fontId="24" type="noConversion"/>
  </si>
  <si>
    <t>区域自然环境：凤河、新凤河；人文环境：团河行宫遗址公园等；综合评价环境状况一般</t>
    <phoneticPr fontId="40" type="noConversion"/>
  </si>
  <si>
    <t>首座御园一期&lt;观音寺街道&lt;大兴区</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</si>
</sst>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49" fontId="222" fillId="0" borderId="24" xfId="0" applyNumberFormat="1" applyFont="1" applyFill="1" applyBorder="1" applyAlignment="1" applyProtection="1">
      <alignment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269" fillId="0" borderId="0" xfId="19"/>
    <xf numFmtId="14" fontId="269" fillId="0" borderId="0" xfId="19" applyNumberFormat="1"/>
    <xf numFmtId="0" fontId="269" fillId="5" borderId="0" xfId="19" applyFill="1"/>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69" fillId="0" borderId="0" xfId="19"/>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xr:uid="{00000000-0005-0000-0000-000001000000}"/>
    <cellStyle name="常规" xfId="0" builtinId="0"/>
    <cellStyle name="常规 10" xfId="19" xr:uid="{E7E698C2-17DE-4327-914F-CB08E26D42D7}"/>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10</xdr:col>
      <xdr:colOff>636840</xdr:colOff>
      <xdr:row>54</xdr:row>
      <xdr:rowOff>180342</xdr:rowOff>
    </xdr:to>
    <xdr:pic>
      <xdr:nvPicPr>
        <xdr:cNvPr id="2" name="图片 1">
          <a:extLst>
            <a:ext uri="{FF2B5EF4-FFF2-40B4-BE49-F238E27FC236}">
              <a16:creationId xmlns:a16="http://schemas.microsoft.com/office/drawing/2014/main" id="{9BA38B88-C646-45AB-B4DE-E8E769304076}"/>
            </a:ext>
          </a:extLst>
        </xdr:cNvPr>
        <xdr:cNvPicPr>
          <a:picLocks noChangeAspect="1"/>
        </xdr:cNvPicPr>
      </xdr:nvPicPr>
      <xdr:blipFill>
        <a:blip xmlns:r="http://schemas.openxmlformats.org/officeDocument/2006/relationships" r:embed="rId1"/>
        <a:stretch>
          <a:fillRect/>
        </a:stretch>
      </xdr:blipFill>
      <xdr:spPr>
        <a:xfrm>
          <a:off x="0" y="4886325"/>
          <a:ext cx="10676190" cy="5066667"/>
        </a:xfrm>
        <a:prstGeom prst="rect">
          <a:avLst/>
        </a:prstGeom>
      </xdr:spPr>
    </xdr:pic>
    <xdr:clientData/>
  </xdr:twoCellAnchor>
  <xdr:twoCellAnchor editAs="oneCell">
    <xdr:from>
      <xdr:col>0</xdr:col>
      <xdr:colOff>0</xdr:colOff>
      <xdr:row>54</xdr:row>
      <xdr:rowOff>133350</xdr:rowOff>
    </xdr:from>
    <xdr:to>
      <xdr:col>10</xdr:col>
      <xdr:colOff>93983</xdr:colOff>
      <xdr:row>82</xdr:row>
      <xdr:rowOff>94621</xdr:rowOff>
    </xdr:to>
    <xdr:pic>
      <xdr:nvPicPr>
        <xdr:cNvPr id="3" name="图片 2">
          <a:extLst>
            <a:ext uri="{FF2B5EF4-FFF2-40B4-BE49-F238E27FC236}">
              <a16:creationId xmlns:a16="http://schemas.microsoft.com/office/drawing/2014/main" id="{9C083349-1A49-4FB2-A85A-7FAE63A28F5E}"/>
            </a:ext>
          </a:extLst>
        </xdr:cNvPr>
        <xdr:cNvPicPr>
          <a:picLocks noChangeAspect="1"/>
        </xdr:cNvPicPr>
      </xdr:nvPicPr>
      <xdr:blipFill>
        <a:blip xmlns:r="http://schemas.openxmlformats.org/officeDocument/2006/relationships" r:embed="rId2"/>
        <a:stretch>
          <a:fillRect/>
        </a:stretch>
      </xdr:blipFill>
      <xdr:spPr>
        <a:xfrm>
          <a:off x="0" y="9906000"/>
          <a:ext cx="10133333" cy="5028571"/>
        </a:xfrm>
        <a:prstGeom prst="rect">
          <a:avLst/>
        </a:prstGeom>
      </xdr:spPr>
    </xdr:pic>
    <xdr:clientData/>
  </xdr:twoCellAnchor>
  <xdr:twoCellAnchor editAs="oneCell">
    <xdr:from>
      <xdr:col>0</xdr:col>
      <xdr:colOff>0</xdr:colOff>
      <xdr:row>82</xdr:row>
      <xdr:rowOff>38100</xdr:rowOff>
    </xdr:from>
    <xdr:to>
      <xdr:col>10</xdr:col>
      <xdr:colOff>255888</xdr:colOff>
      <xdr:row>109</xdr:row>
      <xdr:rowOff>132727</xdr:rowOff>
    </xdr:to>
    <xdr:pic>
      <xdr:nvPicPr>
        <xdr:cNvPr id="4" name="图片 3">
          <a:extLst>
            <a:ext uri="{FF2B5EF4-FFF2-40B4-BE49-F238E27FC236}">
              <a16:creationId xmlns:a16="http://schemas.microsoft.com/office/drawing/2014/main" id="{21D216F8-9A0E-4CEF-BB20-C322F8EDFBAE}"/>
            </a:ext>
          </a:extLst>
        </xdr:cNvPr>
        <xdr:cNvPicPr>
          <a:picLocks noChangeAspect="1"/>
        </xdr:cNvPicPr>
      </xdr:nvPicPr>
      <xdr:blipFill>
        <a:blip xmlns:r="http://schemas.openxmlformats.org/officeDocument/2006/relationships" r:embed="rId3"/>
        <a:stretch>
          <a:fillRect/>
        </a:stretch>
      </xdr:blipFill>
      <xdr:spPr>
        <a:xfrm>
          <a:off x="0" y="14878050"/>
          <a:ext cx="10295238" cy="4980952"/>
        </a:xfrm>
        <a:prstGeom prst="rect">
          <a:avLst/>
        </a:prstGeom>
      </xdr:spPr>
    </xdr:pic>
    <xdr:clientData/>
  </xdr:twoCellAnchor>
  <xdr:twoCellAnchor editAs="oneCell">
    <xdr:from>
      <xdr:col>0</xdr:col>
      <xdr:colOff>0</xdr:colOff>
      <xdr:row>109</xdr:row>
      <xdr:rowOff>66675</xdr:rowOff>
    </xdr:from>
    <xdr:to>
      <xdr:col>10</xdr:col>
      <xdr:colOff>493983</xdr:colOff>
      <xdr:row>137</xdr:row>
      <xdr:rowOff>56518</xdr:rowOff>
    </xdr:to>
    <xdr:pic>
      <xdr:nvPicPr>
        <xdr:cNvPr id="5" name="图片 4">
          <a:extLst>
            <a:ext uri="{FF2B5EF4-FFF2-40B4-BE49-F238E27FC236}">
              <a16:creationId xmlns:a16="http://schemas.microsoft.com/office/drawing/2014/main" id="{E7EB29C4-31C2-47EE-B00E-03D6919BA4C4}"/>
            </a:ext>
          </a:extLst>
        </xdr:cNvPr>
        <xdr:cNvPicPr>
          <a:picLocks noChangeAspect="1"/>
        </xdr:cNvPicPr>
      </xdr:nvPicPr>
      <xdr:blipFill>
        <a:blip xmlns:r="http://schemas.openxmlformats.org/officeDocument/2006/relationships" r:embed="rId4"/>
        <a:stretch>
          <a:fillRect/>
        </a:stretch>
      </xdr:blipFill>
      <xdr:spPr>
        <a:xfrm>
          <a:off x="0" y="19792950"/>
          <a:ext cx="10533333" cy="5057143"/>
        </a:xfrm>
        <a:prstGeom prst="rect">
          <a:avLst/>
        </a:prstGeom>
      </xdr:spPr>
    </xdr:pic>
    <xdr:clientData/>
  </xdr:twoCellAnchor>
  <xdr:twoCellAnchor editAs="oneCell">
    <xdr:from>
      <xdr:col>10</xdr:col>
      <xdr:colOff>104775</xdr:colOff>
      <xdr:row>27</xdr:row>
      <xdr:rowOff>19050</xdr:rowOff>
    </xdr:from>
    <xdr:to>
      <xdr:col>16</xdr:col>
      <xdr:colOff>418432</xdr:colOff>
      <xdr:row>47</xdr:row>
      <xdr:rowOff>9074</xdr:rowOff>
    </xdr:to>
    <xdr:pic>
      <xdr:nvPicPr>
        <xdr:cNvPr id="6" name="图片 5">
          <a:extLst>
            <a:ext uri="{FF2B5EF4-FFF2-40B4-BE49-F238E27FC236}">
              <a16:creationId xmlns:a16="http://schemas.microsoft.com/office/drawing/2014/main" id="{872C7969-9871-45A7-833F-1D45250373A7}"/>
            </a:ext>
          </a:extLst>
        </xdr:cNvPr>
        <xdr:cNvPicPr>
          <a:picLocks noChangeAspect="1"/>
        </xdr:cNvPicPr>
      </xdr:nvPicPr>
      <xdr:blipFill>
        <a:blip xmlns:r="http://schemas.openxmlformats.org/officeDocument/2006/relationships" r:embed="rId5"/>
        <a:stretch>
          <a:fillRect/>
        </a:stretch>
      </xdr:blipFill>
      <xdr:spPr>
        <a:xfrm>
          <a:off x="10144125" y="4905375"/>
          <a:ext cx="5342857" cy="3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1672;&#35810;&#25253;&#21578;/&#20891;&#38431;/&#21271;&#34562;&#3138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估价对象为北京市房地产，为所有。根据《国有土地使用证》[]，估价对象（分摊）出让国有建设用地使用权面积为0平方米，建筑面积为10000平方米。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估价对象为北京市房地产,属开发建设的，该项目尚在开发建设中。根据《国有土地使用证》[]，估价对象（分摊）出让国有建设用地使用权面积为0平方米，规划建筑面积为10000平方米。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2023年11月23日</v>
      </c>
    </row>
    <row r="13" spans="1:2" s="1203" customFormat="1">
      <c r="A13" s="1201" t="s">
        <v>529</v>
      </c>
      <c r="B13" s="1202" t="str">
        <f>'预评函-1'!A18</f>
        <v>本次估价的“房地产价值”是指在正常市场情况下，在价值时点2023年11月23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本次评估采用的主估价方法为比较法和比较法。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10000</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北京市预评估</v>
      </c>
      <c r="C37" s="3461"/>
      <c r="D37" s="3461"/>
      <c r="E37" s="3461"/>
      <c r="F37" s="3461"/>
      <c r="G37" s="3461"/>
      <c r="H37" s="3461"/>
      <c r="I37" s="346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估价对象为北京市房地产，为所有。根据《国有土地使用证》[]，估价对象（分摊）出让国有建设用地使用权面积为0平方米，建筑面积为10000平方米。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估价对象为北京市房地产,属开发建设的，该项目尚在开发建设中。根据《国有土地使用证》[]，估价对象（分摊）出让国有建设用地使用权面积为0平方米，规划建筑面积为10000平方米。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2023年11月23日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v>
      </c>
      <c r="B3" s="3467"/>
      <c r="C3" s="3467"/>
      <c r="D3" s="3467"/>
      <c r="E3" s="3467"/>
    </row>
    <row r="4" spans="1:5" ht="19.5" thickBot="1">
      <c r="A4" s="1493"/>
      <c r="B4" s="3465" t="s">
        <v>917</v>
      </c>
      <c r="C4" s="3465"/>
      <c r="D4" s="3465"/>
      <c r="E4" s="1493"/>
    </row>
    <row r="5" spans="1:5" ht="16.5" thickTop="1">
      <c r="A5" s="1491"/>
      <c r="B5" s="3463" t="s">
        <v>909</v>
      </c>
      <c r="C5" s="1494" t="s">
        <v>910</v>
      </c>
      <c r="D5" s="850" t="e">
        <f ca="1">结果表!H101</f>
        <v>#REF!</v>
      </c>
      <c r="E5" s="1491"/>
    </row>
    <row r="6" spans="1:5" ht="15.75">
      <c r="A6" s="1491"/>
      <c r="B6" s="3463"/>
      <c r="C6" s="1494" t="s">
        <v>911</v>
      </c>
      <c r="D6" s="850" t="e">
        <f ca="1">NUMBERSTRING(INT(D5*10000),2)&amp;"元整"</f>
        <v>#REF!</v>
      </c>
      <c r="E6" s="1491"/>
    </row>
    <row r="7" spans="1:5" ht="15.75">
      <c r="A7" s="1491"/>
      <c r="B7" s="3468"/>
      <c r="C7" s="1495" t="s">
        <v>912</v>
      </c>
      <c r="D7" s="851" t="e">
        <f ca="1">结果表!H102</f>
        <v>#REF!</v>
      </c>
      <c r="E7" s="1491"/>
    </row>
    <row r="8" spans="1:5" ht="15.75">
      <c r="A8" s="1491"/>
      <c r="B8" s="3469" t="str">
        <f>结果表!E103</f>
        <v>2.估价师知悉的法定优先受偿款</v>
      </c>
      <c r="C8" s="1496" t="s">
        <v>913</v>
      </c>
      <c r="D8" s="851">
        <f>结果表!H103</f>
        <v>0</v>
      </c>
      <c r="E8" s="1491"/>
    </row>
    <row r="9" spans="1:5" ht="15.75">
      <c r="A9" s="1491"/>
      <c r="B9" s="347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2" t="str">
        <f>结果表!E107</f>
        <v>3.房地产抵押价值</v>
      </c>
      <c r="C13" s="1499" t="s">
        <v>910</v>
      </c>
      <c r="D13" s="853" t="e">
        <f ca="1">结果表!H107</f>
        <v>#REF!</v>
      </c>
      <c r="E13" s="1491"/>
    </row>
    <row r="14" spans="1:5" ht="15.75">
      <c r="A14" s="1491"/>
      <c r="B14" s="3463"/>
      <c r="C14" s="1494" t="s">
        <v>911</v>
      </c>
      <c r="D14" s="850" t="e">
        <f ca="1">NUMBERSTRING(INT(D13*10000),2)&amp;"元整"</f>
        <v>#REF!</v>
      </c>
      <c r="E14" s="1491"/>
    </row>
    <row r="15" spans="1:5" ht="15">
      <c r="A15" s="1491"/>
      <c r="B15" s="3468"/>
      <c r="C15" s="1495" t="s">
        <v>921</v>
      </c>
      <c r="D15" s="859" t="e">
        <f ca="1">结果表!H108</f>
        <v>#REF!</v>
      </c>
      <c r="E15" s="1491"/>
    </row>
    <row r="16" spans="1:5" ht="15">
      <c r="A16" s="1491"/>
      <c r="B16" s="3469" t="str">
        <f>结果表!E109</f>
        <v>——</v>
      </c>
      <c r="C16" s="1499" t="s">
        <v>922</v>
      </c>
      <c r="D16" s="1500" t="str">
        <f>结果表!H109</f>
        <v>——</v>
      </c>
      <c r="E16" s="1491"/>
    </row>
    <row r="17" spans="1:5" ht="15.75">
      <c r="A17" s="1491"/>
      <c r="B17" s="3470"/>
      <c r="C17" s="1494" t="s">
        <v>923</v>
      </c>
      <c r="D17" s="850" t="e">
        <f>NUMBERSTRING(INT(D16*10000),2)&amp;"元整"</f>
        <v>#VALUE!</v>
      </c>
      <c r="E17" s="1491"/>
    </row>
    <row r="18" spans="1:5" ht="15">
      <c r="A18" s="1491"/>
      <c r="B18" s="3471"/>
      <c r="C18" s="1495" t="s">
        <v>912</v>
      </c>
      <c r="D18" s="859" t="str">
        <f>结果表!H110</f>
        <v>——</v>
      </c>
      <c r="E18" s="1491"/>
    </row>
    <row r="19" spans="1:5" ht="15.75">
      <c r="A19" s="1491"/>
      <c r="B19" s="3462" t="str">
        <f>结果表!E111</f>
        <v>——</v>
      </c>
      <c r="C19" s="1499" t="s">
        <v>910</v>
      </c>
      <c r="D19" s="851" t="str">
        <f>结果表!H111</f>
        <v>——</v>
      </c>
      <c r="E19" s="1491"/>
    </row>
    <row r="20" spans="1:5" ht="15.75">
      <c r="A20" s="1491"/>
      <c r="B20" s="3463"/>
      <c r="C20" s="1494" t="s">
        <v>923</v>
      </c>
      <c r="D20" s="850" t="e">
        <f>NUMBERSTRING(INT(D19*10000),2)&amp;"元整"</f>
        <v>#VALUE!</v>
      </c>
      <c r="E20" s="1491"/>
    </row>
    <row r="21" spans="1:5" ht="15.75" thickBot="1">
      <c r="A21" s="1491"/>
      <c r="B21" s="346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2" t="str">
        <f>IF(项目基本情况!B9="房地产市场价值","估价结果一览表","结果表-2")</f>
        <v>结果表-2</v>
      </c>
      <c r="B1" s="3472"/>
      <c r="C1" s="3472"/>
      <c r="D1" s="3472"/>
      <c r="E1" s="3472"/>
      <c r="F1" s="3472"/>
      <c r="G1" s="3472"/>
      <c r="H1" s="3472"/>
      <c r="I1" s="3472"/>
    </row>
    <row r="2" spans="1:9" ht="30" customHeight="1" thickTop="1">
      <c r="A2" s="3473" t="s">
        <v>928</v>
      </c>
      <c r="B2" s="3473" t="s">
        <v>929</v>
      </c>
      <c r="C2" s="3473" t="s">
        <v>930</v>
      </c>
      <c r="D2" s="3473" t="str">
        <f>结果表!D116</f>
        <v>出让国有建设用地使用权价值</v>
      </c>
      <c r="E2" s="3473"/>
      <c r="F2" s="3473" t="str">
        <f>结果表!F116</f>
        <v>在建建筑物价值</v>
      </c>
      <c r="G2" s="3473"/>
      <c r="H2" s="3473" t="str">
        <f>IF(项目基本情况!B9="房地产市场价值","房地产市场价值","房地产价值")</f>
        <v>房地产价值</v>
      </c>
      <c r="I2" s="3473"/>
    </row>
    <row r="3" spans="1:9" ht="15">
      <c r="A3" s="3474"/>
      <c r="B3" s="3474"/>
      <c r="C3" s="3474"/>
      <c r="D3" s="854" t="s">
        <v>925</v>
      </c>
      <c r="E3" s="854" t="s">
        <v>931</v>
      </c>
      <c r="F3" s="854" t="s">
        <v>925</v>
      </c>
      <c r="G3" s="854" t="s">
        <v>926</v>
      </c>
      <c r="H3" s="854" t="s">
        <v>925</v>
      </c>
      <c r="I3" s="854" t="s">
        <v>926</v>
      </c>
    </row>
    <row r="4" spans="1:9" ht="15">
      <c r="A4" s="1505" t="str">
        <f>项目基本情况!S2</f>
        <v>北京市房地产</v>
      </c>
      <c r="B4" s="854">
        <f>项目基本情况!C17</f>
        <v>10000</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4" t="s">
        <v>927</v>
      </c>
      <c r="B5" s="3474"/>
      <c r="C5" s="3474"/>
      <c r="D5" s="3474" t="e">
        <f ca="1">结果表!D119</f>
        <v>#REF!</v>
      </c>
      <c r="E5" s="3474"/>
      <c r="F5" s="3474" t="e">
        <f ca="1">结果表!F119</f>
        <v>#REF!</v>
      </c>
      <c r="G5" s="3474"/>
      <c r="H5" s="3474" t="e">
        <f ca="1">结果表!H119</f>
        <v>#REF!</v>
      </c>
      <c r="I5" s="3474"/>
    </row>
    <row r="6" spans="1:9" ht="15.75">
      <c r="A6" s="3475" t="str">
        <f>结果表!A120</f>
        <v>估价师知悉的法定优先受偿款</v>
      </c>
      <c r="B6" s="3475"/>
      <c r="C6" s="3475"/>
      <c r="D6" s="3475">
        <f>结果表!D120</f>
        <v>0</v>
      </c>
      <c r="E6" s="3475"/>
      <c r="F6" s="3475"/>
      <c r="G6" s="3475"/>
      <c r="H6" s="3475"/>
      <c r="I6" s="3475"/>
    </row>
    <row r="7" spans="1:9" ht="15">
      <c r="A7" s="3474" t="s">
        <v>927</v>
      </c>
      <c r="B7" s="3474"/>
      <c r="C7" s="3474"/>
      <c r="D7" s="3476" t="str">
        <f>结果表!D121</f>
        <v>零元整</v>
      </c>
      <c r="E7" s="3477"/>
      <c r="F7" s="3477"/>
      <c r="G7" s="3477"/>
      <c r="H7" s="3477"/>
      <c r="I7" s="3478"/>
    </row>
    <row r="8" spans="1:9" ht="15.75">
      <c r="A8" s="3475" t="str">
        <f>结果表!A122</f>
        <v>房地产抵押价值</v>
      </c>
      <c r="B8" s="3475"/>
      <c r="C8" s="3475"/>
      <c r="D8" s="3475" t="e">
        <f ca="1">结果表!D122</f>
        <v>#REF!</v>
      </c>
      <c r="E8" s="3475"/>
      <c r="F8" s="3475"/>
      <c r="G8" s="3475"/>
      <c r="H8" s="3475"/>
      <c r="I8" s="3475"/>
    </row>
    <row r="9" spans="1:9" ht="15">
      <c r="A9" s="3474" t="s">
        <v>927</v>
      </c>
      <c r="B9" s="3474"/>
      <c r="C9" s="3474"/>
      <c r="D9" s="3474" t="e">
        <f ca="1">结果表!D123</f>
        <v>#REF!</v>
      </c>
      <c r="E9" s="3474"/>
      <c r="F9" s="3474"/>
      <c r="G9" s="3474"/>
      <c r="H9" s="3474"/>
      <c r="I9" s="3474"/>
    </row>
    <row r="10" spans="1:9" ht="15.75">
      <c r="A10" s="3475" t="str">
        <f>结果表!A124</f>
        <v/>
      </c>
      <c r="B10" s="3475"/>
      <c r="C10" s="3475"/>
      <c r="D10" s="3475" t="str">
        <f>结果表!D124</f>
        <v>——</v>
      </c>
      <c r="E10" s="3475"/>
      <c r="F10" s="3475"/>
      <c r="G10" s="3475"/>
      <c r="H10" s="3475"/>
      <c r="I10" s="3475"/>
    </row>
    <row r="11" spans="1:9" ht="15">
      <c r="A11" s="3474" t="s">
        <v>927</v>
      </c>
      <c r="B11" s="3474"/>
      <c r="C11" s="3474"/>
      <c r="D11" s="3474" t="e">
        <f>结果表!D125</f>
        <v>#VALUE!</v>
      </c>
      <c r="E11" s="3474"/>
      <c r="F11" s="3474"/>
      <c r="G11" s="3474"/>
      <c r="H11" s="3474"/>
      <c r="I11" s="3474"/>
    </row>
    <row r="12" spans="1:9" ht="15.75">
      <c r="A12" s="3475" t="str">
        <f>结果表!A126</f>
        <v/>
      </c>
      <c r="B12" s="3475"/>
      <c r="C12" s="3475"/>
      <c r="D12" s="3475" t="str">
        <f>结果表!D126</f>
        <v>——</v>
      </c>
      <c r="E12" s="3475"/>
      <c r="F12" s="3475"/>
      <c r="G12" s="3475"/>
      <c r="H12" s="3475"/>
      <c r="I12" s="3475"/>
    </row>
    <row r="13" spans="1:9" ht="15.75" thickBot="1">
      <c r="A13" s="3479" t="s">
        <v>927</v>
      </c>
      <c r="B13" s="3479"/>
      <c r="C13" s="3479"/>
      <c r="D13" s="3479" t="e">
        <f>结果表!D127</f>
        <v>#VALUE!</v>
      </c>
      <c r="E13" s="3479"/>
      <c r="F13" s="3479"/>
      <c r="G13" s="3479"/>
      <c r="H13" s="3479"/>
      <c r="I13" s="3479"/>
    </row>
    <row r="14" spans="1:9" ht="15" thickTop="1">
      <c r="A14" s="3480" t="s">
        <v>932</v>
      </c>
      <c r="B14" s="3480"/>
      <c r="C14" s="3480"/>
      <c r="D14" s="3480"/>
      <c r="E14" s="3480"/>
      <c r="F14" s="3480"/>
      <c r="G14" s="3480"/>
      <c r="H14" s="3480"/>
      <c r="I14" s="348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1" t="s">
        <v>949</v>
      </c>
      <c r="B1" s="3481"/>
      <c r="C1" s="3481"/>
      <c r="D1" s="3481"/>
    </row>
    <row r="2" spans="1:4" ht="18">
      <c r="A2" s="3482" t="s">
        <v>933</v>
      </c>
      <c r="B2" s="3482"/>
      <c r="C2" s="3482"/>
      <c r="D2" s="3482"/>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2" t="s">
        <v>939</v>
      </c>
      <c r="B6" s="3482"/>
      <c r="C6" s="3482"/>
      <c r="D6" s="348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3" t="s">
        <v>942</v>
      </c>
      <c r="B11" s="3484"/>
      <c r="C11" s="3484"/>
      <c r="D11" s="3484"/>
    </row>
    <row r="12" spans="1:4" ht="15.75">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5"/>
      <c r="C12" s="3485"/>
      <c r="D12" s="3485"/>
    </row>
    <row r="13" spans="1:4" ht="30" customHeight="1">
      <c r="A13" s="3484" t="str">
        <f>IF(项目基本情况!B8="抵押","3.抵押双方在办理抵押登记手续时，应使用本公司出具的正式《房地产评估报告》，特提醒报告使用者注意。","——")</f>
        <v>——</v>
      </c>
      <c r="B13" s="3485"/>
      <c r="C13" s="3485"/>
      <c r="D13" s="3485"/>
    </row>
    <row r="14" spans="1:4" ht="15.75" customHeight="1">
      <c r="A14" s="3484" t="str">
        <f>IF(项目基本情况!B8="抵押","4.本次评估估价师所知悉的法定优先受偿款情况说明如下：","——")</f>
        <v>——</v>
      </c>
      <c r="B14" s="3485"/>
      <c r="C14" s="3485"/>
      <c r="D14" s="3485"/>
    </row>
    <row r="15" spans="1:4" ht="42" customHeight="1">
      <c r="A15" s="3484" t="str">
        <f>IF(项目基本情况!B8="抵押","（1）"&amp;CONCATENATE(项目基本情况!L20,项目基本情况!L21,项目基本情况!L22),"——")</f>
        <v>——</v>
      </c>
      <c r="B15" s="3484"/>
      <c r="C15" s="3484"/>
      <c r="D15" s="3484"/>
    </row>
    <row r="16" spans="1:4" ht="30" customHeight="1">
      <c r="A16" s="3487" t="s">
        <v>943</v>
      </c>
      <c r="B16" s="3487"/>
      <c r="C16" s="3487"/>
      <c r="D16" s="3487"/>
    </row>
    <row r="17" spans="1:4" ht="144" customHeight="1">
      <c r="A17" s="3487" t="s">
        <v>944</v>
      </c>
      <c r="B17" s="3487"/>
      <c r="C17" s="3487"/>
      <c r="D17" s="3487"/>
    </row>
    <row r="18" spans="1:4" ht="15.75" customHeight="1">
      <c r="A18" s="3484" t="str">
        <f>IF(项目基本情况!B8="抵押",结果表!K120,"——")</f>
        <v>——</v>
      </c>
      <c r="B18" s="3484"/>
      <c r="C18" s="3484"/>
      <c r="D18" s="3484"/>
    </row>
    <row r="19" spans="1:4" ht="46.5" customHeight="1">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spans="1:4" ht="57.75" customHeight="1">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945</v>
      </c>
      <c r="B22" s="3489"/>
      <c r="C22" s="3489"/>
      <c r="D22" s="348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6">
        <v>42551</v>
      </c>
      <c r="D31" s="34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5" t="s">
        <v>956</v>
      </c>
      <c r="B15" s="3490" t="s">
        <v>109</v>
      </c>
      <c r="C15" s="3491"/>
    </row>
    <row r="16" spans="1:7" ht="13.5">
      <c r="A16" s="3496"/>
      <c r="B16" s="3490" t="s">
        <v>42</v>
      </c>
      <c r="C16" s="3491"/>
    </row>
    <row r="17" spans="1:3" ht="13.5">
      <c r="A17" s="3496"/>
      <c r="B17" s="3493" t="s">
        <v>957</v>
      </c>
      <c r="C17" s="1532" t="s">
        <v>956</v>
      </c>
    </row>
    <row r="18" spans="1:3" ht="13.5">
      <c r="A18" s="3496"/>
      <c r="B18" s="3493"/>
      <c r="C18" s="1532" t="s">
        <v>958</v>
      </c>
    </row>
    <row r="19" spans="1:3" ht="13.5">
      <c r="A19" s="3496"/>
      <c r="B19" s="3493"/>
      <c r="C19" s="1532" t="s">
        <v>959</v>
      </c>
    </row>
    <row r="20" spans="1:3" ht="13.5">
      <c r="A20" s="3497"/>
      <c r="B20" s="3492" t="s">
        <v>960</v>
      </c>
      <c r="C20" s="3491"/>
    </row>
    <row r="21" spans="1:3" ht="13.5">
      <c r="A21" s="1533" t="s">
        <v>961</v>
      </c>
      <c r="B21" s="1534"/>
      <c r="C21" s="1535"/>
    </row>
    <row r="22" spans="1:3" ht="13.5">
      <c r="A22" s="3494" t="s">
        <v>962</v>
      </c>
      <c r="B22" s="3492" t="s">
        <v>963</v>
      </c>
      <c r="C22" s="3491"/>
    </row>
    <row r="23" spans="1:3" ht="13.5">
      <c r="A23" s="3494"/>
      <c r="B23" s="3492" t="s">
        <v>964</v>
      </c>
      <c r="C23" s="3491"/>
    </row>
    <row r="24" spans="1:3" ht="13.5">
      <c r="A24" s="3494"/>
      <c r="B24" s="3492" t="s">
        <v>965</v>
      </c>
      <c r="C24" s="3491"/>
    </row>
    <row r="25" spans="1:3" ht="13.5">
      <c r="A25" s="3494"/>
      <c r="B25" s="3493" t="s">
        <v>966</v>
      </c>
      <c r="C25" s="1532" t="s">
        <v>967</v>
      </c>
    </row>
    <row r="26" spans="1:3" ht="13.5">
      <c r="A26" s="3494"/>
      <c r="B26" s="3493"/>
      <c r="C26" s="1532" t="s">
        <v>968</v>
      </c>
    </row>
    <row r="27" spans="1:3" ht="13.5">
      <c r="A27" s="3494"/>
      <c r="B27" s="3493"/>
      <c r="C27" s="1532" t="s">
        <v>969</v>
      </c>
    </row>
    <row r="28" spans="1:3" ht="13.5">
      <c r="A28" s="3494"/>
      <c r="B28" s="3493"/>
      <c r="C28" s="1532" t="s">
        <v>970</v>
      </c>
    </row>
    <row r="29" spans="1:3" ht="13.5">
      <c r="A29" s="3494"/>
      <c r="B29" s="3493"/>
      <c r="C29" s="1532" t="s">
        <v>971</v>
      </c>
    </row>
    <row r="30" spans="1:3" ht="13.5">
      <c r="A30" s="3494"/>
      <c r="B30" s="3493"/>
      <c r="C30" s="1532" t="s">
        <v>972</v>
      </c>
    </row>
    <row r="31" spans="1:3" ht="13.5">
      <c r="A31" s="3494"/>
      <c r="B31" s="3493"/>
      <c r="C31" s="1532" t="s">
        <v>973</v>
      </c>
    </row>
    <row r="32" spans="1:3" ht="13.5">
      <c r="A32" s="3494"/>
      <c r="B32" s="3493"/>
      <c r="C32" s="1532" t="s">
        <v>974</v>
      </c>
    </row>
    <row r="33" spans="1:3" ht="13.5">
      <c r="A33" s="3494"/>
      <c r="B33" s="349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45258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8" t="s">
        <v>2160</v>
      </c>
      <c r="B17" s="3498"/>
      <c r="C17" s="3498"/>
      <c r="D17" s="3498"/>
      <c r="E17" s="3498"/>
      <c r="F17" s="3498"/>
      <c r="G17" s="3498"/>
      <c r="H17" s="3498"/>
    </row>
    <row r="18" spans="1:8" ht="24" customHeight="1">
      <c r="A18" s="3499" t="s">
        <v>2161</v>
      </c>
      <c r="B18" s="3499"/>
      <c r="C18" s="3499"/>
      <c r="D18" s="2343"/>
      <c r="E18" s="3500" t="s">
        <v>2162</v>
      </c>
      <c r="F18" s="3499"/>
      <c r="G18" s="349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1" sqref="B21"/>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2579</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2580</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2291</v>
      </c>
      <c r="C17" s="1547"/>
    </row>
    <row r="18" spans="1:3">
      <c r="A18" s="1546" t="s">
        <v>1046</v>
      </c>
      <c r="B18" s="1546" t="s">
        <v>2435</v>
      </c>
      <c r="C18" s="1547"/>
    </row>
    <row r="19" spans="1:3">
      <c r="A19" s="1546" t="s">
        <v>1047</v>
      </c>
      <c r="B19" s="1546" t="s">
        <v>3412</v>
      </c>
      <c r="C19" s="1547"/>
    </row>
    <row r="20" spans="1:3">
      <c r="A20" s="1546" t="s">
        <v>1048</v>
      </c>
      <c r="B20" s="1546" t="s">
        <v>3414</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4" t="s">
        <v>385</v>
      </c>
      <c r="C54" s="1551" t="s">
        <v>583</v>
      </c>
    </row>
    <row r="55" spans="1:4">
      <c r="A55" s="3501"/>
      <c r="B55" s="1554" t="s">
        <v>386</v>
      </c>
      <c r="C55" s="1551" t="s">
        <v>584</v>
      </c>
    </row>
    <row r="56" spans="1:4">
      <c r="A56" s="3501"/>
      <c r="B56" s="1554" t="s">
        <v>387</v>
      </c>
      <c r="C56" s="1551" t="s">
        <v>588</v>
      </c>
    </row>
    <row r="57" spans="1:4">
      <c r="A57" s="350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B3" sqref="B3"/>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2502</v>
      </c>
      <c r="B1" s="3012"/>
      <c r="C1" s="3012"/>
      <c r="D1" s="3012"/>
      <c r="E1" s="3012"/>
      <c r="F1" s="3013"/>
      <c r="I1" s="3435" t="s">
        <v>2595</v>
      </c>
      <c r="J1" s="3224"/>
      <c r="K1" s="3224"/>
      <c r="L1" s="3224"/>
      <c r="M1" s="3224"/>
      <c r="N1" s="3436"/>
      <c r="O1" s="3436"/>
      <c r="P1" s="3436"/>
      <c r="Q1" s="3436"/>
      <c r="R1" s="3436"/>
    </row>
    <row r="2" spans="1:18">
      <c r="A2" s="3015"/>
      <c r="B2" s="3016"/>
      <c r="C2" s="3016"/>
      <c r="D2" s="3016"/>
      <c r="E2" s="3016"/>
      <c r="F2" s="3017"/>
      <c r="I2" s="3502" t="s">
        <v>2582</v>
      </c>
      <c r="J2" s="3502"/>
      <c r="K2" s="3502"/>
      <c r="L2" s="3502"/>
      <c r="M2" s="3502"/>
      <c r="N2" s="3502"/>
      <c r="O2" s="3502"/>
      <c r="P2" s="3502"/>
      <c r="Q2" s="3502"/>
      <c r="R2" s="3502"/>
    </row>
    <row r="3" spans="1:18">
      <c r="A3" s="3018" t="s">
        <v>2503</v>
      </c>
      <c r="B3" s="3019">
        <f>项目基本情况!D3</f>
        <v>45253</v>
      </c>
      <c r="C3" s="3021"/>
      <c r="D3" s="3021"/>
      <c r="E3" s="3021"/>
      <c r="F3" s="3017"/>
      <c r="I3" s="3437"/>
      <c r="J3" s="3437" t="s">
        <v>2586</v>
      </c>
      <c r="K3" s="3437" t="s">
        <v>2587</v>
      </c>
      <c r="L3" s="3437" t="s">
        <v>2588</v>
      </c>
      <c r="M3" s="3437" t="s">
        <v>2589</v>
      </c>
      <c r="N3" s="3438" t="s">
        <v>2590</v>
      </c>
      <c r="O3" s="3438" t="s">
        <v>2591</v>
      </c>
      <c r="P3" s="3438" t="s">
        <v>2592</v>
      </c>
      <c r="Q3" s="3438" t="s">
        <v>2593</v>
      </c>
      <c r="R3" s="3438" t="s">
        <v>2594</v>
      </c>
    </row>
    <row r="4" spans="1:18">
      <c r="A4" s="3018" t="s">
        <v>2504</v>
      </c>
      <c r="B4" s="3021" t="s">
        <v>2505</v>
      </c>
      <c r="C4" s="3021" t="s">
        <v>2506</v>
      </c>
      <c r="D4" s="3021" t="s">
        <v>2507</v>
      </c>
      <c r="E4" s="3021" t="s">
        <v>2508</v>
      </c>
      <c r="F4" s="3017"/>
      <c r="I4" s="3437" t="s">
        <v>2583</v>
      </c>
      <c r="J4" s="3437">
        <v>80</v>
      </c>
      <c r="K4" s="3437">
        <v>70</v>
      </c>
      <c r="L4" s="3437">
        <v>20</v>
      </c>
      <c r="M4" s="3437">
        <v>30</v>
      </c>
      <c r="N4" s="3021">
        <v>45</v>
      </c>
      <c r="O4" s="3021">
        <v>60</v>
      </c>
      <c r="P4" s="3021">
        <v>50</v>
      </c>
      <c r="Q4" s="3021">
        <v>20</v>
      </c>
      <c r="R4" s="3021">
        <v>375</v>
      </c>
    </row>
    <row r="5" spans="1:18">
      <c r="A5" s="3022">
        <v>40</v>
      </c>
      <c r="B5" s="3019">
        <v>46375</v>
      </c>
      <c r="C5" s="3021">
        <f>ROUNDDOWN(MIN((B5-B3)/365,A5),2)</f>
        <v>3.07</v>
      </c>
      <c r="D5" s="3023">
        <f>IF(ISERROR(ROUND(POWER(1+E5,A5-C5)*(POWER(1+E5,C5)-1)/(POWER(1+E5,A5)-1),3)),0,ROUND(POWER(1+E5,A5-C5)*(POWER(1+E5,C5)-1)/(POWER(1+E5,A5)-1),4))</f>
        <v>0.14330000000000001</v>
      </c>
      <c r="E5" s="3024">
        <v>0.04</v>
      </c>
      <c r="F5" s="3017"/>
      <c r="I5" s="3437" t="s">
        <v>2584</v>
      </c>
      <c r="J5" s="3437">
        <v>70</v>
      </c>
      <c r="K5" s="3437">
        <v>60</v>
      </c>
      <c r="L5" s="3437">
        <v>15</v>
      </c>
      <c r="M5" s="3437">
        <v>25</v>
      </c>
      <c r="N5" s="3021">
        <v>40</v>
      </c>
      <c r="O5" s="3021">
        <v>50</v>
      </c>
      <c r="P5" s="3021">
        <v>40</v>
      </c>
      <c r="Q5" s="3021">
        <v>15</v>
      </c>
      <c r="R5" s="3021">
        <v>315</v>
      </c>
    </row>
    <row r="6" spans="1:18">
      <c r="A6" s="3022">
        <v>50</v>
      </c>
      <c r="B6" s="3019">
        <v>50028</v>
      </c>
      <c r="C6" s="3021">
        <f>ROUNDDOWN(MIN((B6-B3)/365,A6),2)</f>
        <v>13.08</v>
      </c>
      <c r="D6" s="3023">
        <f>IF(ISERROR(ROUND(POWER(1+E6,A6-C6)*(POWER(1+E6,C6)-1)/(POWER(1+E6,A6)-1),3)),0,ROUND(POWER(1+E6,A6-C6)*(POWER(1+E6,C6)-1)/(POWER(1+E6,A6)-1),4))</f>
        <v>0.46700000000000003</v>
      </c>
      <c r="E6" s="3024">
        <v>0.04</v>
      </c>
      <c r="F6" s="3017"/>
      <c r="I6" s="3437" t="s">
        <v>2585</v>
      </c>
      <c r="J6" s="3437">
        <v>60</v>
      </c>
      <c r="K6" s="3437">
        <v>50</v>
      </c>
      <c r="L6" s="3437">
        <v>10</v>
      </c>
      <c r="M6" s="3437">
        <v>20</v>
      </c>
      <c r="N6" s="3021">
        <v>35</v>
      </c>
      <c r="O6" s="3021">
        <v>40</v>
      </c>
      <c r="P6" s="3021">
        <v>30</v>
      </c>
      <c r="Q6" s="3021">
        <v>10</v>
      </c>
      <c r="R6" s="3021">
        <v>255</v>
      </c>
    </row>
    <row r="7" spans="1:18">
      <c r="A7" s="3022">
        <v>70</v>
      </c>
      <c r="B7" s="3019">
        <v>57333</v>
      </c>
      <c r="C7" s="3021">
        <f>ROUNDDOWN(MIN((B7-B3)/365,A7),2)</f>
        <v>33.090000000000003</v>
      </c>
      <c r="D7" s="3023">
        <f>IF(ISERROR(ROUND(POWER(1+E7,A7-C7)*(POWER(1+E7,C7)-1)/(POWER(1+E7,A7)-1),3)),0,ROUND(POWER(1+E7,A7-C7)*(POWER(1+E7,C7)-1)/(POWER(1+E7,A7)-1),4))</f>
        <v>0.77680000000000005</v>
      </c>
      <c r="E7" s="3024">
        <v>0.04</v>
      </c>
      <c r="F7" s="3017"/>
    </row>
    <row r="8" spans="1:18">
      <c r="A8" s="3015"/>
      <c r="B8" s="3016"/>
      <c r="C8" s="3016"/>
      <c r="D8" s="3016"/>
      <c r="E8" s="3016"/>
      <c r="F8" s="3017"/>
    </row>
    <row r="9" spans="1:18">
      <c r="A9" s="3018" t="s">
        <v>2509</v>
      </c>
      <c r="B9" s="3021"/>
      <c r="C9" s="3021"/>
      <c r="D9" s="3021"/>
      <c r="E9" s="3021"/>
      <c r="F9" s="3025"/>
    </row>
    <row r="10" spans="1:18">
      <c r="A10" s="3018" t="s">
        <v>2510</v>
      </c>
      <c r="B10" s="3021"/>
      <c r="C10" s="3021"/>
      <c r="D10" s="3021" t="s">
        <v>2508</v>
      </c>
      <c r="E10" s="3021"/>
      <c r="F10" s="3025" t="s">
        <v>2507</v>
      </c>
    </row>
    <row r="11" spans="1:18">
      <c r="A11" s="3018" t="s">
        <v>2511</v>
      </c>
      <c r="B11" s="3026">
        <v>70</v>
      </c>
      <c r="C11" s="3021" t="s">
        <v>2512</v>
      </c>
      <c r="D11" s="3027">
        <v>4.4999999999999998E-2</v>
      </c>
      <c r="E11" s="3021" t="s">
        <v>2513</v>
      </c>
      <c r="F11" s="3028">
        <f>ROUND(1-(1/(POWER(1+D11,B11))),4)</f>
        <v>0.95409999999999995</v>
      </c>
    </row>
    <row r="12" spans="1:18">
      <c r="A12" s="3018" t="s">
        <v>2514</v>
      </c>
      <c r="B12" s="3026">
        <v>40</v>
      </c>
      <c r="C12" s="3021" t="s">
        <v>2515</v>
      </c>
      <c r="D12" s="3027">
        <v>4.4999999999999998E-2</v>
      </c>
      <c r="E12" s="3021" t="s">
        <v>2516</v>
      </c>
      <c r="F12" s="3028">
        <f>ROUND(1-(1/(POWER(1+D12,B12))),4)</f>
        <v>0.82809999999999995</v>
      </c>
    </row>
    <row r="13" spans="1:18">
      <c r="A13" s="3018" t="s">
        <v>2517</v>
      </c>
      <c r="B13" s="3021"/>
      <c r="C13" s="3021"/>
      <c r="D13" s="3016"/>
      <c r="E13" s="3016"/>
      <c r="F13" s="3017"/>
    </row>
    <row r="14" spans="1:18">
      <c r="A14" s="3018" t="s">
        <v>2518</v>
      </c>
      <c r="B14" s="3026">
        <v>5000</v>
      </c>
      <c r="C14" s="3020"/>
      <c r="D14" s="3016"/>
      <c r="E14" s="3016"/>
      <c r="F14" s="3017"/>
    </row>
    <row r="15" spans="1:18">
      <c r="A15" s="3018" t="s">
        <v>2519</v>
      </c>
      <c r="B15" s="3021">
        <f>ROUND(B14*F12/F11,2)</f>
        <v>4339.6899999999996</v>
      </c>
      <c r="C15" s="3021">
        <f>ROUND(F12/F11,4)</f>
        <v>0.8679</v>
      </c>
      <c r="D15" s="3016"/>
      <c r="E15" s="3016"/>
      <c r="F15" s="3017"/>
    </row>
    <row r="16" spans="1:18">
      <c r="A16" s="3018" t="s">
        <v>2520</v>
      </c>
      <c r="B16" s="3021"/>
      <c r="C16" s="3021"/>
      <c r="D16" s="3016"/>
      <c r="E16" s="3016"/>
      <c r="F16" s="3017"/>
    </row>
    <row r="17" spans="1:13">
      <c r="A17" s="3018" t="s">
        <v>2519</v>
      </c>
      <c r="B17" s="3027">
        <v>4810</v>
      </c>
      <c r="C17" s="3020"/>
      <c r="D17" s="3016"/>
      <c r="E17" s="3016"/>
      <c r="F17" s="3017"/>
    </row>
    <row r="18" spans="1:13" ht="14.25" thickBot="1">
      <c r="A18" s="3029" t="s">
        <v>2518</v>
      </c>
      <c r="B18" s="3030">
        <f>ROUND(B17*F11/F12,2)</f>
        <v>5541.87</v>
      </c>
      <c r="C18" s="3030">
        <f>ROUND(F11/F12,4)</f>
        <v>1.1521999999999999</v>
      </c>
      <c r="D18" s="3031"/>
      <c r="E18" s="3031"/>
      <c r="F18" s="3032"/>
    </row>
    <row r="19" spans="1:13" ht="14.25" thickBot="1"/>
    <row r="20" spans="1:13" s="3067" customFormat="1" ht="14.25" thickTop="1">
      <c r="A20" s="3064" t="s">
        <v>2521</v>
      </c>
      <c r="B20" s="3065"/>
      <c r="C20" s="3065"/>
      <c r="D20" s="3065"/>
      <c r="E20" s="3065"/>
      <c r="F20" s="3065"/>
      <c r="G20" s="3066"/>
      <c r="I20" s="3068" t="s">
        <v>2566</v>
      </c>
      <c r="J20" s="3068" t="s">
        <v>2571</v>
      </c>
      <c r="K20" s="3068"/>
      <c r="L20" s="3068"/>
      <c r="M20" s="3068"/>
    </row>
    <row r="21" spans="1:13">
      <c r="A21" s="3033"/>
      <c r="B21" s="3034" t="s">
        <v>2522</v>
      </c>
      <c r="C21" s="3034" t="s">
        <v>2523</v>
      </c>
      <c r="D21" s="3034" t="s">
        <v>2524</v>
      </c>
      <c r="E21" s="3034" t="s">
        <v>2525</v>
      </c>
      <c r="F21" s="3034" t="s">
        <v>2526</v>
      </c>
      <c r="G21" s="3035" t="s">
        <v>2527</v>
      </c>
      <c r="I21" s="3056">
        <v>5</v>
      </c>
      <c r="J21" s="3056">
        <v>54.2</v>
      </c>
    </row>
    <row r="22" spans="1:13">
      <c r="A22" s="3033" t="s">
        <v>2528</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2529</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2569</v>
      </c>
      <c r="M23" s="3056" t="s">
        <v>2570</v>
      </c>
    </row>
    <row r="24" spans="1:13">
      <c r="A24" s="3033" t="s">
        <v>2530</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2568</v>
      </c>
      <c r="M24" s="3056">
        <v>10</v>
      </c>
    </row>
    <row r="25" spans="1:13">
      <c r="A25" s="3033" t="s">
        <v>2531</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2572</v>
      </c>
      <c r="M25" s="3056">
        <v>8</v>
      </c>
    </row>
    <row r="26" spans="1:13">
      <c r="A26" s="3038"/>
      <c r="B26" s="3039"/>
      <c r="C26" s="3039"/>
      <c r="D26" s="3039"/>
      <c r="E26" s="3039"/>
      <c r="F26" s="3039"/>
      <c r="G26" s="3040"/>
      <c r="I26" s="3056">
        <v>30</v>
      </c>
      <c r="J26" s="3056">
        <v>90.5</v>
      </c>
      <c r="K26" s="3056">
        <f t="shared" si="2"/>
        <v>4.2000000000000028</v>
      </c>
      <c r="L26" s="3056" t="s">
        <v>2573</v>
      </c>
      <c r="M26" s="3056">
        <v>5</v>
      </c>
    </row>
    <row r="27" spans="1:13">
      <c r="A27" s="3038" t="s">
        <v>2532</v>
      </c>
      <c r="B27" s="3039"/>
      <c r="C27" s="3039"/>
      <c r="D27" s="3039"/>
      <c r="E27" s="3039"/>
      <c r="F27" s="3039"/>
      <c r="G27" s="3040"/>
      <c r="I27" s="3056">
        <v>35</v>
      </c>
      <c r="J27" s="3056">
        <v>93.8</v>
      </c>
      <c r="K27" s="3056">
        <f t="shared" si="2"/>
        <v>3.2999999999999972</v>
      </c>
      <c r="L27" s="3056" t="s">
        <v>2574</v>
      </c>
      <c r="M27" s="3056">
        <v>3</v>
      </c>
    </row>
    <row r="28" spans="1:13">
      <c r="A28" s="3038" t="s">
        <v>2533</v>
      </c>
      <c r="B28" s="3039"/>
      <c r="C28" s="3039"/>
      <c r="D28" s="3039"/>
      <c r="E28" s="3039"/>
      <c r="F28" s="3039"/>
      <c r="G28" s="3040"/>
      <c r="I28" s="3056">
        <v>40</v>
      </c>
      <c r="J28" s="3056">
        <v>96.4</v>
      </c>
      <c r="K28" s="3056">
        <f t="shared" si="2"/>
        <v>2.6000000000000085</v>
      </c>
      <c r="L28" s="3056" t="s">
        <v>2575</v>
      </c>
      <c r="M28" s="3056">
        <v>2</v>
      </c>
    </row>
    <row r="29" spans="1:13">
      <c r="A29" s="3038" t="s">
        <v>2534</v>
      </c>
      <c r="B29" s="3039"/>
      <c r="C29" s="3039"/>
      <c r="D29" s="3039"/>
      <c r="E29" s="3039"/>
      <c r="F29" s="3039"/>
      <c r="G29" s="3040"/>
      <c r="I29" s="3056">
        <v>45</v>
      </c>
      <c r="J29" s="3056">
        <v>98.4</v>
      </c>
      <c r="K29" s="3056">
        <f t="shared" si="2"/>
        <v>2</v>
      </c>
    </row>
    <row r="30" spans="1:13">
      <c r="A30" s="3038" t="s">
        <v>2535</v>
      </c>
      <c r="B30" s="3039"/>
      <c r="C30" s="3039"/>
      <c r="D30" s="3039"/>
      <c r="E30" s="3039"/>
      <c r="F30" s="3039"/>
      <c r="G30" s="3040"/>
      <c r="I30" s="3056">
        <v>50</v>
      </c>
      <c r="J30" s="3056">
        <v>100</v>
      </c>
      <c r="K30" s="3056">
        <f t="shared" si="2"/>
        <v>1.5999999999999943</v>
      </c>
    </row>
    <row r="31" spans="1:13">
      <c r="A31" s="3038" t="s">
        <v>2536</v>
      </c>
      <c r="B31" s="3039"/>
      <c r="C31" s="3039"/>
      <c r="D31" s="3039"/>
      <c r="E31" s="3039"/>
      <c r="F31" s="3039"/>
      <c r="G31" s="3040"/>
      <c r="I31" s="3056" t="s">
        <v>2567</v>
      </c>
    </row>
    <row r="32" spans="1:13">
      <c r="A32" s="3038" t="s">
        <v>2537</v>
      </c>
      <c r="B32" s="3039"/>
      <c r="C32" s="3039"/>
      <c r="D32" s="3039"/>
      <c r="E32" s="3039"/>
      <c r="F32" s="3039"/>
      <c r="G32" s="3040"/>
    </row>
    <row r="33" spans="1:13">
      <c r="A33" s="3038" t="s">
        <v>2538</v>
      </c>
      <c r="B33" s="3039"/>
      <c r="C33" s="3039"/>
      <c r="D33" s="3039"/>
      <c r="E33" s="3039"/>
      <c r="F33" s="3039"/>
      <c r="G33" s="3040"/>
      <c r="I33" s="3056" t="s">
        <v>2566</v>
      </c>
      <c r="J33" s="3056" t="s">
        <v>2576</v>
      </c>
    </row>
    <row r="34" spans="1:13">
      <c r="A34" s="3038" t="s">
        <v>2539</v>
      </c>
      <c r="B34" s="3039"/>
      <c r="C34" s="3039"/>
      <c r="D34" s="3039"/>
      <c r="E34" s="3039"/>
      <c r="F34" s="3039"/>
      <c r="G34" s="3040"/>
      <c r="I34" s="3056">
        <v>5</v>
      </c>
      <c r="J34" s="3056">
        <v>55.1</v>
      </c>
    </row>
    <row r="35" spans="1:13">
      <c r="A35" s="3038" t="s">
        <v>2540</v>
      </c>
      <c r="B35" s="3039"/>
      <c r="C35" s="3039"/>
      <c r="D35" s="3039"/>
      <c r="E35" s="3039"/>
      <c r="F35" s="3039"/>
      <c r="G35" s="3040"/>
      <c r="I35" s="3056">
        <v>10</v>
      </c>
      <c r="J35" s="3056">
        <v>67</v>
      </c>
      <c r="K35" s="3056">
        <f>J35-J34</f>
        <v>11.899999999999999</v>
      </c>
    </row>
    <row r="36" spans="1:13">
      <c r="A36" s="3038" t="s">
        <v>2541</v>
      </c>
      <c r="B36" s="3039"/>
      <c r="C36" s="3039"/>
      <c r="D36" s="3039"/>
      <c r="E36" s="3039"/>
      <c r="F36" s="3039"/>
      <c r="G36" s="3040"/>
      <c r="I36" s="3056">
        <v>15</v>
      </c>
      <c r="J36" s="3056">
        <v>76.3</v>
      </c>
      <c r="K36" s="3056">
        <f t="shared" ref="K36:K41" si="3">J36-J35</f>
        <v>9.2999999999999972</v>
      </c>
      <c r="L36" s="3056" t="s">
        <v>2569</v>
      </c>
      <c r="M36" s="3056" t="s">
        <v>2570</v>
      </c>
    </row>
    <row r="37" spans="1:13">
      <c r="A37" s="3038" t="s">
        <v>2542</v>
      </c>
      <c r="B37" s="3039"/>
      <c r="C37" s="3039"/>
      <c r="D37" s="3039"/>
      <c r="E37" s="3039"/>
      <c r="F37" s="3039"/>
      <c r="G37" s="3040"/>
      <c r="I37" s="3056">
        <v>20</v>
      </c>
      <c r="J37" s="3056">
        <v>83.6</v>
      </c>
      <c r="K37" s="3056">
        <f t="shared" si="3"/>
        <v>7.2999999999999972</v>
      </c>
      <c r="L37" s="3056" t="s">
        <v>2568</v>
      </c>
      <c r="M37" s="3056">
        <v>10</v>
      </c>
    </row>
    <row r="38" spans="1:13">
      <c r="A38" s="3038" t="s">
        <v>2543</v>
      </c>
      <c r="B38" s="3039"/>
      <c r="C38" s="3039"/>
      <c r="D38" s="3039"/>
      <c r="E38" s="3039"/>
      <c r="F38" s="3039"/>
      <c r="G38" s="3040"/>
      <c r="I38" s="3056">
        <v>25</v>
      </c>
      <c r="J38" s="3056">
        <v>89.3</v>
      </c>
      <c r="K38" s="3056">
        <f t="shared" si="3"/>
        <v>5.7000000000000028</v>
      </c>
      <c r="L38" s="3056" t="s">
        <v>2572</v>
      </c>
      <c r="M38" s="3056">
        <v>8</v>
      </c>
    </row>
    <row r="39" spans="1:13">
      <c r="A39" s="3038"/>
      <c r="B39" s="3039"/>
      <c r="C39" s="3039"/>
      <c r="D39" s="3039"/>
      <c r="E39" s="3039"/>
      <c r="F39" s="3039"/>
      <c r="G39" s="3040"/>
      <c r="I39" s="3056">
        <v>30</v>
      </c>
      <c r="J39" s="3056">
        <v>93.8</v>
      </c>
      <c r="K39" s="3056">
        <f t="shared" si="3"/>
        <v>4.5</v>
      </c>
      <c r="L39" s="3056" t="s">
        <v>2573</v>
      </c>
      <c r="M39" s="3056">
        <v>6</v>
      </c>
    </row>
    <row r="40" spans="1:13">
      <c r="A40" s="3041" t="s">
        <v>2544</v>
      </c>
      <c r="B40" s="3042"/>
      <c r="C40" s="3042"/>
      <c r="D40" s="3042"/>
      <c r="E40" s="3042"/>
      <c r="F40" s="3042"/>
      <c r="G40" s="3043"/>
      <c r="I40" s="3056">
        <v>35</v>
      </c>
      <c r="J40" s="3056">
        <v>97.2</v>
      </c>
      <c r="K40" s="3056">
        <f t="shared" si="3"/>
        <v>3.4000000000000057</v>
      </c>
      <c r="L40" s="3056" t="s">
        <v>2574</v>
      </c>
      <c r="M40" s="3056">
        <v>3</v>
      </c>
    </row>
    <row r="41" spans="1:13">
      <c r="A41" s="3044" t="s">
        <v>2545</v>
      </c>
      <c r="B41" s="3045" t="s">
        <v>2546</v>
      </c>
      <c r="C41" s="3046" t="s">
        <v>2547</v>
      </c>
      <c r="D41" s="3046" t="s">
        <v>2548</v>
      </c>
      <c r="E41" s="3047"/>
      <c r="F41" s="3048"/>
      <c r="G41" s="3049"/>
      <c r="I41" s="3056">
        <v>40</v>
      </c>
      <c r="J41" s="3056">
        <v>100</v>
      </c>
      <c r="K41" s="3056">
        <f t="shared" si="3"/>
        <v>2.7999999999999972</v>
      </c>
    </row>
    <row r="42" spans="1:13">
      <c r="A42" s="3044" t="s">
        <v>2549</v>
      </c>
      <c r="B42" s="3045" t="s">
        <v>2550</v>
      </c>
      <c r="C42" s="3046" t="s">
        <v>2551</v>
      </c>
      <c r="D42" s="3050" t="s">
        <v>2552</v>
      </c>
      <c r="E42" s="3042" t="s">
        <v>2553</v>
      </c>
      <c r="F42" s="3042"/>
      <c r="G42" s="3043"/>
    </row>
    <row r="43" spans="1:13">
      <c r="A43" s="3044" t="s">
        <v>2554</v>
      </c>
      <c r="B43" s="3045" t="s">
        <v>2555</v>
      </c>
      <c r="C43" s="3046" t="s">
        <v>2556</v>
      </c>
      <c r="D43" s="3046" t="s">
        <v>2557</v>
      </c>
      <c r="E43" s="3047" t="s">
        <v>2558</v>
      </c>
      <c r="F43" s="3048"/>
      <c r="G43" s="3049"/>
      <c r="I43" s="3056" t="s">
        <v>2566</v>
      </c>
      <c r="J43" s="3056" t="s">
        <v>2577</v>
      </c>
    </row>
    <row r="44" spans="1:13">
      <c r="A44" s="3044" t="s">
        <v>2559</v>
      </c>
      <c r="B44" s="3045" t="s">
        <v>2560</v>
      </c>
      <c r="C44" s="3046" t="s">
        <v>2561</v>
      </c>
      <c r="D44" s="3050">
        <v>0.5</v>
      </c>
      <c r="E44" s="3047" t="s">
        <v>2562</v>
      </c>
      <c r="F44" s="3048"/>
      <c r="G44" s="3049"/>
      <c r="I44" s="3056">
        <v>30</v>
      </c>
      <c r="J44" s="3056">
        <v>81.7</v>
      </c>
    </row>
    <row r="45" spans="1:13" ht="14.25" thickBot="1">
      <c r="A45" s="3051" t="s">
        <v>2563</v>
      </c>
      <c r="B45" s="3052" t="s">
        <v>2550</v>
      </c>
      <c r="C45" s="3053" t="s">
        <v>2550</v>
      </c>
      <c r="D45" s="3053" t="s">
        <v>2564</v>
      </c>
      <c r="E45" s="3054" t="s">
        <v>2565</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F13" sqref="F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3" t="str">
        <f>IF(B10="北京市","北京市",C10)&amp;F10&amp;IF(结果表!G1="在建","出让国有建设用地使用权及在建建筑物",IF(结果表!G1="土地","出让国有建设用地使用权",))&amp;B9&amp;"预评估"</f>
        <v>北京市预评估</v>
      </c>
      <c r="C1" s="3504"/>
      <c r="D1" s="3504"/>
      <c r="E1" s="3504"/>
      <c r="F1" s="3504"/>
      <c r="G1" s="3504"/>
      <c r="H1" s="3504"/>
      <c r="I1" s="3505"/>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45253</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3377</v>
      </c>
      <c r="C8" s="2390"/>
      <c r="D8" s="3506" t="s">
        <v>2177</v>
      </c>
      <c r="E8" s="2391"/>
      <c r="F8" s="2392"/>
      <c r="G8" s="2661"/>
      <c r="H8" s="2661"/>
      <c r="I8" s="2661"/>
      <c r="J8" s="2439"/>
      <c r="K8" s="2612"/>
      <c r="L8" s="2611"/>
      <c r="M8" s="2611"/>
      <c r="N8" s="2439"/>
      <c r="O8" s="2450"/>
      <c r="P8" s="2439"/>
      <c r="Q8" s="2439"/>
      <c r="R8" s="2439"/>
    </row>
    <row r="9" spans="1:30" ht="13.5" thickBot="1">
      <c r="A9" s="2393" t="s">
        <v>2178</v>
      </c>
      <c r="B9" s="2394"/>
      <c r="C9" s="2395"/>
      <c r="D9" s="3507"/>
      <c r="E9" s="2394"/>
      <c r="F9" s="2396"/>
      <c r="G9" s="2663"/>
      <c r="H9" s="2663"/>
      <c r="I9" s="2663"/>
      <c r="J9" s="2439"/>
      <c r="K9" s="2614"/>
      <c r="L9" s="2611"/>
      <c r="M9" s="2611"/>
      <c r="N9" s="2439"/>
      <c r="O9" s="2450"/>
      <c r="P9" s="2439"/>
      <c r="Q9" s="2439"/>
      <c r="R9" s="2439"/>
    </row>
    <row r="10" spans="1:30" ht="13.5" thickTop="1">
      <c r="A10" s="2397" t="s">
        <v>2179</v>
      </c>
      <c r="B10" s="2398" t="s">
        <v>3378</v>
      </c>
      <c r="C10" s="2399"/>
      <c r="D10" s="2382"/>
      <c r="E10" s="2400" t="s">
        <v>2180</v>
      </c>
      <c r="F10" s="2664"/>
      <c r="G10" s="2665"/>
      <c r="H10" s="2666"/>
      <c r="I10" s="2667"/>
      <c r="J10" s="2439"/>
      <c r="K10" s="2614"/>
      <c r="L10" s="2611"/>
      <c r="M10" s="2611"/>
      <c r="N10" s="2439"/>
      <c r="O10" s="2450"/>
      <c r="P10" s="2439"/>
      <c r="Q10" s="2439"/>
      <c r="R10" s="2439"/>
    </row>
    <row r="11" spans="1:30">
      <c r="A11" s="2401" t="s">
        <v>2181</v>
      </c>
      <c r="B11" s="2402"/>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2578</v>
      </c>
      <c r="J12" s="3060"/>
      <c r="K12" s="2611"/>
      <c r="L12" s="2611"/>
      <c r="M12" s="2439"/>
      <c r="N12" s="2450"/>
      <c r="O12" s="2439"/>
      <c r="P12" s="2439"/>
      <c r="Q12" s="2439"/>
      <c r="AD12" s="1745"/>
    </row>
    <row r="13" spans="1:30">
      <c r="A13" s="3421" t="s">
        <v>3336</v>
      </c>
      <c r="B13" s="2407" t="s">
        <v>2190</v>
      </c>
      <c r="C13" s="856"/>
      <c r="D13" s="856"/>
      <c r="E13" s="856"/>
      <c r="F13" s="856"/>
      <c r="G13" s="856"/>
      <c r="H13" s="856"/>
      <c r="I13" s="856"/>
      <c r="J13" s="3060"/>
      <c r="K13" s="2611"/>
      <c r="L13" s="2611"/>
      <c r="M13" s="2439"/>
      <c r="N13" s="2450"/>
      <c r="O13" s="2439"/>
      <c r="P13" s="2439"/>
      <c r="Q13" s="2439"/>
      <c r="AD13" s="1745"/>
    </row>
    <row r="14" spans="1:30">
      <c r="A14" s="1081"/>
      <c r="B14" s="2407" t="s">
        <v>2191</v>
      </c>
      <c r="C14" s="2408"/>
      <c r="D14" s="2408"/>
      <c r="E14" s="2408"/>
      <c r="F14" s="2408"/>
      <c r="G14" s="2408"/>
      <c r="H14" s="2408"/>
      <c r="I14" s="2408"/>
      <c r="J14" s="3061"/>
      <c r="K14" s="2611"/>
      <c r="L14" s="2611"/>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13"/>
      <c r="C16" s="3514"/>
      <c r="D16" s="3515"/>
      <c r="E16" s="2413" t="s">
        <v>2194</v>
      </c>
      <c r="F16" s="3516"/>
      <c r="G16" s="3517"/>
      <c r="H16" s="3517"/>
      <c r="I16" s="3518"/>
      <c r="J16" s="2439"/>
      <c r="K16" s="2615"/>
      <c r="L16" s="2451"/>
      <c r="M16" s="2451"/>
      <c r="N16" s="2507"/>
      <c r="O16" s="2451"/>
      <c r="P16" s="2507"/>
      <c r="Q16" s="2439"/>
      <c r="R16" s="2439"/>
    </row>
    <row r="17" spans="1:28">
      <c r="A17" s="313" t="s">
        <v>2195</v>
      </c>
      <c r="B17" s="302" t="s">
        <v>2196</v>
      </c>
      <c r="C17" s="8">
        <f>'数据-汇总表'!E3</f>
        <v>10000</v>
      </c>
      <c r="D17" s="2322" t="s">
        <v>2197</v>
      </c>
      <c r="E17" s="3519" t="s">
        <v>2198</v>
      </c>
      <c r="F17" s="3520"/>
      <c r="G17" s="3520"/>
      <c r="H17" s="3520"/>
      <c r="I17" s="3521"/>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22" t="s">
        <v>2202</v>
      </c>
      <c r="F18" s="3523"/>
      <c r="G18" s="3523"/>
      <c r="H18" s="3523"/>
      <c r="I18" s="3524"/>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09" t="s">
        <v>2206</v>
      </c>
      <c r="C20" s="3510"/>
      <c r="D20" s="3511" t="s">
        <v>2207</v>
      </c>
      <c r="E20" s="3512"/>
      <c r="F20" s="2645" t="s">
        <v>1056</v>
      </c>
      <c r="G20" s="2662"/>
      <c r="H20" s="2662"/>
      <c r="I20" s="2662"/>
      <c r="J20" s="2439"/>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26"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26"/>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26"/>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27"/>
      <c r="B30" s="302" t="s">
        <v>2218</v>
      </c>
      <c r="C30" s="3528"/>
      <c r="D30" s="3529"/>
      <c r="E30" s="2662"/>
      <c r="F30" s="2662"/>
      <c r="G30" s="2662"/>
      <c r="H30" s="2662"/>
      <c r="I30" s="2662"/>
      <c r="J30" s="2439"/>
      <c r="K30" s="2614"/>
      <c r="L30" s="2611"/>
      <c r="M30" s="2611"/>
      <c r="N30" s="2439"/>
      <c r="O30" s="2450"/>
      <c r="P30" s="2439"/>
      <c r="Q30" s="2439"/>
      <c r="R30" s="2439"/>
      <c r="S30" s="2439"/>
      <c r="T30" s="2439"/>
      <c r="U30" s="2439"/>
      <c r="V30" s="2439"/>
    </row>
    <row r="31" spans="1:28">
      <c r="A31" s="3530"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31"/>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31"/>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525" t="s">
        <v>2228</v>
      </c>
      <c r="T34" s="2428" t="str">
        <f>NUMBERSTRING(7-K34,1)&amp;"通"</f>
        <v>七通</v>
      </c>
      <c r="U34" s="2439"/>
      <c r="V34" s="2439"/>
    </row>
    <row r="35" spans="1:30">
      <c r="A35" s="2429"/>
      <c r="B35" s="3532" t="s">
        <v>2229</v>
      </c>
      <c r="C35" s="3532"/>
      <c r="D35" s="3532"/>
      <c r="E35" s="3532"/>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2581</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21" sqref="M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10000</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10000</v>
      </c>
      <c r="H5" s="13">
        <f t="shared" ref="H5:AT5" si="0">SUM(H13:H656)</f>
        <v>10000</v>
      </c>
      <c r="I5" s="13">
        <f t="shared" si="0"/>
        <v>10000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10000</v>
      </c>
      <c r="BA5" s="15">
        <f t="shared" si="1"/>
        <v>10000</v>
      </c>
      <c r="BB5" s="15">
        <f t="shared" si="1"/>
        <v>10000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3416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3444</v>
      </c>
      <c r="E13" s="13">
        <f>IF($C$3="是",ROUND($A$3*G13/$B$3,2),ROUND($A$3*(G13-AT13)/$B$3,2))</f>
        <v>0</v>
      </c>
      <c r="F13" s="29"/>
      <c r="G13" s="30">
        <f>H13+AC13+AT13</f>
        <v>10000</v>
      </c>
      <c r="H13" s="17">
        <f>SUMIF(I$12:AB$12,"总值",I13:AB13)</f>
        <v>10000</v>
      </c>
      <c r="I13" s="1626">
        <v>10000</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10000</v>
      </c>
      <c r="BA13" s="13">
        <f>SUM(BB13:BK13)</f>
        <v>10000</v>
      </c>
      <c r="BB13" s="13">
        <f>IF($D13="是",I13-J13,0)</f>
        <v>10000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L40" sqref="L4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2" t="s">
        <v>1131</v>
      </c>
      <c r="B2" s="3542"/>
      <c r="C2" s="3542"/>
      <c r="D2" s="796" t="s">
        <v>1107</v>
      </c>
      <c r="E2" s="1639" t="s">
        <v>1108</v>
      </c>
      <c r="F2" s="2657"/>
      <c r="G2" s="2648"/>
      <c r="H2" s="2649"/>
      <c r="I2" s="2325" t="s">
        <v>1132</v>
      </c>
      <c r="J2" s="2657"/>
      <c r="K2" s="2657"/>
      <c r="L2" s="2657"/>
      <c r="M2" s="2657"/>
      <c r="N2" s="2659"/>
      <c r="O2" s="2657"/>
      <c r="P2" s="2657"/>
    </row>
    <row r="3" spans="1:16" ht="15.75" thickBot="1">
      <c r="A3" s="3543" t="s">
        <v>1105</v>
      </c>
      <c r="B3" s="3543"/>
      <c r="C3" s="3543"/>
      <c r="D3" s="43">
        <f>'数据-基础表'!AY6</f>
        <v>0</v>
      </c>
      <c r="E3" s="43">
        <f>'数据-基础表'!AZ5</f>
        <v>10000</v>
      </c>
      <c r="F3" s="2657"/>
      <c r="G3" s="1145"/>
      <c r="H3" s="1026" t="s">
        <v>1106</v>
      </c>
      <c r="I3" s="855" t="e">
        <f>ROUND('数据-基础表'!B3/'数据-基础表'!A3,2)</f>
        <v>#DIV/0!</v>
      </c>
      <c r="J3" s="2657"/>
      <c r="K3" s="2657"/>
      <c r="L3" s="2657"/>
      <c r="M3" s="2657"/>
      <c r="N3" s="2659"/>
      <c r="O3" s="2657"/>
      <c r="P3" s="2657"/>
    </row>
    <row r="4" spans="1:16" ht="15">
      <c r="A4" s="3544"/>
      <c r="B4" s="3545"/>
      <c r="C4" s="3546"/>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47" t="s">
        <v>1110</v>
      </c>
      <c r="C5" s="3547"/>
      <c r="D5" s="45">
        <f>ROUND($D$3*E5/$E$3,2)</f>
        <v>0</v>
      </c>
      <c r="E5" s="46">
        <f>SUMIF('数据-基础表'!$11:$11,"住宅",'数据-基础表'!$5:$5)</f>
        <v>10000</v>
      </c>
      <c r="F5" s="2657"/>
      <c r="G5" s="1145"/>
      <c r="H5" s="1026" t="s">
        <v>1106</v>
      </c>
      <c r="I5" s="855" t="e">
        <f>ROUND(E31/D31,2)</f>
        <v>#DIV/0!</v>
      </c>
      <c r="J5" s="2657"/>
      <c r="K5" s="2657"/>
      <c r="L5" s="2657"/>
      <c r="M5" s="2657"/>
      <c r="N5" s="2657"/>
      <c r="O5" s="2657"/>
      <c r="P5" s="2657"/>
    </row>
    <row r="6" spans="1:16" ht="15" thickBot="1">
      <c r="A6" s="1644"/>
      <c r="B6" s="3547" t="s">
        <v>1111</v>
      </c>
      <c r="C6" s="3547"/>
      <c r="D6" s="45">
        <f>ROUND($D$3*E6/$E$3,2)</f>
        <v>0</v>
      </c>
      <c r="E6" s="46">
        <f>E3-E5</f>
        <v>0</v>
      </c>
      <c r="F6" s="2657"/>
      <c r="G6" s="2651" t="s">
        <v>1112</v>
      </c>
      <c r="H6" s="1146" t="s">
        <v>1113</v>
      </c>
      <c r="I6" s="2652" t="e">
        <f>ROUND(F31/D31,2)</f>
        <v>#DIV/0!</v>
      </c>
      <c r="J6" s="2657"/>
      <c r="K6" s="2657"/>
      <c r="L6" s="2657"/>
      <c r="M6" s="2657"/>
      <c r="N6" s="2657"/>
      <c r="O6" s="2657"/>
      <c r="P6" s="2657"/>
    </row>
    <row r="7" spans="1:16" ht="15.75" thickBot="1">
      <c r="A7" s="3539"/>
      <c r="B7" s="3540"/>
      <c r="C7" s="3541"/>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10000</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10000</v>
      </c>
      <c r="F16" s="2657"/>
      <c r="G16" s="2658"/>
      <c r="H16" s="1648" t="s">
        <v>1135</v>
      </c>
      <c r="I16" s="1649"/>
      <c r="J16" s="1139"/>
      <c r="K16" s="3536" t="s">
        <v>1135</v>
      </c>
      <c r="L16" s="3537"/>
      <c r="M16" s="3537"/>
      <c r="N16" s="3537"/>
      <c r="O16" s="3537"/>
      <c r="P16" s="3538"/>
    </row>
    <row r="17" spans="1:19" ht="15">
      <c r="A17" s="1650" t="s">
        <v>1136</v>
      </c>
      <c r="B17" s="1651" t="s">
        <v>1137</v>
      </c>
      <c r="C17" s="1652" t="s">
        <v>1138</v>
      </c>
      <c r="D17" s="1653" t="s">
        <v>1126</v>
      </c>
      <c r="E17" s="1654" t="s">
        <v>1127</v>
      </c>
      <c r="F17" s="1655"/>
      <c r="G17" s="1656"/>
      <c r="H17" s="1657" t="s">
        <v>1139</v>
      </c>
      <c r="I17" s="1658" t="s">
        <v>1124</v>
      </c>
      <c r="J17" s="1139"/>
      <c r="K17" s="3533" t="s">
        <v>1140</v>
      </c>
      <c r="L17" s="3534"/>
      <c r="M17" s="3535"/>
      <c r="N17" s="3533" t="s">
        <v>1141</v>
      </c>
      <c r="O17" s="3534"/>
      <c r="P17" s="353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3415</v>
      </c>
      <c r="D19" s="45">
        <f>ROUND($D$3*E19/$E$3,2)</f>
        <v>0</v>
      </c>
      <c r="E19" s="53">
        <f t="shared" ref="E19:E26" si="1">SUM(F19:G19)</f>
        <v>10000</v>
      </c>
      <c r="F19" s="2793">
        <f>'数据-基础表'!I13</f>
        <v>10000</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10000</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10000</v>
      </c>
      <c r="F27" s="1140">
        <f>IF(SUM(F19:F26)=E8,SUM(F19:F26),"地上面积有误")</f>
        <v>10000</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10000</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10000</v>
      </c>
      <c r="F31" s="677">
        <f>F27+F30</f>
        <v>10000</v>
      </c>
      <c r="G31" s="678">
        <f>G27+G30</f>
        <v>0</v>
      </c>
      <c r="H31" s="2657"/>
      <c r="I31" s="2657"/>
      <c r="J31" s="2657"/>
      <c r="K31" s="2657"/>
      <c r="L31" s="2657"/>
      <c r="M31" s="2657"/>
      <c r="N31" s="2657"/>
      <c r="O31" s="2657"/>
      <c r="P31" s="2657"/>
    </row>
    <row r="32" spans="1:19">
      <c r="A32" s="1643"/>
      <c r="B32" s="1643" t="s">
        <v>1159</v>
      </c>
      <c r="C32" s="1643"/>
      <c r="D32" s="1643"/>
      <c r="E32" s="1053">
        <f>SUMIF(C19:C26,"*住宅*",E19:E26)</f>
        <v>10000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E13" sqref="E1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45253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c r="D6" s="858">
        <f>SUMIF(项目基本情况!C$12:I$12,C6,项目基本情况!C$14:I$14)</f>
        <v>0</v>
      </c>
      <c r="E6" s="857">
        <f>IF(B6="","",SUMIF(项目基本情况!C$12:I$12,C6,项目基本情况!C$13:I$13))</f>
        <v>0</v>
      </c>
      <c r="F6" s="64">
        <f>SUMIF(项目基本情况!C$12:I$12,C6,项目基本情况!C$15:I$15)</f>
        <v>0</v>
      </c>
      <c r="G6" s="65">
        <f>IF(ISERROR(ROUND(POWER(1+H6,D6-F6)*(POWER(1+H6,F6)-1)/(POWER(1+H6,D6)-1),3)),0,ROUND(POWER(1+H6,D6-F6)*(POWER(1+H6,F6)-1)/(POWER(1+H6,D6)-1),3))</f>
        <v>0</v>
      </c>
      <c r="H6" s="732"/>
      <c r="I6" s="732"/>
      <c r="J6" s="66"/>
      <c r="K6" s="1030">
        <f>SUMIF('数据-汇总表'!C$19:C$33,A6,'数据-汇总表'!E$19:E$33)</f>
        <v>10000</v>
      </c>
      <c r="L6" s="733"/>
      <c r="M6" s="67">
        <f t="shared" ref="M6:M14" si="0">ROUND(K6*L6/10000,0)</f>
        <v>0</v>
      </c>
      <c r="N6" s="731"/>
      <c r="O6" s="67">
        <f>IF($N$5="成新度","——",ROUND(M6*N6,0))</f>
        <v>0</v>
      </c>
      <c r="P6" s="68">
        <f>IF($N$5="成新度","——",M6-O6)</f>
        <v>0</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6"/>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10000</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c r="C19" s="2797" t="s">
        <v>2303</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c r="C20" s="2798" t="s">
        <v>2301</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0</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0</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c r="C27" s="2799" t="s">
        <v>2305</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0" t="s">
        <v>2292</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c r="C33" s="2801" t="s">
        <v>2293</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1" t="s">
        <v>2294</v>
      </c>
      <c r="D34" s="2682" t="s">
        <v>2302</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c r="C35" s="2801" t="s">
        <v>2295</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c r="C36" s="2801" t="s">
        <v>2296</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c r="C37" s="2801" t="s">
        <v>2297</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c r="C38" s="2801" t="s">
        <v>2297</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2312</v>
      </c>
      <c r="B40" s="1078" t="e">
        <f ca="1">IF(A40="利息：取LPR",存贷款利率!G1,存贷款利率!G1+C40)</f>
        <v>#VALUE!</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0</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c r="C42" s="2681">
        <f>IF(B2&lt;DATE(2016,5,1),0,B42)</f>
        <v>0</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0</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c r="C44" s="2801" t="s">
        <v>2306</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c r="C45" s="2800" t="s">
        <v>2298</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c r="C46" s="2800" t="s">
        <v>2299</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2307</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c r="C48" s="2800" t="s">
        <v>2298</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c r="C49" s="2800" t="s">
        <v>2300</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2304</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48" t="s">
        <v>2284</v>
      </c>
      <c r="B1" s="3549"/>
      <c r="C1" s="3549"/>
      <c r="D1" s="3549"/>
      <c r="E1" s="3549"/>
      <c r="F1" s="3549"/>
      <c r="G1" s="354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36">
      <c r="A3" s="2441" t="s">
        <v>2282</v>
      </c>
      <c r="B3" s="2463" t="s">
        <v>2252</v>
      </c>
      <c r="C3" s="3449" t="s">
        <v>3446</v>
      </c>
      <c r="D3" s="2464"/>
      <c r="E3" s="2442" t="s">
        <v>2282</v>
      </c>
      <c r="F3" s="2465" t="s">
        <v>2253</v>
      </c>
      <c r="G3" s="2466" t="s">
        <v>2283</v>
      </c>
      <c r="H3" s="799"/>
      <c r="I3" s="799"/>
      <c r="J3" s="799"/>
      <c r="K3" s="799"/>
      <c r="L3" s="799"/>
      <c r="M3" s="799"/>
      <c r="N3" s="799"/>
      <c r="O3" s="799"/>
      <c r="P3" s="799"/>
      <c r="Q3" s="799"/>
      <c r="R3" s="799"/>
    </row>
    <row r="4" spans="1:29" ht="36.75">
      <c r="A4" s="2442"/>
      <c r="B4" s="323" t="s">
        <v>2254</v>
      </c>
      <c r="C4" s="2467" t="s">
        <v>2255</v>
      </c>
      <c r="D4" s="2464"/>
      <c r="E4" s="2468"/>
      <c r="F4" s="1373" t="s">
        <v>2256</v>
      </c>
      <c r="G4" s="2469" t="s">
        <v>2257</v>
      </c>
      <c r="H4" s="799"/>
      <c r="I4" s="799"/>
      <c r="J4" s="799"/>
      <c r="K4" s="799"/>
      <c r="L4" s="799"/>
      <c r="M4" s="799"/>
      <c r="N4" s="799"/>
      <c r="O4" s="799"/>
      <c r="P4" s="799"/>
      <c r="Q4" s="799"/>
      <c r="R4" s="799"/>
    </row>
    <row r="5" spans="1:29" ht="36.75">
      <c r="A5" s="2442"/>
      <c r="B5" s="323" t="s">
        <v>2258</v>
      </c>
      <c r="C5" s="2467" t="s">
        <v>2259</v>
      </c>
      <c r="D5" s="2464"/>
      <c r="E5" s="2468"/>
      <c r="F5" s="323" t="s">
        <v>2260</v>
      </c>
      <c r="G5" s="2469" t="s">
        <v>2261</v>
      </c>
      <c r="H5" s="799"/>
      <c r="I5" s="799"/>
      <c r="J5" s="799"/>
      <c r="K5" s="799"/>
      <c r="L5" s="799"/>
      <c r="M5" s="799"/>
      <c r="N5" s="799"/>
      <c r="O5" s="799"/>
      <c r="P5" s="799"/>
      <c r="Q5" s="799"/>
      <c r="R5" s="799"/>
    </row>
    <row r="6" spans="1:29" ht="71.25" customHeight="1">
      <c r="A6" s="2442"/>
      <c r="B6" s="323" t="s">
        <v>2262</v>
      </c>
      <c r="C6" s="3450" t="s">
        <v>3447</v>
      </c>
      <c r="D6" s="2464"/>
      <c r="E6" s="2468"/>
      <c r="F6" s="323" t="s">
        <v>2263</v>
      </c>
      <c r="G6" s="2469" t="s">
        <v>2264</v>
      </c>
      <c r="H6" s="799"/>
      <c r="I6" s="799"/>
      <c r="J6" s="799"/>
      <c r="K6" s="799"/>
      <c r="L6" s="799"/>
      <c r="M6" s="799"/>
      <c r="N6" s="799"/>
      <c r="O6" s="799"/>
      <c r="P6" s="799"/>
      <c r="Q6" s="799"/>
      <c r="R6" s="799"/>
    </row>
    <row r="7" spans="1:29" ht="24.75" thickBot="1">
      <c r="A7" s="2442"/>
      <c r="B7" s="323" t="s">
        <v>2260</v>
      </c>
      <c r="C7" s="3450" t="s">
        <v>3384</v>
      </c>
      <c r="D7" s="2470"/>
      <c r="E7" s="2471"/>
      <c r="F7" s="2472" t="s">
        <v>2265</v>
      </c>
      <c r="G7" s="2473" t="s">
        <v>2266</v>
      </c>
      <c r="H7" s="799"/>
      <c r="I7" s="799"/>
      <c r="J7" s="799"/>
      <c r="K7" s="799"/>
      <c r="L7" s="799"/>
      <c r="M7" s="799"/>
      <c r="N7" s="799"/>
      <c r="O7" s="799"/>
      <c r="P7" s="799"/>
      <c r="Q7" s="799"/>
      <c r="R7" s="799"/>
    </row>
    <row r="8" spans="1:29" ht="24">
      <c r="A8" s="2442"/>
      <c r="B8" s="323" t="s">
        <v>2263</v>
      </c>
      <c r="C8" s="3450" t="s">
        <v>3383</v>
      </c>
      <c r="D8" s="2470"/>
      <c r="E8" s="2470"/>
      <c r="F8" s="2474"/>
      <c r="G8" s="2474"/>
      <c r="H8" s="799"/>
      <c r="I8" s="799"/>
      <c r="J8" s="799"/>
      <c r="K8" s="799"/>
      <c r="L8" s="799"/>
      <c r="M8" s="799"/>
      <c r="N8" s="799"/>
      <c r="O8" s="799"/>
      <c r="P8" s="799"/>
      <c r="Q8" s="799"/>
      <c r="R8" s="799"/>
    </row>
    <row r="9" spans="1:29" ht="54.75" customHeight="1">
      <c r="A9" s="2442"/>
      <c r="B9" s="323" t="s">
        <v>2267</v>
      </c>
      <c r="C9" s="3452" t="s">
        <v>3449</v>
      </c>
      <c r="D9" s="2464"/>
      <c r="E9" s="2470"/>
      <c r="F9" s="2474"/>
      <c r="G9" s="2474"/>
      <c r="H9" s="799"/>
      <c r="I9" s="799"/>
      <c r="J9" s="799"/>
      <c r="K9" s="799"/>
      <c r="L9" s="799"/>
      <c r="M9" s="799"/>
      <c r="N9" s="799"/>
      <c r="O9" s="799"/>
      <c r="P9" s="799"/>
      <c r="Q9" s="799"/>
      <c r="R9" s="799"/>
    </row>
    <row r="10" spans="1:29" s="2479" customFormat="1" ht="15" thickBot="1">
      <c r="A10" s="2443"/>
      <c r="B10" s="2475" t="s">
        <v>2268</v>
      </c>
      <c r="C10" s="3451" t="s">
        <v>3448</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2285</v>
      </c>
      <c r="B13" s="2482"/>
      <c r="C13" s="2482"/>
      <c r="D13" s="2480"/>
      <c r="E13" s="2482"/>
      <c r="F13" s="2482"/>
      <c r="G13" s="2482"/>
    </row>
    <row r="14" spans="1:29" ht="15" thickBot="1">
      <c r="A14" s="2492"/>
      <c r="B14" s="2492"/>
      <c r="C14" s="2493" t="s">
        <v>2269</v>
      </c>
      <c r="D14" s="2464"/>
      <c r="E14" s="2494"/>
      <c r="F14" s="2494"/>
      <c r="G14" s="2460" t="s">
        <v>2270</v>
      </c>
    </row>
    <row r="15" spans="1:29" ht="38.25">
      <c r="A15" s="2444" t="s">
        <v>2271</v>
      </c>
      <c r="B15" s="2495" t="s">
        <v>2252</v>
      </c>
      <c r="C15" s="2496" t="str">
        <f>C3</f>
        <v>估价对象周边有团河苑小区、首座御园、新居里等社区，综合评价居住社区成熟度较好</v>
      </c>
      <c r="D15" s="2464"/>
      <c r="E15" s="2445" t="s">
        <v>2272</v>
      </c>
      <c r="F15" s="2495" t="s">
        <v>2273</v>
      </c>
      <c r="G15" s="2497" t="str">
        <f>G3</f>
        <v>估价对象位于XX开发区，园区建设成熟度XX，产业集聚程度XX</v>
      </c>
    </row>
    <row r="16" spans="1:29" ht="38.25">
      <c r="A16" s="2446"/>
      <c r="B16" s="2498" t="s">
        <v>2254</v>
      </c>
      <c r="C16" s="2499" t="str">
        <f>C4</f>
        <v>估价对象位于XX商圈，周边商业氛围成熟，人流量大，商业繁华度好</v>
      </c>
      <c r="D16" s="2464"/>
      <c r="E16" s="2447"/>
      <c r="F16" s="2500" t="s">
        <v>2256</v>
      </c>
      <c r="G16" s="2501" t="str">
        <f>G4</f>
        <v>估价对象周边道路状况、公共交通通达情况、停车便捷程度，综合评价交通便捷度较好</v>
      </c>
    </row>
    <row r="17" spans="1:18" ht="38.25">
      <c r="A17" s="2446"/>
      <c r="B17" s="2498" t="s">
        <v>2258</v>
      </c>
      <c r="C17" s="2499" t="str">
        <f>C5</f>
        <v>估价对象位于XX商圈，周边办公楼项目较多，入驻率高，办公集聚程度较好</v>
      </c>
      <c r="D17" s="2470"/>
      <c r="E17" s="2447"/>
      <c r="F17" s="2500" t="s">
        <v>2274</v>
      </c>
      <c r="G17" s="2502"/>
    </row>
    <row r="18" spans="1:18" ht="63.75">
      <c r="A18" s="2446"/>
      <c r="B18" s="2500" t="s">
        <v>2262</v>
      </c>
      <c r="C18" s="2501" t="str">
        <f>C6</f>
        <v>估价对象周边有兴33路、X101路、X103路、946路、957路等多条公共线路，距地铁大兴机场线（大兴新城站）约500米，地面可停车，综合评价交通便捷度一般</v>
      </c>
      <c r="D18" s="2470"/>
      <c r="E18" s="2447"/>
      <c r="F18" s="2500" t="s">
        <v>2265</v>
      </c>
      <c r="G18" s="2501" t="str">
        <f>G7</f>
        <v>该园区内是否有污染型企业，绿化情况，卫生条件，整体环境状况判断</v>
      </c>
    </row>
    <row r="19" spans="1:18" ht="25.5">
      <c r="A19" s="2446"/>
      <c r="B19" s="2500" t="s">
        <v>2275</v>
      </c>
      <c r="C19" s="2502"/>
      <c r="D19" s="2464"/>
      <c r="E19" s="2447"/>
      <c r="F19" s="323" t="s">
        <v>2260</v>
      </c>
      <c r="G19" s="2501" t="str">
        <f>G5</f>
        <v>估价对象所在区域公共配套设施齐备情况</v>
      </c>
    </row>
    <row r="20" spans="1:18" ht="38.25">
      <c r="A20" s="2446"/>
      <c r="B20" s="2500" t="s">
        <v>2276</v>
      </c>
      <c r="C20" s="2499" t="str">
        <f>C9</f>
        <v>区域自然环境：凤河、新凤河；人文环境：团河行宫遗址公园等；综合评价环境状况一般</v>
      </c>
      <c r="D20" s="2470"/>
      <c r="E20" s="2447"/>
      <c r="F20" s="323" t="s">
        <v>2263</v>
      </c>
      <c r="G20" s="2501" t="str">
        <f>G6</f>
        <v>估价对象所在区域基础设施水平</v>
      </c>
    </row>
    <row r="21" spans="1:18" ht="25.5">
      <c r="A21" s="2446"/>
      <c r="B21" s="323" t="s">
        <v>2260</v>
      </c>
      <c r="C21" s="2501" t="str">
        <f>C7</f>
        <v>估价对象所在区域公共配套设施齐备</v>
      </c>
      <c r="D21" s="2464"/>
      <c r="E21" s="2447"/>
      <c r="F21" s="2500" t="s">
        <v>2277</v>
      </c>
      <c r="G21" s="2503"/>
    </row>
    <row r="22" spans="1:18" ht="13.5" customHeight="1">
      <c r="A22" s="2446"/>
      <c r="B22" s="323" t="s">
        <v>2263</v>
      </c>
      <c r="C22" s="2501" t="str">
        <f>C8</f>
        <v>估价对象所在区域基础设施水平达七通</v>
      </c>
      <c r="D22" s="2464"/>
      <c r="E22" s="2447"/>
      <c r="F22" s="2500" t="s">
        <v>2268</v>
      </c>
      <c r="G22" s="2502"/>
    </row>
    <row r="23" spans="1:18" s="799" customFormat="1" ht="15" thickBot="1">
      <c r="A23" s="2446"/>
      <c r="B23" s="2500" t="s">
        <v>2277</v>
      </c>
      <c r="C23" s="2503"/>
      <c r="D23" s="1741"/>
      <c r="E23" s="2448"/>
      <c r="F23" s="2504" t="s">
        <v>2278</v>
      </c>
      <c r="G23" s="2505"/>
      <c r="H23" s="2489"/>
      <c r="I23" s="2490"/>
      <c r="J23" s="2489"/>
      <c r="K23" s="2489"/>
      <c r="L23" s="2490"/>
      <c r="M23" s="2489"/>
      <c r="N23" s="2489"/>
      <c r="O23" s="2490"/>
      <c r="P23" s="2489"/>
      <c r="Q23" s="2489"/>
      <c r="R23" s="2491"/>
    </row>
    <row r="24" spans="1:18" s="799" customFormat="1" ht="15" thickBot="1">
      <c r="A24" s="2449"/>
      <c r="B24" s="2504" t="s">
        <v>2279</v>
      </c>
      <c r="C24" s="2506" t="str">
        <f>C10</f>
        <v>城市支路——沐新路</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10000</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45253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108</v>
      </c>
      <c r="C5" s="2510">
        <f ca="1">IF(B5=D14,结果表!H102,ROUND(B5*10000/$B$1,0))</f>
        <v>0</v>
      </c>
      <c r="D5" s="2510" t="e">
        <f>ROUND(B5*10000/$B$2,0)</f>
        <v>#DIV/0!</v>
      </c>
      <c r="E5" s="2684"/>
      <c r="F5" s="2685"/>
      <c r="G5" s="2685"/>
      <c r="H5" s="2686"/>
      <c r="I5" s="2686"/>
      <c r="J5" s="2686"/>
      <c r="K5" s="2686"/>
    </row>
    <row r="6" spans="1:11" ht="16.5">
      <c r="A6" s="2510" t="s">
        <v>656</v>
      </c>
      <c r="B6" s="2510">
        <f>SUM(G14:G23)</f>
        <v>0</v>
      </c>
      <c r="C6" s="2510">
        <f ca="1">IF(B6=G14,结果表!H108,ROUND(B6*10000/$B$1,0))</f>
        <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3360</v>
      </c>
      <c r="D10" s="2510" t="s">
        <v>3361</v>
      </c>
      <c r="E10" s="3439"/>
      <c r="F10" s="3443" t="s">
        <v>3362</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v>10000</v>
      </c>
      <c r="C14" s="2516"/>
      <c r="D14" s="2516">
        <v>108</v>
      </c>
      <c r="E14" s="2516">
        <f>ROUND(D14*10000/B14,0)</f>
        <v>108</v>
      </c>
      <c r="F14" s="2516" t="e">
        <f>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E1" sqref="E1"/>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3410</v>
      </c>
      <c r="D1" s="1747"/>
      <c r="E1" s="1747"/>
      <c r="F1" s="1749" t="s">
        <v>1263</v>
      </c>
      <c r="G1" s="1561"/>
      <c r="H1" s="1750" t="str">
        <f>IF(G1="现房","——","估价对象范围")</f>
        <v>估价对象范围</v>
      </c>
      <c r="I1" s="1751"/>
    </row>
    <row r="2" spans="1:12" ht="21.75" customHeight="1" thickBot="1">
      <c r="A2" s="3617" t="str">
        <f>项目基本情况!S2</f>
        <v>北京市房地产</v>
      </c>
      <c r="B2" s="3618"/>
      <c r="C2" s="3618"/>
      <c r="D2" s="3618"/>
      <c r="E2" s="3618"/>
      <c r="F2" s="3618"/>
      <c r="G2" s="3618"/>
      <c r="H2" s="3618"/>
      <c r="I2" s="3619"/>
    </row>
    <row r="3" spans="1:12" ht="12.75">
      <c r="A3" s="3621" t="s">
        <v>1264</v>
      </c>
      <c r="B3" s="3622"/>
      <c r="C3" s="3622"/>
      <c r="D3" s="3622"/>
      <c r="E3" s="3622"/>
      <c r="F3" s="3622"/>
      <c r="G3" s="3622"/>
      <c r="H3" s="3622"/>
      <c r="I3" s="3622"/>
    </row>
    <row r="4" spans="1:12" ht="14.25">
      <c r="A4" s="1754" t="s">
        <v>1265</v>
      </c>
      <c r="B4" s="1755" t="s">
        <v>1266</v>
      </c>
      <c r="C4" s="1756" t="s">
        <v>3411</v>
      </c>
      <c r="D4" s="1756" t="s">
        <v>3413</v>
      </c>
      <c r="E4" s="3626" t="s">
        <v>1267</v>
      </c>
      <c r="F4" s="3627"/>
      <c r="G4" s="3627"/>
      <c r="H4" s="3627"/>
      <c r="I4" s="362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65" t="s">
        <v>1268</v>
      </c>
      <c r="B5" s="3620">
        <v>25</v>
      </c>
      <c r="C5" s="3623">
        <v>5</v>
      </c>
      <c r="D5" s="3611">
        <v>5</v>
      </c>
      <c r="E5" s="131" t="s">
        <v>1269</v>
      </c>
      <c r="F5" s="1757"/>
      <c r="G5" s="1757"/>
      <c r="H5" s="1757"/>
      <c r="I5" s="1373"/>
    </row>
    <row r="6" spans="1:12" ht="12.75">
      <c r="A6" s="3565"/>
      <c r="B6" s="3620"/>
      <c r="C6" s="3625"/>
      <c r="D6" s="3611"/>
      <c r="E6" s="131" t="s">
        <v>1270</v>
      </c>
      <c r="F6" s="1757"/>
      <c r="G6" s="1757"/>
      <c r="H6" s="1757"/>
      <c r="I6" s="1373"/>
    </row>
    <row r="7" spans="1:12" ht="12.75">
      <c r="A7" s="3565"/>
      <c r="B7" s="3620"/>
      <c r="C7" s="3624"/>
      <c r="D7" s="3611"/>
      <c r="E7" s="131" t="s">
        <v>1271</v>
      </c>
      <c r="F7" s="1757"/>
      <c r="G7" s="1757"/>
      <c r="H7" s="1757"/>
      <c r="I7" s="1373"/>
    </row>
    <row r="8" spans="1:12" ht="12.75">
      <c r="A8" s="3565" t="s">
        <v>1272</v>
      </c>
      <c r="B8" s="3620">
        <v>15</v>
      </c>
      <c r="C8" s="3623"/>
      <c r="D8" s="3611"/>
      <c r="E8" s="131" t="s">
        <v>1273</v>
      </c>
      <c r="F8" s="1757"/>
      <c r="G8" s="1757"/>
      <c r="H8" s="1757"/>
      <c r="I8" s="1373"/>
    </row>
    <row r="9" spans="1:12" ht="12.75">
      <c r="A9" s="3565"/>
      <c r="B9" s="3620"/>
      <c r="C9" s="3624"/>
      <c r="D9" s="3611"/>
      <c r="E9" s="131" t="s">
        <v>1274</v>
      </c>
      <c r="F9" s="1757"/>
      <c r="G9" s="1757"/>
      <c r="H9" s="1757"/>
      <c r="I9" s="1373"/>
    </row>
    <row r="10" spans="1:12" ht="12.75">
      <c r="A10" s="3565" t="s">
        <v>1275</v>
      </c>
      <c r="B10" s="3620">
        <v>15</v>
      </c>
      <c r="C10" s="3623"/>
      <c r="D10" s="3611"/>
      <c r="E10" s="131" t="s">
        <v>1276</v>
      </c>
      <c r="F10" s="1757"/>
      <c r="G10" s="1757"/>
      <c r="H10" s="1757"/>
      <c r="I10" s="1373"/>
    </row>
    <row r="11" spans="1:12" ht="12.75">
      <c r="A11" s="3565"/>
      <c r="B11" s="3620"/>
      <c r="C11" s="3624"/>
      <c r="D11" s="3611"/>
      <c r="E11" s="131" t="s">
        <v>1277</v>
      </c>
      <c r="F11" s="1757"/>
      <c r="G11" s="1757"/>
      <c r="H11" s="1757"/>
      <c r="I11" s="1373"/>
    </row>
    <row r="12" spans="1:12" ht="12.75">
      <c r="A12" s="3565" t="s">
        <v>1278</v>
      </c>
      <c r="B12" s="3620">
        <v>15</v>
      </c>
      <c r="C12" s="3623"/>
      <c r="D12" s="3611"/>
      <c r="E12" s="131" t="s">
        <v>1279</v>
      </c>
      <c r="F12" s="1757"/>
      <c r="G12" s="1757"/>
      <c r="H12" s="1757"/>
      <c r="I12" s="1373"/>
    </row>
    <row r="13" spans="1:12" ht="12.75">
      <c r="A13" s="3565"/>
      <c r="B13" s="3620"/>
      <c r="C13" s="3624"/>
      <c r="D13" s="3611"/>
      <c r="E13" s="131" t="s">
        <v>1280</v>
      </c>
      <c r="F13" s="1757"/>
      <c r="G13" s="1757"/>
      <c r="H13" s="1757"/>
      <c r="I13" s="1373"/>
    </row>
    <row r="14" spans="1:12" ht="12.75">
      <c r="A14" s="3565" t="s">
        <v>1281</v>
      </c>
      <c r="B14" s="3620">
        <v>30</v>
      </c>
      <c r="C14" s="3623"/>
      <c r="D14" s="3611"/>
      <c r="E14" s="131" t="s">
        <v>1282</v>
      </c>
      <c r="F14" s="1757"/>
      <c r="G14" s="1757"/>
      <c r="H14" s="1757"/>
      <c r="I14" s="1373"/>
    </row>
    <row r="15" spans="1:12" ht="12.75">
      <c r="A15" s="3565"/>
      <c r="B15" s="3620"/>
      <c r="C15" s="3625"/>
      <c r="D15" s="3611"/>
      <c r="E15" s="131" t="s">
        <v>1283</v>
      </c>
      <c r="F15" s="1757"/>
      <c r="G15" s="1757"/>
      <c r="H15" s="1757"/>
      <c r="I15" s="1373"/>
    </row>
    <row r="16" spans="1:12" ht="12.75">
      <c r="A16" s="3565"/>
      <c r="B16" s="3620"/>
      <c r="C16" s="3624"/>
      <c r="D16" s="3611"/>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42" t="s">
        <v>2131</v>
      </c>
      <c r="F18" s="3643"/>
      <c r="G18" s="3643"/>
      <c r="H18" s="3643"/>
      <c r="I18" s="3643"/>
      <c r="K18" s="302" t="s">
        <v>1289</v>
      </c>
      <c r="L18" s="302">
        <f>IF(C1="",'数据-汇总表'!E3,SUMIF(项目类型,C1,'数据-汇总表'!E17:E26)+SUMIF(项目类型,C1,'数据-汇总表'!I17:I26))</f>
        <v>0</v>
      </c>
      <c r="M18" s="302">
        <f>IF(C1="",'数据-汇总表'!E3,SUMIF(项目类型,C1,'数据-汇总表'!E17:E26))</f>
        <v>0</v>
      </c>
    </row>
    <row r="19" spans="1:36" ht="15">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635" t="s">
        <v>1299</v>
      </c>
      <c r="B24" s="1762" t="s">
        <v>1291</v>
      </c>
      <c r="C24" s="136">
        <f>IF(B30=0,0,D30)</f>
        <v>0</v>
      </c>
      <c r="D24" s="1769"/>
      <c r="E24" s="129"/>
      <c r="F24" s="129"/>
      <c r="G24" s="129"/>
      <c r="H24" s="129"/>
      <c r="I24" s="129"/>
    </row>
    <row r="25" spans="1:36" ht="14.25">
      <c r="A25" s="363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t="e">
        <f ca="1">IF(D32="总价",G19-C24,G20-C25)</f>
        <v>#REF!</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2" t="s">
        <v>1312</v>
      </c>
      <c r="B36" s="1787" t="s">
        <v>1313</v>
      </c>
      <c r="C36" s="145"/>
      <c r="D36" s="1788"/>
      <c r="E36" s="1789"/>
      <c r="F36" s="1790"/>
      <c r="G36" s="129"/>
      <c r="H36" s="129"/>
      <c r="I36" s="129"/>
    </row>
    <row r="37" spans="1:15" ht="15.75" thickBot="1">
      <c r="A37" s="3613"/>
      <c r="B37" s="1674" t="s">
        <v>1314</v>
      </c>
      <c r="C37" s="147"/>
      <c r="D37" s="1139"/>
      <c r="E37" s="1139"/>
      <c r="F37" s="1790"/>
      <c r="G37" s="129"/>
      <c r="H37" s="129"/>
      <c r="I37" s="129"/>
    </row>
    <row r="38" spans="1:15" ht="15.75" thickBot="1">
      <c r="A38" s="361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2" t="s">
        <v>1326</v>
      </c>
      <c r="B45" s="3633"/>
      <c r="C45" s="3634"/>
      <c r="D45" s="155" t="e">
        <f ca="1">ROUND(H101*F45,0)</f>
        <v>#REF!</v>
      </c>
      <c r="E45" s="156" t="s">
        <v>1327</v>
      </c>
      <c r="F45" s="157">
        <v>1</v>
      </c>
      <c r="G45" s="158" t="s">
        <v>1328</v>
      </c>
      <c r="H45" s="129"/>
      <c r="I45" s="129"/>
      <c r="J45" s="3552" t="s">
        <v>1329</v>
      </c>
      <c r="K45" s="3552"/>
      <c r="L45" s="3552"/>
      <c r="M45" s="3552"/>
      <c r="N45" s="3552"/>
      <c r="O45" s="3552"/>
    </row>
    <row r="46" spans="1:15" ht="14.25" customHeight="1">
      <c r="A46" s="3629" t="s">
        <v>1330</v>
      </c>
      <c r="B46" s="3630"/>
      <c r="C46" s="3630"/>
      <c r="D46" s="3630"/>
      <c r="E46" s="3630"/>
      <c r="F46" s="3630"/>
      <c r="G46" s="3631"/>
      <c r="H46" s="1806"/>
      <c r="I46" s="159"/>
      <c r="J46" s="2521">
        <v>1</v>
      </c>
      <c r="K46" s="3553" t="s">
        <v>1331</v>
      </c>
      <c r="L46" s="3553"/>
      <c r="M46" s="3554"/>
      <c r="N46" s="3554"/>
      <c r="O46" s="3554"/>
    </row>
    <row r="47" spans="1:15" ht="12" customHeight="1">
      <c r="A47" s="160" t="s">
        <v>1332</v>
      </c>
      <c r="B47" s="161"/>
      <c r="C47" s="162"/>
      <c r="D47" s="1087" t="s">
        <v>1333</v>
      </c>
      <c r="E47" s="302" t="s">
        <v>1334</v>
      </c>
      <c r="F47" s="163" t="s">
        <v>1335</v>
      </c>
      <c r="G47" s="2544" t="s">
        <v>1336</v>
      </c>
      <c r="H47" s="2545"/>
      <c r="I47" s="159"/>
      <c r="J47" s="2521">
        <v>2</v>
      </c>
      <c r="K47" s="3553" t="s">
        <v>1337</v>
      </c>
      <c r="L47" s="3553"/>
      <c r="M47" s="3555">
        <f>'数据-取费表'!B2</f>
        <v>45253</v>
      </c>
      <c r="N47" s="3555"/>
      <c r="O47" s="3555"/>
    </row>
    <row r="48" spans="1:15" ht="25.5">
      <c r="A48" s="3615" t="s">
        <v>1338</v>
      </c>
      <c r="B48" s="3616"/>
      <c r="C48" s="3616"/>
      <c r="D48" s="2324" t="b">
        <f>IF(H48="情况1",0,IF(H48="情况2",D52,IF(H48="情况3",D53,IF(H48="情况4",D54))))</f>
        <v>0</v>
      </c>
      <c r="E48" s="2334" t="str">
        <f>IF(H48="情况4","(销售额-原购置价)×税（费）率","销售额×税（费）率")</f>
        <v>销售额×税（费）率</v>
      </c>
      <c r="F48" s="2546">
        <f>IF(H48="情况1","免征",'数据-取费表'!B41)</f>
        <v>0</v>
      </c>
      <c r="G48" s="2547" t="s">
        <v>1339</v>
      </c>
      <c r="H48" s="2548"/>
      <c r="I48" s="1806"/>
      <c r="J48" s="2521">
        <v>3</v>
      </c>
      <c r="K48" s="3553" t="s">
        <v>1340</v>
      </c>
      <c r="L48" s="3553"/>
      <c r="M48" s="3556" t="e">
        <f ca="1">H101</f>
        <v>#REF!</v>
      </c>
      <c r="N48" s="3556"/>
      <c r="O48" s="3556"/>
    </row>
    <row r="49" spans="1:35" ht="25.5" customHeight="1">
      <c r="A49" s="2333" t="s">
        <v>1341</v>
      </c>
      <c r="B49" s="3601" t="s">
        <v>1342</v>
      </c>
      <c r="C49" s="3601"/>
      <c r="D49" s="1590">
        <v>0</v>
      </c>
      <c r="E49" s="324" t="s">
        <v>1343</v>
      </c>
      <c r="F49" s="2424" t="s">
        <v>28</v>
      </c>
      <c r="G49" s="3584"/>
      <c r="H49" s="2310" t="s">
        <v>2134</v>
      </c>
      <c r="I49" s="2311"/>
      <c r="J49" s="2521">
        <v>4</v>
      </c>
      <c r="K49" s="3553" t="str">
        <f>IF(项目基本情况!E8="房地产抵押价值","房地产抵押价值","抵押担保权已注销时的房地产抵押价值")</f>
        <v>抵押担保权已注销时的房地产抵押价值</v>
      </c>
      <c r="L49" s="3553"/>
      <c r="M49" s="3556" t="str">
        <f>IF(项目基本情况!E8="房地产抵押价值",H107,H109)</f>
        <v>——</v>
      </c>
      <c r="N49" s="3556"/>
      <c r="O49" s="3556"/>
    </row>
    <row r="50" spans="1:35" ht="25.5" customHeight="1">
      <c r="A50" s="2549"/>
      <c r="B50" s="3601" t="s">
        <v>1344</v>
      </c>
      <c r="C50" s="3601"/>
      <c r="D50" s="2550"/>
      <c r="E50" s="332"/>
      <c r="F50" s="2424"/>
      <c r="G50" s="3585"/>
      <c r="H50" s="2312" t="s">
        <v>2135</v>
      </c>
      <c r="I50" s="2311"/>
      <c r="J50" s="3552" t="s">
        <v>1345</v>
      </c>
      <c r="K50" s="3552"/>
      <c r="L50" s="3552"/>
      <c r="M50" s="3552"/>
      <c r="N50" s="3552"/>
      <c r="O50" s="3552"/>
    </row>
    <row r="51" spans="1:35" ht="20.45" customHeight="1">
      <c r="A51" s="2551"/>
      <c r="B51" s="3601" t="s">
        <v>1346</v>
      </c>
      <c r="C51" s="3601"/>
      <c r="D51" s="1087"/>
      <c r="E51" s="327"/>
      <c r="F51" s="2424"/>
      <c r="G51" s="3586"/>
      <c r="H51" s="2312" t="s">
        <v>2136</v>
      </c>
      <c r="I51" s="2311"/>
      <c r="J51" s="2522" t="s">
        <v>1347</v>
      </c>
      <c r="K51" s="3553" t="s">
        <v>1348</v>
      </c>
      <c r="L51" s="3553"/>
      <c r="M51" s="2522" t="s">
        <v>1349</v>
      </c>
      <c r="N51" s="2522" t="s">
        <v>1350</v>
      </c>
      <c r="O51" s="2522" t="s">
        <v>1351</v>
      </c>
    </row>
    <row r="52" spans="1:35" ht="24" customHeight="1">
      <c r="A52" s="2335" t="s">
        <v>1352</v>
      </c>
      <c r="B52" s="3601" t="s">
        <v>1353</v>
      </c>
      <c r="C52" s="3601"/>
      <c r="D52" s="1087" t="e">
        <f ca="1">ROUND(D45*'数据-取费表'!B41/(1+'数据-取费表'!C42),0)</f>
        <v>#REF!</v>
      </c>
      <c r="E52" s="2334" t="s">
        <v>1354</v>
      </c>
      <c r="F52" s="2552">
        <f>'数据-取费表'!B41</f>
        <v>0</v>
      </c>
      <c r="G52" s="2553"/>
      <c r="H52" s="2542"/>
      <c r="I52" s="1807"/>
      <c r="J52" s="2521">
        <v>1</v>
      </c>
      <c r="K52" s="3578" t="s">
        <v>1355</v>
      </c>
      <c r="L52" s="3578"/>
      <c r="M52" s="2523" t="b">
        <f>D48</f>
        <v>0</v>
      </c>
      <c r="N52" s="2521" t="str">
        <f>E48</f>
        <v>销售额×税（费）率</v>
      </c>
      <c r="O52" s="2524">
        <f>F48</f>
        <v>0</v>
      </c>
    </row>
    <row r="53" spans="1:35" ht="12" customHeight="1">
      <c r="A53" s="2335" t="s">
        <v>1356</v>
      </c>
      <c r="B53" s="3602" t="s">
        <v>2289</v>
      </c>
      <c r="C53" s="3603"/>
      <c r="D53" s="1087" t="e">
        <f ca="1">ROUND(D45*'数据-取费表'!B41/(1+'数据-取费表'!C42),0)</f>
        <v>#REF!</v>
      </c>
      <c r="E53" s="2334" t="s">
        <v>1354</v>
      </c>
      <c r="F53" s="2552">
        <f>'数据-取费表'!B41</f>
        <v>0</v>
      </c>
      <c r="G53" s="2553"/>
      <c r="H53" s="2542"/>
      <c r="I53" s="1807"/>
      <c r="J53" s="2521">
        <v>2</v>
      </c>
      <c r="K53" s="3578" t="s">
        <v>1357</v>
      </c>
      <c r="L53" s="3578"/>
      <c r="M53" s="2523" t="e">
        <f t="shared" ref="M53:O54" ca="1" si="0">D55</f>
        <v>#REF!</v>
      </c>
      <c r="N53" s="2521" t="str">
        <f t="shared" si="0"/>
        <v>销售额×税（费）率</v>
      </c>
      <c r="O53" s="2524" t="str">
        <f t="shared" si="0"/>
        <v>免征</v>
      </c>
    </row>
    <row r="54" spans="1:35" ht="12" customHeight="1">
      <c r="A54" s="2335" t="s">
        <v>1358</v>
      </c>
      <c r="B54" s="3602" t="s">
        <v>2290</v>
      </c>
      <c r="C54" s="3603"/>
      <c r="D54" s="1087" t="e">
        <f ca="1">C68</f>
        <v>#REF!</v>
      </c>
      <c r="E54" s="327" t="s">
        <v>1359</v>
      </c>
      <c r="F54" s="2552">
        <f>'数据-取费表'!B41</f>
        <v>0</v>
      </c>
      <c r="G54" s="2553"/>
      <c r="H54" s="2554"/>
      <c r="I54" s="1807"/>
      <c r="J54" s="2521">
        <v>3</v>
      </c>
      <c r="K54" s="3578" t="s">
        <v>1360</v>
      </c>
      <c r="L54" s="3578"/>
      <c r="M54" s="2523" t="e">
        <f t="shared" ca="1" si="0"/>
        <v>#REF!</v>
      </c>
      <c r="N54" s="2521" t="str">
        <f t="shared" si="0"/>
        <v>增值额×税（费）率</v>
      </c>
      <c r="O54" s="2525" t="str">
        <f t="shared" si="0"/>
        <v>免征</v>
      </c>
    </row>
    <row r="55" spans="1:35" ht="24" customHeight="1">
      <c r="A55" s="3638" t="s">
        <v>1361</v>
      </c>
      <c r="B55" s="3616"/>
      <c r="C55" s="3616"/>
      <c r="D55" s="2324" t="e">
        <f ca="1">IF(H55="个人住宅",0,ROUND(D45*I55,0))</f>
        <v>#REF!</v>
      </c>
      <c r="E55" s="2334" t="s">
        <v>1362</v>
      </c>
      <c r="F55" s="2552" t="str">
        <f>IF(H55="正常",I55,"免征")</f>
        <v>免征</v>
      </c>
      <c r="G55" s="2553"/>
      <c r="H55" s="2548"/>
      <c r="I55" s="165">
        <f>'数据-取费表'!B49</f>
        <v>0</v>
      </c>
      <c r="J55" s="2521">
        <f>IF(H59="非个人房产","",4)</f>
        <v>4</v>
      </c>
      <c r="K55" s="3578" t="str">
        <f>IF(H59="非个人房产","——","个人所得税")</f>
        <v>个人所得税</v>
      </c>
      <c r="L55" s="3578"/>
      <c r="M55" s="2526" t="e">
        <f ca="1">D59</f>
        <v>#REF!</v>
      </c>
      <c r="N55" s="2040" t="str">
        <f>E59</f>
        <v>差额计税</v>
      </c>
      <c r="O55" s="2527">
        <f>F59</f>
        <v>0.01</v>
      </c>
    </row>
    <row r="56" spans="1:35" ht="24.75">
      <c r="A56" s="3638" t="s">
        <v>1363</v>
      </c>
      <c r="B56" s="3616"/>
      <c r="C56" s="3616"/>
      <c r="D56" s="2324" t="e">
        <f ca="1">IF(H56="个人住宅",D57,D58)</f>
        <v>#REF!</v>
      </c>
      <c r="E56" s="2334" t="s">
        <v>1364</v>
      </c>
      <c r="F56" s="2552" t="str">
        <f>IF(H56="正常",F58,"免征")</f>
        <v>免征</v>
      </c>
      <c r="G56" s="2555" t="s">
        <v>1365</v>
      </c>
      <c r="H56" s="2556"/>
      <c r="I56" s="1808"/>
      <c r="J56" s="2521" t="str">
        <f>IF(项目基本情况!K6="上海银行",IF(J55="",4,J55+1),"")</f>
        <v/>
      </c>
      <c r="K56" s="3559" t="str">
        <f>IF(项目基本情况!K6="上海银行","其他处置费用","")</f>
        <v/>
      </c>
      <c r="L56" s="3560"/>
      <c r="M56" s="2523" t="str">
        <f>IF(项目基本情况!K6="上海银行",M69,"")</f>
        <v/>
      </c>
      <c r="N56" s="3559" t="str">
        <f>IF(项目基本情况!K6="上海银行","包含处置中涉及的律师、诉讼、拍卖、评估等费用","")</f>
        <v/>
      </c>
      <c r="O56" s="3562"/>
    </row>
    <row r="57" spans="1:35" ht="12.75">
      <c r="A57" s="2335" t="s">
        <v>1341</v>
      </c>
      <c r="B57" s="3602" t="s">
        <v>1366</v>
      </c>
      <c r="C57" s="3603"/>
      <c r="D57" s="1590">
        <v>0</v>
      </c>
      <c r="E57" s="324" t="s">
        <v>1343</v>
      </c>
      <c r="F57" s="302"/>
      <c r="G57" s="2553"/>
      <c r="H57" s="2557"/>
      <c r="I57" s="1808"/>
      <c r="J57" s="3578">
        <f>IF(AND(J55="",J56=""),4,IF(项目基本情况!K6="上海银行",结果表!J56+1,结果表!J55+1))</f>
        <v>5</v>
      </c>
      <c r="K57" s="3578" t="s">
        <v>1367</v>
      </c>
      <c r="L57" s="2528" t="s">
        <v>1368</v>
      </c>
      <c r="M57" s="2529"/>
      <c r="N57" s="2530">
        <f ca="1">SUMIF(M52:M56,"&lt;9e307")</f>
        <v>0</v>
      </c>
      <c r="O57" s="2531"/>
      <c r="P57" s="2688" t="e">
        <f ca="1">N57/M49</f>
        <v>#VALUE!</v>
      </c>
    </row>
    <row r="58" spans="1:35" ht="24.75">
      <c r="A58" s="2335" t="s">
        <v>1352</v>
      </c>
      <c r="B58" s="3602" t="s">
        <v>1369</v>
      </c>
      <c r="C58" s="3601"/>
      <c r="D58" s="2324" t="e">
        <f ca="1">IF(H58="转让取得",C81,C97)</f>
        <v>#REF!</v>
      </c>
      <c r="E58" s="2334" t="s">
        <v>1364</v>
      </c>
      <c r="F58" s="302" t="s">
        <v>28</v>
      </c>
      <c r="G58" s="2553"/>
      <c r="H58" s="2556"/>
      <c r="I58" s="1808"/>
      <c r="J58" s="3578"/>
      <c r="K58" s="3578"/>
      <c r="L58" s="2528" t="s">
        <v>1370</v>
      </c>
      <c r="M58" s="2532"/>
      <c r="N58" s="2533" t="str">
        <f ca="1">NUMBERSTRING(INT(N57*10000),2)&amp;"元整"</f>
        <v>零元整</v>
      </c>
      <c r="O58" s="2534"/>
    </row>
    <row r="59" spans="1:35" ht="24.75" thickBot="1">
      <c r="A59" s="3582" t="s">
        <v>1371</v>
      </c>
      <c r="B59" s="3583"/>
      <c r="C59" s="3583"/>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580">
        <f>J57+1</f>
        <v>6</v>
      </c>
      <c r="K59" s="3578" t="s">
        <v>1372</v>
      </c>
      <c r="L59" s="2521" t="s">
        <v>1368</v>
      </c>
      <c r="M59" s="2535"/>
      <c r="N59" s="2536" t="e">
        <f ca="1">M49-N57</f>
        <v>#VALUE!</v>
      </c>
      <c r="O59" s="2537"/>
    </row>
    <row r="60" spans="1:35" ht="12" customHeight="1">
      <c r="A60" s="1809"/>
      <c r="B60" s="1747"/>
      <c r="C60" s="1747"/>
      <c r="D60" s="1747"/>
      <c r="E60" s="1578"/>
      <c r="F60" s="1808"/>
      <c r="G60" s="1808"/>
      <c r="H60" s="1810"/>
      <c r="I60" s="129"/>
      <c r="J60" s="3581"/>
      <c r="K60" s="3578"/>
      <c r="L60" s="2528" t="s">
        <v>1370</v>
      </c>
      <c r="M60" s="2532"/>
      <c r="N60" s="2533" t="e">
        <f ca="1">NUMBERSTRING(INT(N59*10000),2)&amp;"元整"</f>
        <v>#VALUE!</v>
      </c>
      <c r="O60" s="2534"/>
    </row>
    <row r="61" spans="1:35" ht="13.5" thickBot="1">
      <c r="A61" s="3637" t="s">
        <v>1373</v>
      </c>
      <c r="B61" s="3637"/>
      <c r="C61" s="3637"/>
      <c r="D61" s="3637"/>
      <c r="E61" s="3637"/>
      <c r="F61" s="1808"/>
      <c r="G61" s="1808"/>
      <c r="H61" s="1810"/>
      <c r="I61" s="129"/>
      <c r="J61" s="2521">
        <f>J59+1</f>
        <v>7</v>
      </c>
      <c r="K61" s="3578" t="s">
        <v>1374</v>
      </c>
      <c r="L61" s="3578"/>
      <c r="M61" s="2538"/>
      <c r="N61" s="2539" t="e">
        <f ca="1">ROUND(N59*10000/'数据-汇总表'!E3,0)</f>
        <v>#VALUE!</v>
      </c>
      <c r="O61" s="2540"/>
    </row>
    <row r="62" spans="1:35" ht="12.75">
      <c r="A62" s="3597" t="s">
        <v>1375</v>
      </c>
      <c r="B62" s="3598"/>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561"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561"/>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561"/>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561"/>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561"/>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0</v>
      </c>
      <c r="E68" s="178"/>
      <c r="F68" s="1808"/>
      <c r="G68" s="1808"/>
      <c r="H68" s="1810"/>
      <c r="I68" s="129"/>
      <c r="J68" s="3561"/>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61"/>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5" t="s">
        <v>1394</v>
      </c>
      <c r="B70" s="3606"/>
      <c r="C70" s="3606"/>
      <c r="D70" s="3606"/>
      <c r="E70" s="3606"/>
      <c r="F70" s="3606"/>
      <c r="G70" s="3606"/>
      <c r="H70" s="3606"/>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7" t="s">
        <v>1375</v>
      </c>
      <c r="B71" s="3598"/>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02" t="s">
        <v>1402</v>
      </c>
      <c r="F76" s="3601"/>
      <c r="G76" s="3601"/>
      <c r="H76" s="3604"/>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0</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0</v>
      </c>
      <c r="E78" s="3594" t="s">
        <v>1406</v>
      </c>
      <c r="F78" s="3595"/>
      <c r="G78" s="3595"/>
      <c r="H78" s="359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5" t="s">
        <v>1410</v>
      </c>
      <c r="B83" s="3606"/>
      <c r="C83" s="3606"/>
      <c r="D83" s="3606"/>
      <c r="E83" s="3606"/>
      <c r="F83" s="3606"/>
      <c r="G83" s="3606"/>
      <c r="H83" s="3606"/>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7" t="s">
        <v>1375</v>
      </c>
      <c r="B84" s="359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2286</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0</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563" t="s">
        <v>2129</v>
      </c>
      <c r="H90" s="3564"/>
      <c r="I90" s="1821"/>
      <c r="J90" s="2519" t="s">
        <v>2287</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94" t="s">
        <v>1419</v>
      </c>
      <c r="F91" s="3595"/>
      <c r="G91" s="359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94" t="s">
        <v>1422</v>
      </c>
      <c r="F92" s="3595"/>
      <c r="G92" s="3595"/>
      <c r="H92" s="3596"/>
      <c r="I92" s="1821"/>
      <c r="J92" s="2520" t="s">
        <v>2288</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0</v>
      </c>
      <c r="E93" s="3594" t="s">
        <v>1406</v>
      </c>
      <c r="F93" s="3595"/>
      <c r="G93" s="3595"/>
      <c r="H93" s="359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39" t="s">
        <v>1426</v>
      </c>
      <c r="F94" s="3640"/>
      <c r="G94" s="3640"/>
      <c r="H94" s="364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4" t="s">
        <v>1428</v>
      </c>
      <c r="B100" s="3545"/>
      <c r="C100" s="3545"/>
      <c r="D100" s="3579"/>
      <c r="E100" s="3545" t="s">
        <v>1429</v>
      </c>
      <c r="F100" s="3545"/>
      <c r="G100" s="3545"/>
      <c r="H100" s="3579"/>
      <c r="I100" s="129"/>
    </row>
    <row r="101" spans="1:35" ht="18.75" customHeight="1">
      <c r="A101" s="3587" t="s">
        <v>1430</v>
      </c>
      <c r="B101" s="3588"/>
      <c r="C101" s="2583" t="str">
        <f>C4</f>
        <v>比较法-楼房</v>
      </c>
      <c r="D101" s="2584" t="str">
        <f>D4</f>
        <v>比较法-平房</v>
      </c>
      <c r="E101" s="3557" t="s">
        <v>1431</v>
      </c>
      <c r="F101" s="3558"/>
      <c r="G101" s="1827" t="s">
        <v>1432</v>
      </c>
      <c r="H101" s="2593" t="e">
        <f ca="1">H118</f>
        <v>#REF!</v>
      </c>
      <c r="I101" s="129"/>
    </row>
    <row r="102" spans="1:35" ht="18.75" customHeight="1">
      <c r="A102" s="3589" t="s">
        <v>1433</v>
      </c>
      <c r="B102" s="2582" t="s">
        <v>1432</v>
      </c>
      <c r="C102" s="2583" t="e">
        <f ca="1">IF(D32="楼面单价",ROUND(C19,0),C19)</f>
        <v>#REF!</v>
      </c>
      <c r="D102" s="2584" t="e">
        <f ca="1">IF(D32="楼面单价",ROUND(D19,0),D19)</f>
        <v>#REF!</v>
      </c>
      <c r="E102" s="3557"/>
      <c r="F102" s="3558"/>
      <c r="G102" s="1827" t="s">
        <v>1434</v>
      </c>
      <c r="H102" s="2553" t="e">
        <f ca="1">I118</f>
        <v>#REF!</v>
      </c>
      <c r="I102" s="129"/>
    </row>
    <row r="103" spans="1:35" ht="42.75" customHeight="1">
      <c r="A103" s="3589"/>
      <c r="B103" s="2582" t="s">
        <v>1434</v>
      </c>
      <c r="C103" s="2585" t="e">
        <f ca="1">C20</f>
        <v>#REF!</v>
      </c>
      <c r="D103" s="2586" t="e">
        <f ca="1">D20</f>
        <v>#REF!</v>
      </c>
      <c r="E103" s="3550" t="s">
        <v>1435</v>
      </c>
      <c r="F103" s="3551"/>
      <c r="G103" s="1828" t="s">
        <v>1436</v>
      </c>
      <c r="H103" s="2593">
        <f>IF(D36="正常操作",H104+H105+H106,H105+H106)</f>
        <v>0</v>
      </c>
      <c r="I103" s="129"/>
    </row>
    <row r="104" spans="1:35" ht="18.75" customHeight="1">
      <c r="A104" s="3589"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599"/>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0" t="str">
        <f>IF(项目基本情况!E8="已注销","——","3.房地产抵押价值")</f>
        <v>3.房地产抵押价值</v>
      </c>
      <c r="F107" s="3558"/>
      <c r="G107" s="1827" t="s">
        <v>1432</v>
      </c>
      <c r="H107" s="2593" t="e">
        <f ca="1">IF(E107="——","——",H101-H103)</f>
        <v>#REF!</v>
      </c>
      <c r="I107" s="129"/>
    </row>
    <row r="108" spans="1:35" ht="18.75" customHeight="1">
      <c r="A108" s="129"/>
      <c r="B108" s="129"/>
      <c r="C108" s="129"/>
      <c r="D108" s="129"/>
      <c r="E108" s="3590"/>
      <c r="F108" s="3558"/>
      <c r="G108" s="1827" t="s">
        <v>1434</v>
      </c>
      <c r="H108" s="2553">
        <f ca="1">IF(H107=H101,H102,ROUND(H107*10000/'数据-汇总表'!E3,0))</f>
        <v>0</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58"/>
      <c r="G109" s="1827" t="s">
        <v>1432</v>
      </c>
      <c r="H109" s="2596" t="str">
        <f>IF(E109="——","——",H101-H105-H106)</f>
        <v>——</v>
      </c>
      <c r="I109" s="129"/>
    </row>
    <row r="110" spans="1:35" ht="18.75" customHeight="1">
      <c r="A110" s="129"/>
      <c r="B110" s="129"/>
      <c r="C110" s="129"/>
      <c r="D110" s="129"/>
      <c r="E110" s="3590"/>
      <c r="F110" s="3558"/>
      <c r="G110" s="1827" t="s">
        <v>1434</v>
      </c>
      <c r="H110" s="2553" t="str">
        <f>IF(H109="——","——",ROUND(H109*10000/'数据-汇总表'!E3,0))</f>
        <v>——</v>
      </c>
      <c r="I110" s="129"/>
    </row>
    <row r="111" spans="1:35" ht="18.75" customHeight="1">
      <c r="A111" s="129"/>
      <c r="B111" s="129"/>
      <c r="C111" s="129"/>
      <c r="D111" s="129"/>
      <c r="E111" s="3591" t="str">
        <f>IF(项目基本情况!E9="抵押净值",IF(OR(项目基本情况!E8="已注销",项目基本情况!E8="房地产抵押价值"),"4.抵押净值","5.抵押净值"),"——")</f>
        <v>——</v>
      </c>
      <c r="F111" s="3577"/>
      <c r="G111" s="1827" t="s">
        <v>1432</v>
      </c>
      <c r="H111" s="2593" t="str">
        <f>IF(E111="——","——",N59)</f>
        <v>——</v>
      </c>
      <c r="I111" s="129"/>
    </row>
    <row r="112" spans="1:35" ht="18.75" customHeight="1" thickBot="1">
      <c r="A112" s="129"/>
      <c r="B112" s="129"/>
      <c r="C112" s="129"/>
      <c r="D112" s="129"/>
      <c r="E112" s="3592"/>
      <c r="F112" s="3593"/>
      <c r="G112" s="1830" t="s">
        <v>1434</v>
      </c>
      <c r="H112" s="2597" t="str">
        <f>IF(E111="——","——",N61)</f>
        <v>——</v>
      </c>
      <c r="I112" s="129"/>
    </row>
    <row r="113" spans="1:27" ht="18.75" customHeight="1">
      <c r="A113" s="129"/>
      <c r="B113" s="129"/>
      <c r="C113" s="129"/>
      <c r="D113" s="129"/>
      <c r="E113" s="3600" t="s">
        <v>1440</v>
      </c>
      <c r="F113" s="3600"/>
      <c r="G113" s="3600"/>
      <c r="H113" s="3600"/>
      <c r="I113" s="129"/>
    </row>
    <row r="114" spans="1:27" ht="3.75" customHeight="1">
      <c r="A114" s="1747"/>
      <c r="B114" s="1747"/>
      <c r="C114" s="1747"/>
      <c r="D114" s="1747"/>
      <c r="E114" s="1809"/>
      <c r="F114" s="1809"/>
      <c r="G114" s="1809"/>
      <c r="H114" s="1809"/>
      <c r="I114" s="1747"/>
    </row>
    <row r="115" spans="1:27" ht="18.75" customHeight="1">
      <c r="A115" s="3608" t="s">
        <v>1442</v>
      </c>
      <c r="B115" s="3609"/>
      <c r="C115" s="3609"/>
      <c r="D115" s="3609"/>
      <c r="E115" s="3609"/>
      <c r="F115" s="3609"/>
      <c r="G115" s="3609"/>
      <c r="H115" s="3609"/>
      <c r="I115" s="3610"/>
    </row>
    <row r="116" spans="1:27" ht="27" customHeight="1">
      <c r="A116" s="3565" t="s">
        <v>1443</v>
      </c>
      <c r="B116" s="3569" t="s">
        <v>1444</v>
      </c>
      <c r="C116" s="3569" t="s">
        <v>1445</v>
      </c>
      <c r="D116" s="3575" t="s">
        <v>1446</v>
      </c>
      <c r="E116" s="3576"/>
      <c r="F116" s="3607" t="s">
        <v>1447</v>
      </c>
      <c r="G116" s="3607"/>
      <c r="H116" s="3565" t="s">
        <v>1448</v>
      </c>
      <c r="I116" s="3565"/>
    </row>
    <row r="117" spans="1:27" ht="18.75" customHeight="1">
      <c r="A117" s="3565"/>
      <c r="B117" s="3570"/>
      <c r="C117" s="3570"/>
      <c r="D117" s="2329" t="s">
        <v>1449</v>
      </c>
      <c r="E117" s="2329" t="s">
        <v>1450</v>
      </c>
      <c r="F117" s="2329" t="s">
        <v>1449</v>
      </c>
      <c r="G117" s="2329" t="s">
        <v>1451</v>
      </c>
      <c r="H117" s="2329" t="s">
        <v>1449</v>
      </c>
      <c r="I117" s="2329" t="s">
        <v>1451</v>
      </c>
    </row>
    <row r="118" spans="1:27" ht="24.75" customHeight="1">
      <c r="A118" s="2598" t="str">
        <f>项目基本情况!S2</f>
        <v>北京市房地产</v>
      </c>
      <c r="B118" s="2329">
        <f>M18</f>
        <v>0</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5" t="s">
        <v>1452</v>
      </c>
      <c r="B119" s="3565"/>
      <c r="C119" s="3565"/>
      <c r="D119" s="3571" t="e">
        <f ca="1">NUMBERSTRING(INT(D118*10000),2)&amp;"元整"</f>
        <v>#REF!</v>
      </c>
      <c r="E119" s="3572"/>
      <c r="F119" s="3571" t="e">
        <f ca="1">NUMBERSTRING(INT(F118*10000),2)&amp;"元整"</f>
        <v>#REF!</v>
      </c>
      <c r="G119" s="3572"/>
      <c r="H119" s="3571" t="e">
        <f ca="1">NUMBERSTRING(INT(H118*10000),2)&amp;"元整"</f>
        <v>#REF!</v>
      </c>
      <c r="I119" s="3572"/>
    </row>
    <row r="120" spans="1:27" ht="18.75" customHeight="1">
      <c r="A120" s="3566" t="str">
        <f>IF(项目基本情况!B9="房地产市场价值","",MID(E103,3,LEN(E103)-2))</f>
        <v>估价师知悉的法定优先受偿款</v>
      </c>
      <c r="B120" s="3567"/>
      <c r="C120" s="3568"/>
      <c r="D120" s="3566">
        <f>H103</f>
        <v>0</v>
      </c>
      <c r="E120" s="3567"/>
      <c r="F120" s="3567"/>
      <c r="G120" s="3567"/>
      <c r="H120" s="3567"/>
      <c r="I120" s="356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1" t="s">
        <v>1452</v>
      </c>
      <c r="B121" s="3573"/>
      <c r="C121" s="3572"/>
      <c r="D121" s="3571" t="str">
        <f>IF(D120=0,"零元整",NUMBERSTRING(INT(D120*10000),2)&amp;"元整")</f>
        <v>零元整</v>
      </c>
      <c r="E121" s="3573"/>
      <c r="F121" s="3573"/>
      <c r="G121" s="3573"/>
      <c r="H121" s="3573"/>
      <c r="I121" s="3572"/>
      <c r="AA121" s="725"/>
    </row>
    <row r="122" spans="1:27" ht="18.75" customHeight="1">
      <c r="A122" s="3577" t="str">
        <f>IF(项目基本情况!B9="房地产市场价值","",MID(E107,3,LEN(E107)-2))</f>
        <v>房地产抵押价值</v>
      </c>
      <c r="B122" s="3577"/>
      <c r="C122" s="3577"/>
      <c r="D122" s="3566" t="e">
        <f ca="1">H107</f>
        <v>#REF!</v>
      </c>
      <c r="E122" s="3567"/>
      <c r="F122" s="3567"/>
      <c r="G122" s="3567"/>
      <c r="H122" s="3567"/>
      <c r="I122" s="3568"/>
      <c r="AA122" s="725"/>
    </row>
    <row r="123" spans="1:27" ht="18.75" customHeight="1">
      <c r="A123" s="3565" t="s">
        <v>1452</v>
      </c>
      <c r="B123" s="3565"/>
      <c r="C123" s="3565"/>
      <c r="D123" s="3571" t="e">
        <f ca="1">NUMBERSTRING(INT(D122*10000),2)&amp;"元整"</f>
        <v>#REF!</v>
      </c>
      <c r="E123" s="3573"/>
      <c r="F123" s="3573"/>
      <c r="G123" s="3573"/>
      <c r="H123" s="3573"/>
      <c r="I123" s="3572"/>
      <c r="AA123" s="725"/>
    </row>
    <row r="124" spans="1:27" ht="18.75" customHeight="1">
      <c r="A124" s="3577" t="str">
        <f>IF(项目基本情况!B9="房地产市场价值","",MID(E109,3,LEN(E109)-2))</f>
        <v/>
      </c>
      <c r="B124" s="3577"/>
      <c r="C124" s="3577"/>
      <c r="D124" s="3566" t="str">
        <f>H109</f>
        <v>——</v>
      </c>
      <c r="E124" s="3567"/>
      <c r="F124" s="3567"/>
      <c r="G124" s="3567"/>
      <c r="H124" s="3567"/>
      <c r="I124" s="3568"/>
      <c r="AA124" s="725"/>
    </row>
    <row r="125" spans="1:27" ht="18.75" customHeight="1">
      <c r="A125" s="3565" t="s">
        <v>1452</v>
      </c>
      <c r="B125" s="3565"/>
      <c r="C125" s="3565"/>
      <c r="D125" s="3571" t="e">
        <f>NUMBERSTRING(INT(D124*10000),2)&amp;"元整"</f>
        <v>#VALUE!</v>
      </c>
      <c r="E125" s="3573"/>
      <c r="F125" s="3573"/>
      <c r="G125" s="3573"/>
      <c r="H125" s="3573"/>
      <c r="I125" s="3572"/>
      <c r="AA125" s="725"/>
    </row>
    <row r="126" spans="1:27" ht="18.75" customHeight="1">
      <c r="A126" s="3577" t="str">
        <f>IF(项目基本情况!B9="房地产市场价值","",MID(E111,3,LEN(E111)-2))</f>
        <v/>
      </c>
      <c r="B126" s="3577"/>
      <c r="C126" s="3577"/>
      <c r="D126" s="3566" t="str">
        <f>H111</f>
        <v>——</v>
      </c>
      <c r="E126" s="3567"/>
      <c r="F126" s="3567"/>
      <c r="G126" s="3567"/>
      <c r="H126" s="3567"/>
      <c r="I126" s="3568"/>
      <c r="AA126" s="725"/>
    </row>
    <row r="127" spans="1:27" ht="18.75" customHeight="1">
      <c r="A127" s="3565" t="s">
        <v>1452</v>
      </c>
      <c r="B127" s="3565"/>
      <c r="C127" s="3565"/>
      <c r="D127" s="3571" t="e">
        <f>NUMBERSTRING(INT(D126*10000),2)&amp;"元整"</f>
        <v>#VALUE!</v>
      </c>
      <c r="E127" s="3573"/>
      <c r="F127" s="3573"/>
      <c r="G127" s="3573"/>
      <c r="H127" s="3573"/>
      <c r="I127" s="3572"/>
      <c r="AA127" s="725"/>
    </row>
    <row r="128" spans="1:27" ht="21.75" customHeight="1">
      <c r="A128" s="3574" t="s">
        <v>1453</v>
      </c>
      <c r="B128" s="3574"/>
      <c r="C128" s="3574"/>
      <c r="D128" s="3574"/>
      <c r="E128" s="3574"/>
      <c r="F128" s="3574"/>
      <c r="G128" s="3574"/>
      <c r="H128" s="3574"/>
      <c r="I128" s="3574"/>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85" zoomScaleNormal="70" zoomScaleSheetLayoutView="85" workbookViewId="0">
      <selection activeCell="I31" sqref="I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t="e">
        <f ca="1">IF(D2="——",C52,C52-E2)</f>
        <v>#VALUE!</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0</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10000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0</v>
      </c>
      <c r="D19" s="849">
        <f ca="1">D9+D10</f>
        <v>10000</v>
      </c>
      <c r="E19" s="211">
        <f>'数据-取费表'!B31</f>
        <v>0</v>
      </c>
      <c r="F19" s="231"/>
      <c r="G19" s="1856"/>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4"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80" t="s">
        <v>1502</v>
      </c>
      <c r="B23" s="215" t="s">
        <v>1503</v>
      </c>
      <c r="C23" s="1105" t="e">
        <f ca="1">ROUND(IF('数据-取费表'!B22&lt;=1,C5*F22*'数据-取费表'!B23,C5*(POWER((1+F22),'数据-取费表'!B23)-1)),0)</f>
        <v>#VALUE!</v>
      </c>
      <c r="D23" s="238"/>
      <c r="E23" s="238"/>
      <c r="F23" s="239"/>
      <c r="G23" s="240" t="s">
        <v>1504</v>
      </c>
    </row>
    <row r="24" spans="1:7" s="214" customFormat="1" ht="13.5" customHeight="1">
      <c r="A24" s="780" t="s">
        <v>1505</v>
      </c>
      <c r="B24" s="215" t="s">
        <v>1506</v>
      </c>
      <c r="C24" s="1105" t="e">
        <f ca="1">ROUND(IF('数据-取费表'!B22&lt;=1,C19*F22*('数据-取费表'!B19/2+'数据-取费表'!B21),C19*(POWER((1+F22),('数据-取费表'!B19/2+'数据-取费表'!B21))-1)),0)</f>
        <v>#VALUE!</v>
      </c>
      <c r="D24" s="238"/>
      <c r="E24" s="238"/>
      <c r="F24" s="239"/>
      <c r="G24" s="240" t="s">
        <v>1507</v>
      </c>
    </row>
    <row r="25" spans="1:7" s="214" customFormat="1" ht="24">
      <c r="A25" s="780" t="s">
        <v>1508</v>
      </c>
      <c r="B25" s="215" t="s">
        <v>1509</v>
      </c>
      <c r="C25" s="1105" t="e">
        <f ca="1">ROUND(IF('数据-取费表'!B22&lt;=1,C20*F22*'数据-取费表'!B23/2,C20*(POWER((1+F22),'数据-取费表'!B23/2)-1)),0)</f>
        <v>#VALUE!</v>
      </c>
      <c r="D25" s="238"/>
      <c r="E25" s="241"/>
      <c r="F25" s="239"/>
      <c r="G25" s="242" t="s">
        <v>1510</v>
      </c>
    </row>
    <row r="26" spans="1:7" s="214" customFormat="1">
      <c r="A26" s="780"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ROUND((C5+C19+C20)*F27*'数据-取费表'!B21/'数据-取费表'!B20,0)</f>
        <v>#DIV/0!</v>
      </c>
      <c r="D28" s="235"/>
      <c r="E28" s="236"/>
      <c r="F28" s="246"/>
      <c r="G28" s="247"/>
    </row>
    <row r="29" spans="1:7" s="214" customFormat="1" ht="13.5" customHeight="1">
      <c r="A29" s="780"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0</v>
      </c>
      <c r="D37" s="217">
        <f ca="1">D19</f>
        <v>10000</v>
      </c>
      <c r="E37" s="249">
        <f>'数据-取费表'!B35</f>
        <v>0</v>
      </c>
      <c r="F37" s="259"/>
      <c r="G37" s="261" t="s">
        <v>1532</v>
      </c>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ROUND(IF('数据-取费表'!B22&lt;=1,C33*F22*'数据-取费表'!B21/2,C33*(POWER((1+F22),'数据-取费表'!B21/2)-1)),0)</f>
        <v>#VALUE!</v>
      </c>
      <c r="D42" s="238"/>
      <c r="E42" s="238"/>
      <c r="F42" s="239"/>
      <c r="G42" s="3644" t="s">
        <v>1544</v>
      </c>
    </row>
    <row r="43" spans="1:7" ht="13.5" customHeight="1">
      <c r="A43" s="780" t="s">
        <v>347</v>
      </c>
      <c r="B43" s="215" t="s">
        <v>1545</v>
      </c>
      <c r="C43" s="238" t="e">
        <f ca="1">ROUND(IF('数据-取费表'!B22&lt;=1,C39*F22*'数据-取费表'!B21/2,C39*(POWER((1+F22),'数据-取费表'!B21/2)-1)),0)</f>
        <v>#VALUE!</v>
      </c>
      <c r="D43" s="238"/>
      <c r="E43" s="238"/>
      <c r="F43" s="239"/>
      <c r="G43" s="3645"/>
    </row>
    <row r="44" spans="1:7" ht="13.5" customHeight="1">
      <c r="A44" s="780" t="s">
        <v>348</v>
      </c>
      <c r="B44" s="215" t="s">
        <v>1546</v>
      </c>
      <c r="C44" s="238" t="e">
        <f ca="1">ROUND(IF('数据-取费表'!B22&lt;=1,C40*F22*'数据-取费表'!B21/2,C40*(POWER((1+F22),'数据-取费表'!B21/2)-1)),4)</f>
        <v>#VALUE!</v>
      </c>
      <c r="D44" s="238"/>
      <c r="E44" s="238"/>
      <c r="F44" s="239"/>
      <c r="G44" s="3646"/>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1327">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I31" sqref="I3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t="e">
        <f ca="1">ROUND(IF(D2="——",C52/10000,C52/10000-E2),4)</f>
        <v>#VALUE!</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0</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10000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0</v>
      </c>
      <c r="D19" s="849">
        <f ca="1">D9+D10</f>
        <v>10000</v>
      </c>
      <c r="E19" s="211">
        <f>'数据-取费表'!B31</f>
        <v>0</v>
      </c>
      <c r="F19" s="231"/>
      <c r="G19" s="1856"/>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7"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80" t="s">
        <v>1472</v>
      </c>
      <c r="B23" s="215" t="s">
        <v>1583</v>
      </c>
      <c r="C23" s="1128" t="e">
        <f ca="1">ROUND(IF('数据-取费表'!B22&lt;=1,C5*F22*'数据-取费表'!B22,C5*(POWER((1+F22),'数据-取费表'!B22)-1)),0)</f>
        <v>#VALUE!</v>
      </c>
      <c r="D23" s="238"/>
      <c r="E23" s="238"/>
      <c r="F23" s="239"/>
      <c r="G23" s="240" t="s">
        <v>1584</v>
      </c>
    </row>
    <row r="24" spans="1:7" s="214" customFormat="1" ht="13.5" customHeight="1">
      <c r="A24" s="780" t="s">
        <v>1474</v>
      </c>
      <c r="B24" s="215" t="s">
        <v>1585</v>
      </c>
      <c r="C24" s="1128" t="e">
        <f ca="1">ROUND(IF('数据-取费表'!B22&lt;=1,C19*F22*('数据-取费表'!B19/2+'数据-取费表'!B20),C19*(POWER((1+F22),('数据-取费表'!B19/2+'数据-取费表'!B20))-1)),0)</f>
        <v>#VALUE!</v>
      </c>
      <c r="D24" s="238"/>
      <c r="E24" s="238"/>
      <c r="F24" s="239"/>
      <c r="G24" s="240" t="s">
        <v>1586</v>
      </c>
    </row>
    <row r="25" spans="1:7" s="214" customFormat="1" ht="24">
      <c r="A25" s="780" t="s">
        <v>1476</v>
      </c>
      <c r="B25" s="215" t="s">
        <v>1587</v>
      </c>
      <c r="C25" s="1128" t="e">
        <f ca="1">ROUND(IF('数据-取费表'!B22&lt;=1,C20*F22*'数据-取费表'!B22/2,C20*(POWER((1+F22),'数据-取费表'!B22/2)-1)),0)</f>
        <v>#VALUE!</v>
      </c>
      <c r="D25" s="238"/>
      <c r="E25" s="241"/>
      <c r="F25" s="239"/>
      <c r="G25" s="242" t="s">
        <v>1588</v>
      </c>
    </row>
    <row r="26" spans="1:7" s="214" customFormat="1">
      <c r="A26" s="780"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ROUND((C5+C19+C20)*F27,0)</f>
        <v>#DIV/0!</v>
      </c>
      <c r="D28" s="235"/>
      <c r="E28" s="236"/>
      <c r="F28" s="246"/>
      <c r="G28" s="247"/>
    </row>
    <row r="29" spans="1:7" s="214" customFormat="1" ht="13.5" customHeight="1">
      <c r="A29" s="780"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0</v>
      </c>
      <c r="D37" s="217">
        <f ca="1">D19</f>
        <v>10000</v>
      </c>
      <c r="E37" s="249">
        <f>'数据-取费表'!B35</f>
        <v>0</v>
      </c>
      <c r="F37" s="259"/>
      <c r="G37" s="261"/>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ROUND(IF('数据-取费表'!B22&lt;=1,C33*F22*'数据-取费表'!B20/2,C33*(POWER((1+F22),'数据-取费表'!B20/2)-1)),0)</f>
        <v>#VALUE!</v>
      </c>
      <c r="D42" s="238"/>
      <c r="E42" s="238"/>
      <c r="F42" s="239"/>
      <c r="G42" s="3644" t="s">
        <v>1591</v>
      </c>
    </row>
    <row r="43" spans="1:7" ht="13.5" customHeight="1">
      <c r="A43" s="780" t="s">
        <v>347</v>
      </c>
      <c r="B43" s="215" t="s">
        <v>1545</v>
      </c>
      <c r="C43" s="238" t="e">
        <f ca="1">ROUND(IF('数据-取费表'!B22&lt;=1,C39*F22*'数据-取费表'!B20/2,C39*(POWER((1+F22),'数据-取费表'!B20/2)-1)),0)</f>
        <v>#VALUE!</v>
      </c>
      <c r="D43" s="238"/>
      <c r="E43" s="238"/>
      <c r="F43" s="239"/>
      <c r="G43" s="3645"/>
    </row>
    <row r="44" spans="1:7" ht="13.5" customHeight="1">
      <c r="A44" s="780" t="s">
        <v>348</v>
      </c>
      <c r="B44" s="215" t="s">
        <v>1546</v>
      </c>
      <c r="C44" s="238" t="e">
        <f ca="1">ROUND(IF('数据-取费表'!B22&lt;=1,C40*F22*'数据-取费表'!B20/2,C40*(POWER((1+F22),'数据-取费表'!B20/2)-1)),4)</f>
        <v>#VALUE!</v>
      </c>
      <c r="D44" s="238"/>
      <c r="E44" s="238"/>
      <c r="F44" s="239"/>
      <c r="G44" s="3646"/>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I31" sqref="I3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t="e">
        <f ca="1">C32</f>
        <v>#VALUE!</v>
      </c>
      <c r="C2" s="276" t="s">
        <v>1595</v>
      </c>
      <c r="D2" s="276"/>
      <c r="E2" s="2804"/>
      <c r="F2" s="2804"/>
      <c r="G2" s="2804"/>
      <c r="H2" s="2804"/>
      <c r="I2" s="2804"/>
      <c r="J2" s="2804"/>
      <c r="K2" s="2804"/>
    </row>
    <row r="3" spans="1:33" ht="18" customHeight="1" thickBot="1">
      <c r="A3" s="203" t="s">
        <v>1464</v>
      </c>
      <c r="B3" s="204" t="e">
        <f ca="1">ROUND(B2*10000/IF(C1="",'数据-汇总表'!E3,INDIRECT("'数据-取费表'!K"&amp;$K$1)),0)</f>
        <v>#VALUE!</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10000</v>
      </c>
      <c r="E14" s="21">
        <f>'数据-取费表'!B35</f>
        <v>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10000</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10000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v>
      </c>
      <c r="G23" s="5" t="s">
        <v>1633</v>
      </c>
      <c r="H23" s="797"/>
      <c r="I23" s="797"/>
      <c r="J23" s="797"/>
      <c r="K23" s="798"/>
    </row>
    <row r="24" spans="1:33" s="803" customFormat="1" ht="13.5" customHeight="1">
      <c r="A24" s="790" t="s">
        <v>1634</v>
      </c>
      <c r="B24" s="813" t="s">
        <v>1635</v>
      </c>
      <c r="C24" s="280">
        <f>ROUND(F24/(1+'数据-取费表'!C42),4)</f>
        <v>0</v>
      </c>
      <c r="D24" s="281" t="s">
        <v>12</v>
      </c>
      <c r="E24" s="281"/>
      <c r="F24" s="816">
        <f>IF(项目基本情况!B8="出让",0,'数据-取费表'!B48+'数据-取费表'!B49)</f>
        <v>0</v>
      </c>
      <c r="G24" s="5" t="s">
        <v>1636</v>
      </c>
      <c r="H24" s="818"/>
      <c r="I24" s="818"/>
      <c r="J24" s="818"/>
      <c r="K24" s="819"/>
    </row>
    <row r="25" spans="1:33" s="803" customFormat="1" ht="13.5" customHeight="1">
      <c r="A25" s="790" t="s">
        <v>1637</v>
      </c>
      <c r="B25" s="815" t="s">
        <v>1638</v>
      </c>
      <c r="C25" s="1106"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t="e">
        <f ca="1">ROUND(IF('数据-取费表'!B22&lt;=1,(1+C24)*F25*'数据-取费表'!B24,(1+C24)*(POWER((1+F25),'数据-取费表'!B24)-1)),4)</f>
        <v>#VALUE!</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t="e">
        <f ca="1">ROUND(IF('数据-取费表'!B22&lt;=1,(C21+C22+C23)*F25*'数据-取费表'!B24/2,(C21+C22+C23)*(POWER((1+F25),'数据-取费表'!B24/2)-1)),0)</f>
        <v>#VALUE!</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358</v>
      </c>
      <c r="B29" s="822" t="s">
        <v>1643</v>
      </c>
      <c r="C29" s="284" t="e">
        <f ca="1">ROUND((1+C24)*F28*'数据-取费表'!B24/'数据-取费表'!B20,4)</f>
        <v>#DIV/0!</v>
      </c>
      <c r="D29" s="284"/>
      <c r="E29" s="285"/>
      <c r="F29" s="290"/>
      <c r="G29" s="131" t="s">
        <v>1644</v>
      </c>
      <c r="H29" s="807"/>
      <c r="I29" s="807"/>
      <c r="J29" s="807"/>
      <c r="K29" s="808"/>
    </row>
    <row r="30" spans="1:33" s="291" customFormat="1" ht="13.5" customHeight="1">
      <c r="A30" s="800" t="s">
        <v>359</v>
      </c>
      <c r="B30" s="822" t="s">
        <v>1645</v>
      </c>
      <c r="C30" s="292" t="e">
        <f ca="1">ROUND((C21+C22+C23)*F28,0)</f>
        <v>#DIV/0!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0</v>
      </c>
      <c r="G31" s="838" t="s">
        <v>1648</v>
      </c>
      <c r="H31" s="839"/>
      <c r="I31" s="839"/>
      <c r="J31" s="839"/>
      <c r="K31" s="840"/>
    </row>
    <row r="32" spans="1:33" s="799" customFormat="1" ht="13.5" customHeight="1" thickBot="1">
      <c r="A32" s="828" t="s">
        <v>1649</v>
      </c>
      <c r="B32" s="829"/>
      <c r="C32" s="830" t="e">
        <f ca="1">ROUND((C4-C21-C22-C23-C25-C28-C31)/(1+C24+D25+D28),0)</f>
        <v>#VALUE!</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I31" sqref="I3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#VALUE!</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9" t="s">
        <v>694</v>
      </c>
      <c r="C6" s="1074">
        <f ca="1">ROUND(F6*F8*F7*(1-F9)/10000,0)</f>
        <v>0</v>
      </c>
      <c r="D6" s="155" t="s">
        <v>2109</v>
      </c>
      <c r="E6" s="302" t="s">
        <v>696</v>
      </c>
      <c r="F6" s="303">
        <f ca="1">INDIRECT("'数据-取费表'!u"&amp;$G$1)</f>
        <v>0</v>
      </c>
      <c r="G6" s="1384"/>
      <c r="H6" s="1069" t="s">
        <v>398</v>
      </c>
      <c r="I6" s="3649" t="s">
        <v>694</v>
      </c>
      <c r="J6" s="301">
        <f ca="1">ROUND(M6*M8*M7*(1-M9)/10000,0)</f>
        <v>0</v>
      </c>
      <c r="K6" s="155" t="s">
        <v>2108</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ROUND(J6*M18/(1+'数据-取费表'!C42),2)</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ROUND(J14*M22,2)</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ROUND(J13*M23,2)</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2308</v>
      </c>
      <c r="I31" s="1398"/>
      <c r="J31" s="1399"/>
      <c r="K31" s="2474"/>
      <c r="L31" s="2696"/>
      <c r="M31" s="2697"/>
    </row>
    <row r="32" spans="1:37" ht="18" customHeight="1">
      <c r="A32" s="982" t="s">
        <v>397</v>
      </c>
      <c r="B32" s="302" t="s">
        <v>723</v>
      </c>
      <c r="C32" s="21">
        <f ca="1">IF(项目基本情况!B11="自然人","——",ROUND(C6*F32/(1+'数据-取费表'!C42),2))</f>
        <v>0</v>
      </c>
      <c r="D32" s="1344" t="s">
        <v>724</v>
      </c>
      <c r="E32" s="302" t="s">
        <v>712</v>
      </c>
      <c r="F32" s="331">
        <f>'数据-取费表'!B41</f>
        <v>0</v>
      </c>
      <c r="G32" s="1384"/>
      <c r="H32" s="2695"/>
      <c r="I32" s="1398"/>
      <c r="J32" s="1399"/>
      <c r="K32" s="2474"/>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3340</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0</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t="e">
        <f ca="1">ROUND(C29*F36,2)</f>
        <v>#VALUE!</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t="e">
        <f ca="1">ROUND(C13*F37,2)</f>
        <v>#VALUE!</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t="e">
        <f ca="1">C5-C30</f>
        <v>#VALUE!</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#VALUE!</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#VALUE!</v>
      </c>
      <c r="D46" s="1406" t="str">
        <f>C2</f>
        <v>万元</v>
      </c>
      <c r="E46" s="1400"/>
      <c r="F46" s="1400"/>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7" t="s">
        <v>837</v>
      </c>
      <c r="L53" s="3648"/>
      <c r="O53" s="1418" t="s">
        <v>409</v>
      </c>
      <c r="P53" s="1419" t="s">
        <v>838</v>
      </c>
      <c r="Q53" s="1420" t="e">
        <f ca="1">Q47+Q48</f>
        <v>#VALUE!</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t="e">
        <f ca="1">C13</f>
        <v>#VALUE!</v>
      </c>
      <c r="D56" s="1447"/>
      <c r="E56" s="1448"/>
      <c r="F56" s="1440"/>
      <c r="I56" s="1449" t="s">
        <v>842</v>
      </c>
      <c r="J56" s="1450"/>
      <c r="K56" s="1421" t="s">
        <v>843</v>
      </c>
      <c r="L56" s="1424">
        <f ca="1">IF(L48&lt;J51,"——",L48-J53)</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845</v>
      </c>
      <c r="L57" s="1424" t="e">
        <f ca="1">IF(L48&lt;J51,"——",IF(L55="比较法",L49,IF(L55="基准地价",L50,L51)))</f>
        <v>#VALUE!</v>
      </c>
      <c r="O57" s="1418" t="s">
        <v>404</v>
      </c>
      <c r="P57" s="1419" t="s">
        <v>846</v>
      </c>
      <c r="Q57" s="1420" t="e">
        <f ca="1">L60</f>
        <v>#VALUE!</v>
      </c>
      <c r="R57" s="1420" t="s">
        <v>847</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ROUND(C68*10000/F71,0)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I31" sqref="I3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t="e">
        <f ca="1">ROUND(D2/10000,4)</f>
        <v>#VALUE!</v>
      </c>
      <c r="C2" s="1387" t="s">
        <v>879</v>
      </c>
      <c r="D2" s="1471" t="e">
        <f ca="1">C40+J29+L46</f>
        <v>#VALUE!</v>
      </c>
      <c r="E2" s="1388" t="s">
        <v>880</v>
      </c>
      <c r="F2" s="1389"/>
      <c r="G2" s="2704"/>
      <c r="H2" s="2693"/>
      <c r="I2" s="2693"/>
      <c r="J2" s="2693"/>
      <c r="K2" s="2694"/>
      <c r="L2" s="2693"/>
      <c r="M2" s="2693"/>
    </row>
    <row r="3" spans="1:37" ht="18" customHeight="1" thickBot="1">
      <c r="A3" s="1390" t="s">
        <v>881</v>
      </c>
      <c r="B3" s="1391">
        <f ca="1">IF(ISERROR(D2/F43),0,ROUND(D2/F43,0))</f>
        <v>0</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9" t="s">
        <v>694</v>
      </c>
      <c r="C6" s="1074">
        <f ca="1">ROUND(F6*F8*F7*(1-F9),0)</f>
        <v>0</v>
      </c>
      <c r="D6" s="155" t="s">
        <v>2106</v>
      </c>
      <c r="E6" s="302" t="s">
        <v>696</v>
      </c>
      <c r="F6" s="303">
        <f ca="1">INDIRECT("'数据-取费表'!u"&amp;$G$1)</f>
        <v>0</v>
      </c>
      <c r="G6" s="1384"/>
      <c r="H6" s="1069" t="s">
        <v>398</v>
      </c>
      <c r="I6" s="3649" t="s">
        <v>694</v>
      </c>
      <c r="J6" s="301">
        <f ca="1">ROUND(M6*M8*M7*(1-M9),0)</f>
        <v>0</v>
      </c>
      <c r="K6" s="1376" t="s">
        <v>2107</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ROUND(J6*M18/(1+'数据-取费表'!C42),0)</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ROUND(J14*M22,0)</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ROUND(J13*M23,0)</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6" t="s">
        <v>2308</v>
      </c>
      <c r="I31" s="1398"/>
      <c r="J31" s="1399"/>
      <c r="K31" s="2474"/>
      <c r="L31" s="2696"/>
      <c r="M31" s="2697"/>
    </row>
    <row r="32" spans="1:37" ht="18" customHeight="1">
      <c r="A32" s="982" t="s">
        <v>397</v>
      </c>
      <c r="B32" s="302" t="s">
        <v>723</v>
      </c>
      <c r="C32" s="21">
        <f ca="1">IF(项目基本情况!B11="自然人","——",ROUND(C6*F32/(1+'数据-取费表'!C42),0))</f>
        <v>0</v>
      </c>
      <c r="D32" s="1344" t="s">
        <v>724</v>
      </c>
      <c r="E32" s="302" t="s">
        <v>712</v>
      </c>
      <c r="F32" s="331">
        <f>'数据-取费表'!B41</f>
        <v>0</v>
      </c>
      <c r="G32" s="1384"/>
      <c r="H32" s="2695"/>
      <c r="I32" s="1398"/>
      <c r="J32" s="1399"/>
      <c r="K32" s="2474"/>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IF(项目基本情况!B11="自然人","——",ROUND(F34*F35,0))</f>
        <v>0</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t="e">
        <f ca="1">ROUND(C29*F36,0)</f>
        <v>#VALUE!</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t="e">
        <f ca="1">ROUND(C13*F37,0)</f>
        <v>#VALUE!</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t="e">
        <f ca="1">C5-C30</f>
        <v>#VALUE!</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ROUND(C40/F43,0)</f>
        <v>#VALUE!</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3356</v>
      </c>
      <c r="B45" s="1400"/>
      <c r="C45" s="1472" t="e">
        <f ca="1">ROUND((C68-C40)/10000,4)</f>
        <v>#VALUE!</v>
      </c>
      <c r="D45" s="3430" t="s">
        <v>3357</v>
      </c>
      <c r="E45" s="1400"/>
      <c r="F45" s="1400"/>
      <c r="O45" s="1403" t="s">
        <v>808</v>
      </c>
      <c r="P45" s="1461"/>
      <c r="Q45" s="1461"/>
      <c r="R45" s="1461"/>
    </row>
    <row r="46" spans="1:18" s="1384" customFormat="1" ht="13.5" thickBot="1">
      <c r="A46" s="1404" t="s">
        <v>809</v>
      </c>
      <c r="C46" s="1405" t="e">
        <f ca="1">ROUND(C45,0)</f>
        <v>#VALUE!</v>
      </c>
      <c r="D46" s="1406" t="str">
        <f>C2</f>
        <v>万元</v>
      </c>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7" t="s">
        <v>837</v>
      </c>
      <c r="L53" s="3648"/>
      <c r="O53" s="1418" t="s">
        <v>409</v>
      </c>
      <c r="P53" s="1419" t="s">
        <v>838</v>
      </c>
      <c r="Q53" s="1420" t="e">
        <f ca="1">Q47+Q48</f>
        <v>#VALUE!</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t="e">
        <f ca="1">C13</f>
        <v>#VALUE!</v>
      </c>
      <c r="D56" s="1447"/>
      <c r="E56" s="1448"/>
      <c r="F56" s="1440"/>
      <c r="I56" s="1449" t="s">
        <v>842</v>
      </c>
      <c r="J56" s="1450"/>
      <c r="K56" s="1421" t="s">
        <v>843</v>
      </c>
      <c r="L56" s="1424">
        <f ca="1">IF(L48&lt;J51,"——",L48-J51)</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892</v>
      </c>
      <c r="L57" s="1424" t="e">
        <f ca="1">IF(L48&lt;J51,"——",IF(L55="比较法",L49,IF(L55="基准地价",L50,L51)))</f>
        <v>#VALUE!</v>
      </c>
      <c r="O57" s="1418" t="s">
        <v>404</v>
      </c>
      <c r="P57" s="1419" t="s">
        <v>893</v>
      </c>
      <c r="Q57" s="1420" t="e">
        <f ca="1">L60</f>
        <v>#VALUE!</v>
      </c>
      <c r="R57" s="1420" t="s">
        <v>894</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ROUND(C57*F64,0)</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ROUND(C56*F65,0)</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I31" sqref="I31"/>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2437</v>
      </c>
      <c r="B1" s="2830"/>
      <c r="C1" s="2842"/>
      <c r="D1" s="2842"/>
      <c r="E1" s="2831"/>
      <c r="F1" s="2832"/>
      <c r="G1" s="2833"/>
      <c r="J1" s="2836" t="s">
        <v>2316</v>
      </c>
      <c r="K1" s="2837"/>
      <c r="L1" s="2837"/>
      <c r="M1" s="2837"/>
      <c r="N1" s="2837"/>
      <c r="O1" s="2837"/>
      <c r="P1" s="2837"/>
      <c r="Q1" s="2837"/>
      <c r="R1" s="2838"/>
      <c r="S1" s="2839"/>
      <c r="T1" s="2839"/>
      <c r="U1" s="2839"/>
    </row>
    <row r="2" spans="1:22" s="2851" customFormat="1" ht="13.15" customHeight="1">
      <c r="A2" s="1385" t="s">
        <v>2317</v>
      </c>
      <c r="B2" s="2841" t="e">
        <f>IF(D2="——",C40,C40+E2)</f>
        <v>#DIV/0!</v>
      </c>
      <c r="C2" s="2842" t="s">
        <v>2318</v>
      </c>
      <c r="D2" s="3441" t="s">
        <v>3363</v>
      </c>
      <c r="E2" s="3442"/>
      <c r="F2" s="2844"/>
      <c r="G2" s="2845"/>
      <c r="H2" s="2846"/>
      <c r="I2" s="2847"/>
      <c r="J2" s="3652" t="s">
        <v>2319</v>
      </c>
      <c r="K2" s="3653"/>
      <c r="L2" s="2848" t="s">
        <v>2320</v>
      </c>
      <c r="M2" s="2848" t="s">
        <v>2321</v>
      </c>
      <c r="N2" s="2848" t="s">
        <v>2322</v>
      </c>
      <c r="O2" s="2848" t="s">
        <v>2323</v>
      </c>
      <c r="P2" s="2848" t="s">
        <v>2324</v>
      </c>
      <c r="Q2" s="2849" t="s">
        <v>2325</v>
      </c>
      <c r="R2" s="2850" t="s">
        <v>2326</v>
      </c>
      <c r="S2" s="2839"/>
      <c r="T2" s="2839"/>
      <c r="U2" s="2839"/>
      <c r="V2" s="2847"/>
    </row>
    <row r="3" spans="1:22" s="2851" customFormat="1" ht="13.15" customHeight="1">
      <c r="A3" s="2852" t="s">
        <v>2327</v>
      </c>
      <c r="B3" s="2853" t="e">
        <f>ROUND(B2*10000/B4,0)</f>
        <v>#DIV/0!</v>
      </c>
      <c r="C3" s="2842" t="s">
        <v>2328</v>
      </c>
      <c r="D3" s="2842"/>
      <c r="E3" s="2843"/>
      <c r="F3" s="2844"/>
      <c r="G3" s="2845"/>
      <c r="H3" s="2846"/>
      <c r="I3" s="2847"/>
      <c r="J3" s="3654" t="s">
        <v>2329</v>
      </c>
      <c r="K3" s="3655"/>
      <c r="L3" s="2854"/>
      <c r="M3" s="2854"/>
      <c r="N3" s="2854"/>
      <c r="O3" s="2854"/>
      <c r="P3" s="2854"/>
      <c r="Q3" s="2855"/>
      <c r="R3" s="2856">
        <f>SUM(L3:Q3)</f>
        <v>0</v>
      </c>
      <c r="S3" s="2839"/>
      <c r="T3" s="2839"/>
      <c r="U3" s="2839"/>
      <c r="V3" s="2847"/>
    </row>
    <row r="4" spans="1:22" s="2851" customFormat="1" ht="13.15" customHeight="1">
      <c r="A4" s="2857" t="s">
        <v>2330</v>
      </c>
      <c r="B4" s="2858"/>
      <c r="C4" s="2842"/>
      <c r="D4" s="2842"/>
      <c r="E4" s="2843"/>
      <c r="F4" s="2844"/>
      <c r="G4" s="2845"/>
      <c r="H4" s="2846"/>
      <c r="I4" s="2847"/>
      <c r="J4" s="3654" t="s">
        <v>2331</v>
      </c>
      <c r="K4" s="3655"/>
      <c r="L4" s="2859"/>
      <c r="M4" s="2859"/>
      <c r="N4" s="2859"/>
      <c r="O4" s="2859"/>
      <c r="P4" s="2859"/>
      <c r="Q4" s="2860"/>
      <c r="R4" s="2861">
        <f>SUM(L4:Q4)</f>
        <v>0</v>
      </c>
      <c r="S4" s="2839"/>
      <c r="T4" s="2839"/>
      <c r="U4" s="2839"/>
      <c r="V4" s="2847"/>
    </row>
    <row r="5" spans="1:22" s="2851" customFormat="1" ht="13.15" customHeight="1" thickBot="1">
      <c r="A5" s="2862" t="s">
        <v>2332</v>
      </c>
      <c r="B5" s="2863"/>
      <c r="C5" s="2842"/>
      <c r="D5" s="2864"/>
      <c r="E5" s="2844"/>
      <c r="F5" s="2844"/>
      <c r="G5" s="2845"/>
      <c r="H5" s="2846"/>
      <c r="I5" s="2847"/>
      <c r="J5" s="2865" t="s">
        <v>2333</v>
      </c>
      <c r="K5" s="2866"/>
      <c r="L5" s="2866"/>
      <c r="M5" s="2867"/>
      <c r="N5" s="2867"/>
      <c r="O5" s="2867"/>
      <c r="P5" s="2867"/>
      <c r="Q5" s="2867"/>
      <c r="R5" s="2850">
        <f>SUM(R14,R19,R24,R25,R27,R28)</f>
        <v>0</v>
      </c>
      <c r="S5" s="2839"/>
      <c r="T5" s="2839" t="s">
        <v>2334</v>
      </c>
      <c r="U5" s="2839" t="e">
        <f>ROUND(R5*10000/365/R3,1)</f>
        <v>#DIV/0!</v>
      </c>
      <c r="V5" s="2847"/>
    </row>
    <row r="6" spans="1:22" s="2851" customFormat="1" ht="13.15" customHeight="1" thickBot="1">
      <c r="A6" s="3656" t="s">
        <v>2335</v>
      </c>
      <c r="B6" s="3657"/>
      <c r="C6" s="3658"/>
      <c r="D6" s="2868"/>
      <c r="E6" s="2869"/>
      <c r="F6" s="2870"/>
      <c r="G6" s="2871"/>
      <c r="H6" s="2846"/>
      <c r="I6" s="2847"/>
      <c r="J6" s="3659">
        <v>1</v>
      </c>
      <c r="K6" s="3660" t="s">
        <v>2336</v>
      </c>
      <c r="L6" s="2872" t="s">
        <v>2337</v>
      </c>
      <c r="M6" s="2873" t="s">
        <v>2338</v>
      </c>
      <c r="N6" s="2873" t="s">
        <v>2339</v>
      </c>
      <c r="O6" s="2873" t="s">
        <v>2340</v>
      </c>
      <c r="P6" s="2873" t="s">
        <v>2341</v>
      </c>
      <c r="Q6" s="2873" t="s">
        <v>2342</v>
      </c>
      <c r="R6" s="2856" t="s">
        <v>2343</v>
      </c>
      <c r="S6" s="2839"/>
      <c r="T6" s="2839" t="s">
        <v>2344</v>
      </c>
      <c r="U6" s="2839"/>
      <c r="V6" s="2847"/>
    </row>
    <row r="7" spans="1:22" s="2851" customFormat="1" ht="13.15" customHeight="1">
      <c r="A7" s="2874" t="s">
        <v>2345</v>
      </c>
      <c r="B7" s="2875"/>
      <c r="C7" s="2876"/>
      <c r="D7" s="2877">
        <f>SUM(D9,D10,D11,D17,0)</f>
        <v>0</v>
      </c>
      <c r="E7" s="2878" t="e">
        <f>E9+E10+E11+E17</f>
        <v>#DIV/0!</v>
      </c>
      <c r="F7" s="2879"/>
      <c r="G7" s="2880"/>
      <c r="H7" s="2846"/>
      <c r="I7" s="2847"/>
      <c r="J7" s="3659"/>
      <c r="K7" s="3661"/>
      <c r="L7" s="2881" t="s">
        <v>2346</v>
      </c>
      <c r="M7" s="2882"/>
      <c r="N7" s="2858"/>
      <c r="O7" s="2883"/>
      <c r="P7" s="2883"/>
      <c r="Q7" s="2884">
        <v>365</v>
      </c>
      <c r="R7" s="2885">
        <f>ROUND(M7*N7*O7*P7*Q7/10000,0)</f>
        <v>0</v>
      </c>
      <c r="S7" s="2839"/>
      <c r="T7" s="2839" t="s">
        <v>2347</v>
      </c>
      <c r="U7" s="2839"/>
      <c r="V7" s="2847"/>
    </row>
    <row r="8" spans="1:22" s="2851" customFormat="1" ht="13.15" customHeight="1">
      <c r="A8" s="2886" t="s">
        <v>2348</v>
      </c>
      <c r="B8" s="3663" t="s">
        <v>2349</v>
      </c>
      <c r="C8" s="3664"/>
      <c r="D8" s="2887" t="s">
        <v>2350</v>
      </c>
      <c r="E8" s="2888" t="s">
        <v>2351</v>
      </c>
      <c r="F8" s="2889" t="s">
        <v>2352</v>
      </c>
      <c r="G8" s="2890"/>
      <c r="H8" s="2846"/>
      <c r="I8" s="2847"/>
      <c r="J8" s="3659"/>
      <c r="K8" s="3661"/>
      <c r="L8" s="2881" t="s">
        <v>2353</v>
      </c>
      <c r="M8" s="2882"/>
      <c r="N8" s="2858"/>
      <c r="O8" s="2883"/>
      <c r="P8" s="2883"/>
      <c r="Q8" s="2884">
        <v>365</v>
      </c>
      <c r="R8" s="2885">
        <f t="shared" ref="R8:R13" si="0">ROUND(M8*N8*O8*P8*Q8/10000,0)</f>
        <v>0</v>
      </c>
      <c r="S8" s="2839"/>
      <c r="T8" s="2839" t="s">
        <v>2354</v>
      </c>
      <c r="U8" s="2839"/>
      <c r="V8" s="2847"/>
    </row>
    <row r="9" spans="1:22" s="2851" customFormat="1" ht="13.15" customHeight="1">
      <c r="A9" s="2886">
        <v>1</v>
      </c>
      <c r="B9" s="3663" t="s">
        <v>2355</v>
      </c>
      <c r="C9" s="3664"/>
      <c r="D9" s="2887">
        <f>ROUND(D6*E9,0)</f>
        <v>0</v>
      </c>
      <c r="E9" s="2891"/>
      <c r="F9" s="2892" t="s">
        <v>2356</v>
      </c>
      <c r="G9" s="2871"/>
      <c r="H9" s="2846"/>
      <c r="I9" s="2847"/>
      <c r="J9" s="3659"/>
      <c r="K9" s="3661"/>
      <c r="L9" s="2881" t="s">
        <v>2357</v>
      </c>
      <c r="M9" s="2882"/>
      <c r="N9" s="2858"/>
      <c r="O9" s="2883"/>
      <c r="P9" s="2883"/>
      <c r="Q9" s="2884">
        <v>365</v>
      </c>
      <c r="R9" s="2885">
        <f t="shared" si="0"/>
        <v>0</v>
      </c>
      <c r="S9" s="2839"/>
      <c r="T9" s="2839"/>
      <c r="U9" s="2839"/>
      <c r="V9" s="2847"/>
    </row>
    <row r="10" spans="1:22" s="2851" customFormat="1" ht="13.15" customHeight="1">
      <c r="A10" s="2886">
        <v>2</v>
      </c>
      <c r="B10" s="3663" t="s">
        <v>2358</v>
      </c>
      <c r="C10" s="3664"/>
      <c r="D10" s="2887">
        <f>ROUND(D6*E10,0)</f>
        <v>0</v>
      </c>
      <c r="E10" s="2891"/>
      <c r="F10" s="2892" t="s">
        <v>2359</v>
      </c>
      <c r="G10" s="2871"/>
      <c r="H10" s="2846"/>
      <c r="I10" s="2847"/>
      <c r="J10" s="3659"/>
      <c r="K10" s="3661"/>
      <c r="L10" s="2881" t="s">
        <v>2360</v>
      </c>
      <c r="M10" s="2882"/>
      <c r="N10" s="2858"/>
      <c r="O10" s="2883"/>
      <c r="P10" s="2883"/>
      <c r="Q10" s="2884">
        <v>365</v>
      </c>
      <c r="R10" s="2885">
        <f t="shared" si="0"/>
        <v>0</v>
      </c>
      <c r="S10" s="2839"/>
      <c r="T10" s="2839"/>
      <c r="U10" s="2839"/>
      <c r="V10" s="2847"/>
    </row>
    <row r="11" spans="1:22" s="2851" customFormat="1" ht="13.15" customHeight="1">
      <c r="A11" s="2886">
        <v>3</v>
      </c>
      <c r="B11" s="3663" t="s">
        <v>2361</v>
      </c>
      <c r="C11" s="3664"/>
      <c r="D11" s="2887">
        <f>D12+D14+D15+D16</f>
        <v>0</v>
      </c>
      <c r="E11" s="2893" t="e">
        <f>D11/D6</f>
        <v>#DIV/0!</v>
      </c>
      <c r="F11" s="2889"/>
      <c r="G11" s="2890"/>
      <c r="H11" s="2846"/>
      <c r="I11" s="2847"/>
      <c r="J11" s="3659"/>
      <c r="K11" s="3661"/>
      <c r="L11" s="2881" t="s">
        <v>2362</v>
      </c>
      <c r="M11" s="2882"/>
      <c r="N11" s="2858"/>
      <c r="O11" s="2883"/>
      <c r="P11" s="2883"/>
      <c r="Q11" s="2884">
        <v>365</v>
      </c>
      <c r="R11" s="2885">
        <f t="shared" si="0"/>
        <v>0</v>
      </c>
      <c r="S11" s="2839"/>
      <c r="T11" s="2839"/>
      <c r="U11" s="2839"/>
      <c r="V11" s="2847"/>
    </row>
    <row r="12" spans="1:22" s="2851" customFormat="1" ht="13.15" customHeight="1">
      <c r="A12" s="2894" t="s">
        <v>2363</v>
      </c>
      <c r="B12" s="3665" t="s">
        <v>2364</v>
      </c>
      <c r="C12" s="3666"/>
      <c r="D12" s="2895">
        <f>ROUND(D13*1.2%*(1-30%),0)</f>
        <v>0</v>
      </c>
      <c r="E12" s="2896">
        <v>1.2E-2</v>
      </c>
      <c r="F12" s="2889" t="s">
        <v>2365</v>
      </c>
      <c r="G12" s="2890"/>
      <c r="H12" s="2846"/>
      <c r="I12" s="2847"/>
      <c r="J12" s="3659"/>
      <c r="K12" s="3661"/>
      <c r="L12" s="2881" t="s">
        <v>2366</v>
      </c>
      <c r="M12" s="2882"/>
      <c r="N12" s="2858"/>
      <c r="O12" s="2883"/>
      <c r="P12" s="2883"/>
      <c r="Q12" s="2884">
        <v>365</v>
      </c>
      <c r="R12" s="2885">
        <f t="shared" si="0"/>
        <v>0</v>
      </c>
      <c r="S12" s="2839"/>
      <c r="T12" s="2839"/>
      <c r="U12" s="2839"/>
      <c r="V12" s="2847"/>
    </row>
    <row r="13" spans="1:22" s="2851" customFormat="1" ht="13.15" customHeight="1">
      <c r="A13" s="2894"/>
      <c r="B13" s="2897"/>
      <c r="C13" s="2898" t="s">
        <v>2367</v>
      </c>
      <c r="D13" s="2899"/>
      <c r="E13" s="2900"/>
      <c r="F13" s="2889"/>
      <c r="G13" s="2890"/>
      <c r="H13" s="2846"/>
      <c r="I13" s="2847"/>
      <c r="J13" s="3659"/>
      <c r="K13" s="3661"/>
      <c r="L13" s="2881" t="s">
        <v>2368</v>
      </c>
      <c r="M13" s="2882"/>
      <c r="N13" s="2858"/>
      <c r="O13" s="2883"/>
      <c r="P13" s="2883"/>
      <c r="Q13" s="2884">
        <v>365</v>
      </c>
      <c r="R13" s="2885">
        <f t="shared" si="0"/>
        <v>0</v>
      </c>
      <c r="S13" s="2839"/>
      <c r="T13" s="2839"/>
      <c r="U13" s="2839"/>
      <c r="V13" s="2847"/>
    </row>
    <row r="14" spans="1:22" s="2851" customFormat="1" ht="13.15" customHeight="1">
      <c r="A14" s="2894" t="s">
        <v>2369</v>
      </c>
      <c r="B14" s="3665" t="s">
        <v>2370</v>
      </c>
      <c r="C14" s="3666"/>
      <c r="D14" s="2895">
        <f>ROUND(E14*B5/10000,0)</f>
        <v>0</v>
      </c>
      <c r="E14" s="2884"/>
      <c r="F14" s="2889" t="s">
        <v>2371</v>
      </c>
      <c r="G14" s="2890"/>
      <c r="H14" s="2846"/>
      <c r="I14" s="2847"/>
      <c r="J14" s="3659"/>
      <c r="K14" s="3662"/>
      <c r="L14" s="2901" t="s">
        <v>2372</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2373</v>
      </c>
      <c r="B15" s="3665" t="s">
        <v>2374</v>
      </c>
      <c r="C15" s="3666"/>
      <c r="D15" s="2895">
        <f>ROUND(D6*E15,0)</f>
        <v>0</v>
      </c>
      <c r="E15" s="2896">
        <v>5.5E-2</v>
      </c>
      <c r="F15" s="2889" t="s">
        <v>2375</v>
      </c>
      <c r="G15" s="2871"/>
      <c r="H15" s="2846"/>
      <c r="I15" s="2847"/>
      <c r="J15" s="3659">
        <v>2</v>
      </c>
      <c r="K15" s="3660" t="s">
        <v>2376</v>
      </c>
      <c r="L15" s="2881" t="s">
        <v>2377</v>
      </c>
      <c r="M15" s="2882" t="s">
        <v>2378</v>
      </c>
      <c r="N15" s="2882" t="s">
        <v>2379</v>
      </c>
      <c r="O15" s="2883" t="s">
        <v>2380</v>
      </c>
      <c r="P15" s="2883" t="s">
        <v>2342</v>
      </c>
      <c r="Q15" s="2858" t="s">
        <v>2381</v>
      </c>
      <c r="R15" s="2905" t="s">
        <v>2343</v>
      </c>
      <c r="S15" s="2839"/>
      <c r="T15" s="2839"/>
      <c r="U15" s="2839"/>
      <c r="V15" s="2847"/>
    </row>
    <row r="16" spans="1:22" s="2851" customFormat="1" ht="13.15" customHeight="1">
      <c r="A16" s="2894" t="s">
        <v>2382</v>
      </c>
      <c r="B16" s="3665" t="s">
        <v>2383</v>
      </c>
      <c r="C16" s="3666"/>
      <c r="D16" s="2906">
        <f>D6*E16</f>
        <v>0</v>
      </c>
      <c r="E16" s="2907"/>
      <c r="F16" s="2892" t="s">
        <v>2384</v>
      </c>
      <c r="G16" s="2871"/>
      <c r="H16" s="2846"/>
      <c r="I16" s="2847"/>
      <c r="J16" s="3659"/>
      <c r="K16" s="3661"/>
      <c r="L16" s="2881" t="s">
        <v>2385</v>
      </c>
      <c r="M16" s="2882"/>
      <c r="N16" s="2882"/>
      <c r="O16" s="2883"/>
      <c r="P16" s="2884">
        <v>365</v>
      </c>
      <c r="Q16" s="2858"/>
      <c r="R16" s="2905">
        <f>ROUND(M16*N16*O16*P16/10000,0)</f>
        <v>0</v>
      </c>
      <c r="S16" s="2839"/>
      <c r="T16" s="2839"/>
      <c r="U16" s="2839"/>
      <c r="V16" s="2847"/>
    </row>
    <row r="17" spans="1:22" s="2851" customFormat="1" ht="13.15" customHeight="1" thickBot="1">
      <c r="A17" s="2908">
        <v>4</v>
      </c>
      <c r="B17" s="3667" t="s">
        <v>2386</v>
      </c>
      <c r="C17" s="3668"/>
      <c r="D17" s="2909">
        <f>ROUND(D6*E17,0)</f>
        <v>0</v>
      </c>
      <c r="E17" s="2910"/>
      <c r="F17" s="2911" t="s">
        <v>2387</v>
      </c>
      <c r="G17" s="2871"/>
      <c r="H17" s="2846"/>
      <c r="I17" s="2847"/>
      <c r="J17" s="3659"/>
      <c r="K17" s="3661"/>
      <c r="L17" s="2881" t="s">
        <v>2388</v>
      </c>
      <c r="M17" s="2882"/>
      <c r="N17" s="2882"/>
      <c r="O17" s="2883"/>
      <c r="P17" s="2884">
        <v>365</v>
      </c>
      <c r="Q17" s="2858"/>
      <c r="R17" s="2905">
        <f>ROUND(M17*N17*O17*P17/10000,0)</f>
        <v>0</v>
      </c>
      <c r="S17" s="2839"/>
      <c r="T17" s="2839"/>
      <c r="U17" s="2839"/>
      <c r="V17" s="2847"/>
    </row>
    <row r="18" spans="1:22" s="2851" customFormat="1" ht="13.15" customHeight="1" thickBot="1">
      <c r="A18" s="2874" t="s">
        <v>2389</v>
      </c>
      <c r="B18" s="2875"/>
      <c r="C18" s="2875"/>
      <c r="D18" s="2912">
        <f>ROUND(D6*E18,0)</f>
        <v>0</v>
      </c>
      <c r="E18" s="2913"/>
      <c r="F18" s="2914" t="s">
        <v>2390</v>
      </c>
      <c r="G18" s="2871"/>
      <c r="H18" s="2846"/>
      <c r="I18" s="2847"/>
      <c r="J18" s="3659"/>
      <c r="K18" s="3661"/>
      <c r="L18" s="2881" t="s">
        <v>2391</v>
      </c>
      <c r="M18" s="2882"/>
      <c r="N18" s="2882"/>
      <c r="O18" s="2883"/>
      <c r="P18" s="2884">
        <v>365</v>
      </c>
      <c r="Q18" s="2858"/>
      <c r="R18" s="2905">
        <f>ROUND(M18*N18*O18*P18/10000,0)</f>
        <v>0</v>
      </c>
      <c r="S18" s="2839"/>
      <c r="T18" s="2839"/>
      <c r="U18" s="2839"/>
      <c r="V18" s="2847"/>
    </row>
    <row r="19" spans="1:22" s="2851" customFormat="1" ht="13.15" customHeight="1" thickBot="1">
      <c r="A19" s="2915" t="s">
        <v>2392</v>
      </c>
      <c r="B19" s="2869"/>
      <c r="C19" s="2869"/>
      <c r="D19" s="2869"/>
      <c r="E19" s="2869"/>
      <c r="F19" s="2870"/>
      <c r="G19" s="2890"/>
      <c r="H19" s="2846"/>
      <c r="I19" s="2847"/>
      <c r="J19" s="3659"/>
      <c r="K19" s="3662"/>
      <c r="L19" s="2901" t="s">
        <v>2372</v>
      </c>
      <c r="M19" s="2902"/>
      <c r="N19" s="2902">
        <f>SUM(N16:N18)</f>
        <v>0</v>
      </c>
      <c r="O19" s="2903"/>
      <c r="P19" s="2916" t="s">
        <v>2436</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9">
        <v>3</v>
      </c>
      <c r="K20" s="3660" t="s">
        <v>2393</v>
      </c>
      <c r="L20" s="2881" t="s">
        <v>2394</v>
      </c>
      <c r="M20" s="2882" t="s">
        <v>2395</v>
      </c>
      <c r="N20" s="2919" t="s">
        <v>2396</v>
      </c>
      <c r="O20" s="2883" t="s">
        <v>2397</v>
      </c>
      <c r="P20" s="2884" t="s">
        <v>2398</v>
      </c>
      <c r="Q20" s="2858" t="s">
        <v>2399</v>
      </c>
      <c r="R20" s="2905" t="s">
        <v>2400</v>
      </c>
      <c r="S20" s="2920"/>
      <c r="T20" s="2920"/>
      <c r="U20" s="2920"/>
      <c r="V20" s="2847"/>
    </row>
    <row r="21" spans="1:22" s="2851" customFormat="1" ht="13.15" customHeight="1">
      <c r="A21" s="2874"/>
      <c r="B21" s="2875"/>
      <c r="C21" s="2921" t="s">
        <v>2401</v>
      </c>
      <c r="D21" s="2922" t="s">
        <v>2402</v>
      </c>
      <c r="E21" s="2923" t="s">
        <v>2403</v>
      </c>
      <c r="F21" s="2918"/>
      <c r="G21" s="2890"/>
      <c r="H21" s="2846"/>
      <c r="I21" s="2847"/>
      <c r="J21" s="3659"/>
      <c r="K21" s="3661"/>
      <c r="L21" s="2881" t="s">
        <v>2404</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2405</v>
      </c>
      <c r="D22" s="2926" t="s">
        <v>2406</v>
      </c>
      <c r="E22" s="2927" t="s">
        <v>2407</v>
      </c>
      <c r="F22" s="2918"/>
      <c r="G22" s="2928"/>
      <c r="H22" s="2846"/>
      <c r="I22" s="2847"/>
      <c r="J22" s="3659"/>
      <c r="K22" s="3661"/>
      <c r="L22" s="2881" t="s">
        <v>2408</v>
      </c>
      <c r="M22" s="2882"/>
      <c r="N22" s="2882"/>
      <c r="O22" s="2883"/>
      <c r="P22" s="2884">
        <v>365</v>
      </c>
      <c r="Q22" s="2858"/>
      <c r="R22" s="2924">
        <f>ROUND(M22*N22*O22*P22/10000,0)</f>
        <v>0</v>
      </c>
      <c r="S22" s="2920"/>
      <c r="T22" s="2920"/>
      <c r="U22" s="2920"/>
      <c r="V22" s="2847"/>
    </row>
    <row r="23" spans="1:22" s="2851" customFormat="1" ht="13.15" customHeight="1">
      <c r="A23" s="2929">
        <v>1</v>
      </c>
      <c r="B23" s="2930" t="s">
        <v>2409</v>
      </c>
      <c r="C23" s="2931">
        <f>D6</f>
        <v>0</v>
      </c>
      <c r="D23" s="2932">
        <f>C23*(1+D24)</f>
        <v>0</v>
      </c>
      <c r="E23" s="2933">
        <f>D23*(1+E24)</f>
        <v>0</v>
      </c>
      <c r="F23" s="2934"/>
      <c r="G23" s="2935"/>
      <c r="H23" s="2846"/>
      <c r="I23" s="2847"/>
      <c r="J23" s="3659"/>
      <c r="K23" s="3661"/>
      <c r="L23" s="2881" t="s">
        <v>2410</v>
      </c>
      <c r="M23" s="2882"/>
      <c r="N23" s="2882"/>
      <c r="O23" s="2883"/>
      <c r="P23" s="2884">
        <v>365</v>
      </c>
      <c r="Q23" s="2858"/>
      <c r="R23" s="2924">
        <f>ROUND(M23*N23*O23*P23/10000,0)</f>
        <v>0</v>
      </c>
      <c r="S23" s="2839"/>
      <c r="T23" s="2839"/>
      <c r="U23" s="2839"/>
      <c r="V23" s="2847"/>
    </row>
    <row r="24" spans="1:22" s="2851" customFormat="1" ht="13.15" customHeight="1">
      <c r="A24" s="2936"/>
      <c r="B24" s="2937" t="s">
        <v>2411</v>
      </c>
      <c r="C24" s="2938"/>
      <c r="D24" s="2939"/>
      <c r="E24" s="2940"/>
      <c r="F24" s="2941"/>
      <c r="G24" s="2935"/>
      <c r="H24" s="2846"/>
      <c r="I24" s="2847"/>
      <c r="J24" s="3659"/>
      <c r="K24" s="3662"/>
      <c r="L24" s="2901" t="s">
        <v>2372</v>
      </c>
      <c r="M24" s="2902">
        <f>SUM(M21:M23)</f>
        <v>0</v>
      </c>
      <c r="N24" s="2902"/>
      <c r="O24" s="2903"/>
      <c r="P24" s="2916" t="s">
        <v>2436</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2412</v>
      </c>
      <c r="L25" s="2944"/>
      <c r="M25" s="2944"/>
      <c r="N25" s="2944"/>
      <c r="O25" s="2944"/>
      <c r="P25" s="2945"/>
      <c r="Q25" s="2946">
        <v>0</v>
      </c>
      <c r="R25" s="2917">
        <f>ROUND(R14*Q25,0)</f>
        <v>0</v>
      </c>
      <c r="S25" s="2839"/>
      <c r="T25" s="2839"/>
      <c r="U25" s="2839"/>
      <c r="V25" s="2947"/>
    </row>
    <row r="26" spans="1:22" s="2948" customFormat="1" ht="13.15" customHeight="1">
      <c r="A26" s="2929">
        <v>2</v>
      </c>
      <c r="B26" s="2930" t="s">
        <v>2413</v>
      </c>
      <c r="C26" s="2931">
        <f>D7</f>
        <v>0</v>
      </c>
      <c r="D26" s="2932">
        <f>D23*D27</f>
        <v>0</v>
      </c>
      <c r="E26" s="2933">
        <f>E23*E27</f>
        <v>0</v>
      </c>
      <c r="F26" s="2934"/>
      <c r="G26" s="2935"/>
      <c r="H26" s="2846"/>
      <c r="I26" s="2847"/>
      <c r="J26" s="3669">
        <v>5</v>
      </c>
      <c r="K26" s="2949" t="s">
        <v>2414</v>
      </c>
      <c r="L26" s="2950"/>
      <c r="M26" s="2951"/>
      <c r="N26" s="2952" t="s">
        <v>2415</v>
      </c>
      <c r="O26" s="2952" t="s">
        <v>2416</v>
      </c>
      <c r="P26" s="2953" t="s">
        <v>2417</v>
      </c>
      <c r="Q26" s="2953" t="s">
        <v>2418</v>
      </c>
      <c r="R26" s="2856" t="s">
        <v>2343</v>
      </c>
      <c r="S26" s="2954"/>
      <c r="T26" s="2954"/>
      <c r="U26" s="2954"/>
      <c r="V26" s="2947"/>
    </row>
    <row r="27" spans="1:22" s="2851" customFormat="1" ht="13.15" customHeight="1">
      <c r="A27" s="2936"/>
      <c r="B27" s="2937" t="s">
        <v>2419</v>
      </c>
      <c r="C27" s="2955" t="e">
        <f>E7</f>
        <v>#DIV/0!</v>
      </c>
      <c r="D27" s="2939"/>
      <c r="E27" s="2940"/>
      <c r="F27" s="2941"/>
      <c r="G27" s="2935"/>
      <c r="H27" s="2956"/>
      <c r="I27" s="2947"/>
      <c r="J27" s="367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2420</v>
      </c>
      <c r="F28" s="2941"/>
      <c r="G28" s="2928"/>
      <c r="H28" s="2956"/>
      <c r="I28" s="2947"/>
      <c r="J28" s="2962">
        <v>6</v>
      </c>
      <c r="K28" s="2963" t="s">
        <v>2421</v>
      </c>
      <c r="L28" s="2964" t="s">
        <v>2422</v>
      </c>
      <c r="M28" s="2965"/>
      <c r="N28" s="2964" t="s">
        <v>2423</v>
      </c>
      <c r="O28" s="2966"/>
      <c r="P28" s="2964" t="s">
        <v>2424</v>
      </c>
      <c r="Q28" s="2967">
        <v>1.4999999999999999E-2</v>
      </c>
      <c r="R28" s="2968"/>
      <c r="S28" s="2920"/>
      <c r="T28" s="2920"/>
      <c r="U28" s="2920"/>
      <c r="V28" s="2947"/>
    </row>
    <row r="29" spans="1:22" s="2948" customFormat="1" ht="13.15" customHeight="1">
      <c r="A29" s="2929">
        <v>3</v>
      </c>
      <c r="B29" s="2930" t="s">
        <v>2425</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2419</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2426</v>
      </c>
      <c r="K31" s="2837"/>
      <c r="L31" s="2837"/>
      <c r="M31" s="2837"/>
      <c r="N31" s="2837"/>
      <c r="O31" s="2837"/>
      <c r="P31" s="2837"/>
      <c r="Q31" s="2837"/>
      <c r="R31" s="2838"/>
      <c r="S31" s="2920"/>
      <c r="T31" s="2839"/>
      <c r="U31" s="2839"/>
      <c r="V31" s="2947"/>
    </row>
    <row r="32" spans="1:22" s="2948" customFormat="1" ht="13.15" customHeight="1">
      <c r="A32" s="2929">
        <v>4</v>
      </c>
      <c r="B32" s="2930" t="s">
        <v>2427</v>
      </c>
      <c r="C32" s="2931">
        <f>C23-C26-C29</f>
        <v>0</v>
      </c>
      <c r="D32" s="2932">
        <f>D23-D26-D29</f>
        <v>0</v>
      </c>
      <c r="E32" s="2933">
        <f>E23-E26-E29</f>
        <v>0</v>
      </c>
      <c r="F32" s="2934"/>
      <c r="G32" s="2928"/>
      <c r="H32" s="2846"/>
      <c r="I32" s="2847"/>
      <c r="J32" s="3652" t="s">
        <v>2319</v>
      </c>
      <c r="K32" s="3653"/>
      <c r="L32" s="2848" t="s">
        <v>2320</v>
      </c>
      <c r="M32" s="2848" t="s">
        <v>2321</v>
      </c>
      <c r="N32" s="2848" t="s">
        <v>2322</v>
      </c>
      <c r="O32" s="2848" t="s">
        <v>2323</v>
      </c>
      <c r="P32" s="2848" t="s">
        <v>2324</v>
      </c>
      <c r="Q32" s="2849" t="s">
        <v>2325</v>
      </c>
      <c r="R32" s="2971" t="s">
        <v>2326</v>
      </c>
      <c r="S32" s="2920"/>
      <c r="T32" s="2839"/>
      <c r="U32" s="2839"/>
      <c r="V32" s="2947"/>
    </row>
    <row r="33" spans="1:23" s="2851" customFormat="1" ht="13.15" customHeight="1">
      <c r="A33" s="2929"/>
      <c r="B33" s="2930"/>
      <c r="C33" s="2931"/>
      <c r="D33" s="2972"/>
      <c r="E33" s="2973"/>
      <c r="F33" s="2934"/>
      <c r="G33" s="2928"/>
      <c r="H33" s="2956"/>
      <c r="I33" s="2947"/>
      <c r="J33" s="3654" t="s">
        <v>2329</v>
      </c>
      <c r="K33" s="3655"/>
      <c r="L33" s="2854"/>
      <c r="M33" s="2854"/>
      <c r="N33" s="2854"/>
      <c r="O33" s="2854"/>
      <c r="P33" s="2854"/>
      <c r="Q33" s="2855"/>
      <c r="R33" s="2974">
        <f>SUM(L33:Q33)</f>
        <v>0</v>
      </c>
      <c r="S33" s="2920"/>
      <c r="T33" s="2839"/>
      <c r="U33" s="2839"/>
      <c r="V33" s="2847"/>
    </row>
    <row r="34" spans="1:23" s="2851" customFormat="1" ht="13.15" customHeight="1">
      <c r="A34" s="2929">
        <v>5</v>
      </c>
      <c r="B34" s="2930" t="s">
        <v>2428</v>
      </c>
      <c r="C34" s="2975"/>
      <c r="D34" s="2976"/>
      <c r="E34" s="2977"/>
      <c r="F34" s="2934"/>
      <c r="G34" s="2928"/>
      <c r="H34" s="2956"/>
      <c r="I34" s="2947"/>
      <c r="J34" s="3654" t="s">
        <v>2331</v>
      </c>
      <c r="K34" s="365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2429</v>
      </c>
      <c r="C35" s="2979"/>
      <c r="D35" s="2980"/>
      <c r="E35" s="2981"/>
      <c r="F35" s="2934"/>
      <c r="G35" s="2982"/>
      <c r="H35" s="2846"/>
      <c r="I35" s="2947"/>
      <c r="J35" s="2865" t="s">
        <v>2333</v>
      </c>
      <c r="K35" s="2866"/>
      <c r="L35" s="2866"/>
      <c r="M35" s="2867"/>
      <c r="N35" s="2867"/>
      <c r="O35" s="2867"/>
      <c r="P35" s="2867"/>
      <c r="Q35" s="2867"/>
      <c r="R35" s="2983">
        <f>R40+R41+R43</f>
        <v>0</v>
      </c>
      <c r="S35" s="2920"/>
      <c r="T35" s="2839" t="s">
        <v>2334</v>
      </c>
      <c r="U35" s="2839"/>
      <c r="V35" s="2847"/>
    </row>
    <row r="36" spans="1:23" s="2851" customFormat="1" ht="13.15" customHeight="1" thickBot="1">
      <c r="A36" s="2929">
        <v>7</v>
      </c>
      <c r="B36" s="2984" t="s">
        <v>2430</v>
      </c>
      <c r="C36" s="2985"/>
      <c r="D36" s="2986"/>
      <c r="E36" s="2987"/>
      <c r="F36" s="2988">
        <f>C36+D36+E36</f>
        <v>0</v>
      </c>
      <c r="G36" s="2928"/>
      <c r="H36" s="2846"/>
      <c r="I36" s="2847"/>
      <c r="J36" s="3659">
        <v>1</v>
      </c>
      <c r="K36" s="3660" t="s">
        <v>2431</v>
      </c>
      <c r="L36" s="2872"/>
      <c r="M36" s="2873"/>
      <c r="N36" s="2873"/>
      <c r="O36" s="2873"/>
      <c r="P36" s="2873"/>
      <c r="Q36" s="2873"/>
      <c r="R36" s="2856" t="s">
        <v>2343</v>
      </c>
      <c r="S36" s="2920"/>
      <c r="T36" s="2839" t="s">
        <v>2344</v>
      </c>
      <c r="U36" s="2839"/>
      <c r="V36" s="2847"/>
    </row>
    <row r="37" spans="1:23" s="2851" customFormat="1" ht="13.15" customHeight="1">
      <c r="A37" s="2929"/>
      <c r="B37" s="2930"/>
      <c r="C37" s="2930"/>
      <c r="D37" s="2930"/>
      <c r="E37" s="2930"/>
      <c r="F37" s="2934"/>
      <c r="G37" s="2928"/>
      <c r="H37" s="2846"/>
      <c r="I37" s="2847"/>
      <c r="J37" s="3659"/>
      <c r="K37" s="3661"/>
      <c r="L37" s="2881"/>
      <c r="M37" s="2882"/>
      <c r="N37" s="2858"/>
      <c r="O37" s="2883"/>
      <c r="P37" s="2883"/>
      <c r="Q37" s="2884"/>
      <c r="R37" s="2885"/>
      <c r="S37" s="2920"/>
      <c r="T37" s="2839" t="s">
        <v>2347</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9"/>
      <c r="K38" s="3661"/>
      <c r="L38" s="2881"/>
      <c r="M38" s="2882"/>
      <c r="N38" s="2858"/>
      <c r="O38" s="2883"/>
      <c r="P38" s="2883"/>
      <c r="Q38" s="2884"/>
      <c r="R38" s="2885"/>
      <c r="S38" s="2920"/>
      <c r="T38" s="2839" t="s">
        <v>2354</v>
      </c>
      <c r="U38" s="2839"/>
      <c r="V38" s="2847"/>
    </row>
    <row r="39" spans="1:23" s="2851" customFormat="1" ht="13.15" customHeight="1">
      <c r="A39" s="2929">
        <v>9</v>
      </c>
      <c r="B39" s="2930" t="s">
        <v>2432</v>
      </c>
      <c r="C39" s="2895" t="e">
        <f>C38</f>
        <v>#DIV/0!</v>
      </c>
      <c r="D39" s="2930">
        <f>D38/(1+D34)^C36</f>
        <v>0</v>
      </c>
      <c r="E39" s="2930">
        <f>E38/(1+E34)^(C36+D36)</f>
        <v>0</v>
      </c>
      <c r="F39" s="2934"/>
      <c r="G39" s="2989"/>
      <c r="H39" s="2846"/>
      <c r="I39" s="2847"/>
      <c r="J39" s="3659"/>
      <c r="K39" s="3661"/>
      <c r="L39" s="2881"/>
      <c r="M39" s="2882"/>
      <c r="N39" s="2858"/>
      <c r="O39" s="2883"/>
      <c r="P39" s="2883"/>
      <c r="Q39" s="2884"/>
      <c r="R39" s="2885"/>
      <c r="S39" s="2920"/>
      <c r="T39" s="2839"/>
      <c r="U39" s="2839"/>
      <c r="V39" s="2847"/>
    </row>
    <row r="40" spans="1:23" s="2851" customFormat="1" ht="13.15" customHeight="1">
      <c r="A40" s="2990">
        <v>10</v>
      </c>
      <c r="B40" s="2930" t="s">
        <v>2433</v>
      </c>
      <c r="C40" s="2991" t="e">
        <f>C39+D39+E39</f>
        <v>#DIV/0!</v>
      </c>
      <c r="D40" s="2992"/>
      <c r="E40" s="2992"/>
      <c r="F40" s="2993"/>
      <c r="G40" s="2928"/>
      <c r="H40" s="2846"/>
      <c r="I40" s="2847"/>
      <c r="J40" s="3659"/>
      <c r="K40" s="3662"/>
      <c r="L40" s="2901" t="s">
        <v>2372</v>
      </c>
      <c r="M40" s="2902"/>
      <c r="N40" s="2902"/>
      <c r="O40" s="2903"/>
      <c r="P40" s="2903"/>
      <c r="Q40" s="2904"/>
      <c r="R40" s="2850">
        <f>SUM(R37:R39)</f>
        <v>0</v>
      </c>
      <c r="S40" s="2920"/>
      <c r="T40" s="2839"/>
      <c r="U40" s="2839"/>
      <c r="V40" s="2847"/>
    </row>
    <row r="41" spans="1:23" s="2851" customFormat="1" ht="13.15" customHeight="1" thickBot="1">
      <c r="A41" s="2994">
        <v>11</v>
      </c>
      <c r="B41" s="2995" t="s">
        <v>2434</v>
      </c>
      <c r="C41" s="2995" t="e">
        <f>ROUND(C40*10000/B4,0)</f>
        <v>#DIV/0!</v>
      </c>
      <c r="D41" s="2996"/>
      <c r="E41" s="2996"/>
      <c r="F41" s="2997"/>
      <c r="G41" s="2998"/>
      <c r="H41" s="2846"/>
      <c r="I41" s="2847"/>
      <c r="J41" s="2942">
        <v>2</v>
      </c>
      <c r="K41" s="2943" t="s">
        <v>2412</v>
      </c>
      <c r="L41" s="2944"/>
      <c r="M41" s="2944"/>
      <c r="N41" s="2944"/>
      <c r="O41" s="2944"/>
      <c r="P41" s="2945"/>
      <c r="Q41" s="2946"/>
      <c r="R41" s="2917">
        <f>ROUND(R40*Q41,0)</f>
        <v>0</v>
      </c>
      <c r="S41" s="2920"/>
      <c r="T41" s="2839"/>
      <c r="U41" s="2954"/>
      <c r="V41" s="2847"/>
    </row>
    <row r="42" spans="1:23" s="2851" customFormat="1" ht="13.15" customHeight="1">
      <c r="G42" s="2998"/>
      <c r="H42" s="2846"/>
      <c r="I42" s="2847"/>
      <c r="J42" s="3669">
        <v>3</v>
      </c>
      <c r="K42" s="2949" t="s">
        <v>2414</v>
      </c>
      <c r="L42" s="2950"/>
      <c r="M42" s="2951"/>
      <c r="N42" s="2952" t="s">
        <v>2415</v>
      </c>
      <c r="O42" s="2952" t="s">
        <v>2416</v>
      </c>
      <c r="P42" s="2953" t="s">
        <v>2417</v>
      </c>
      <c r="Q42" s="2953" t="s">
        <v>2418</v>
      </c>
      <c r="R42" s="2856" t="s">
        <v>2343</v>
      </c>
      <c r="S42" s="2954"/>
      <c r="T42" s="2954"/>
      <c r="U42" s="2839"/>
      <c r="V42" s="2847"/>
    </row>
    <row r="43" spans="1:23" ht="13.15" customHeight="1">
      <c r="A43" s="2851"/>
      <c r="B43" s="2851"/>
      <c r="C43" s="2851"/>
      <c r="D43" s="2851"/>
      <c r="E43" s="2851"/>
      <c r="F43" s="2851"/>
      <c r="I43" s="2834"/>
      <c r="J43" s="367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2421</v>
      </c>
      <c r="L44" s="3002" t="s">
        <v>2422</v>
      </c>
      <c r="M44" s="2965"/>
      <c r="N44" s="3002" t="s">
        <v>2423</v>
      </c>
      <c r="O44" s="2965"/>
      <c r="P44" s="3002" t="s">
        <v>2424</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5">
        <f>SUM(E6:E13)</f>
        <v>0</v>
      </c>
      <c r="F2" s="2705"/>
      <c r="G2" s="1489"/>
      <c r="H2" s="1489"/>
      <c r="I2" s="1489"/>
      <c r="J2" s="1489"/>
      <c r="K2" s="1489"/>
      <c r="L2" s="1489"/>
      <c r="M2" s="1489"/>
      <c r="N2" s="1489"/>
      <c r="O2" s="1489"/>
      <c r="P2" s="1489"/>
      <c r="Q2" s="1489"/>
      <c r="R2" s="1489"/>
      <c r="S2" s="1489"/>
    </row>
    <row r="3" spans="1:22" ht="15.75">
      <c r="A3" s="1870" t="s">
        <v>686</v>
      </c>
      <c r="B3" s="2599" t="e">
        <f ca="1">ROUND(B2*10000/E2,0)</f>
        <v>#DIV/0!</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71" t="s">
        <v>1654</v>
      </c>
      <c r="C5" s="3672"/>
      <c r="D5" s="2706"/>
      <c r="E5" s="1874" t="s">
        <v>1655</v>
      </c>
      <c r="F5" s="1875" t="s">
        <v>1656</v>
      </c>
      <c r="G5" s="1489"/>
      <c r="H5" s="1489"/>
      <c r="I5" s="1489"/>
      <c r="J5" s="1489"/>
      <c r="K5" s="1489"/>
      <c r="L5" s="1489"/>
      <c r="M5" s="1489"/>
      <c r="N5" s="1489"/>
      <c r="O5" s="1489"/>
      <c r="P5" s="1489"/>
      <c r="Q5" s="1489"/>
      <c r="R5" s="1489"/>
      <c r="S5" s="1489"/>
    </row>
    <row r="6" spans="1:22">
      <c r="A6" s="2602">
        <f>'数据-取费表'!AN6</f>
        <v>0</v>
      </c>
      <c r="B6" s="2600" t="e">
        <f ca="1">IF(F6="是",'数据-取费表'!AO6,0)</f>
        <v>#REF!</v>
      </c>
      <c r="C6" s="1872" t="s">
        <v>1651</v>
      </c>
      <c r="D6" s="2707"/>
      <c r="E6" s="2604">
        <f>IF(OR(A6=0,F6="否"),0,'数据-取费表'!K6+'数据-取费表'!S6)</f>
        <v>0</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tabSelected="1" view="pageBreakPreview" topLeftCell="A21" zoomScale="70" zoomScaleNormal="60" zoomScaleSheetLayoutView="70" workbookViewId="0">
      <selection activeCell="C45" sqref="C45"/>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3380</v>
      </c>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43.9</v>
      </c>
      <c r="C3" s="354" t="s">
        <v>1665</v>
      </c>
      <c r="D3" s="353">
        <f>IF(D1="",'数据-汇总表'!E3,SUMIF('数据-汇总表'!$C19:$C33,D1,'数据-汇总表'!$E19:$E33))</f>
        <v>10000</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92" t="s">
        <v>1667</v>
      </c>
      <c r="D4" s="3693"/>
      <c r="E4" s="3694" t="s">
        <v>1668</v>
      </c>
      <c r="F4" s="3695"/>
      <c r="G4" s="3692" t="s">
        <v>1669</v>
      </c>
      <c r="H4" s="3693"/>
      <c r="I4" s="3692" t="s">
        <v>1670</v>
      </c>
      <c r="J4" s="3693"/>
      <c r="K4" s="1889" t="s">
        <v>1671</v>
      </c>
      <c r="L4" s="2713"/>
      <c r="M4" s="2714"/>
      <c r="N4" s="2714"/>
      <c r="O4" s="2714"/>
      <c r="P4" s="3696" t="s">
        <v>1672</v>
      </c>
      <c r="Q4" s="3697"/>
      <c r="R4" s="3678" t="s">
        <v>1668</v>
      </c>
      <c r="S4" s="3679"/>
      <c r="T4" s="3678" t="s">
        <v>1669</v>
      </c>
      <c r="U4" s="3679"/>
      <c r="V4" s="3704" t="s">
        <v>1670</v>
      </c>
      <c r="W4" s="3704"/>
      <c r="X4" s="1355"/>
      <c r="Y4" s="3678" t="s">
        <v>1672</v>
      </c>
      <c r="Z4" s="3679"/>
      <c r="AA4" s="3673" t="s">
        <v>1668</v>
      </c>
      <c r="AB4" s="3673" t="s">
        <v>1669</v>
      </c>
      <c r="AC4" s="3673" t="s">
        <v>1670</v>
      </c>
    </row>
    <row r="5" spans="1:29" ht="15">
      <c r="A5" s="358"/>
      <c r="B5" s="359"/>
      <c r="C5" s="3684" t="s">
        <v>3445</v>
      </c>
      <c r="D5" s="3685"/>
      <c r="E5" s="3682" t="str">
        <f>'Sheet1 (2)'!$A$17</f>
        <v>新安里小区&lt;观音寺街道&lt;大兴区</v>
      </c>
      <c r="F5" s="3683"/>
      <c r="G5" s="3688" t="str">
        <f>'Sheet1 (2)'!A21</f>
        <v>首座御园一期&lt;观音寺街道&lt;大兴区</v>
      </c>
      <c r="H5" s="3685"/>
      <c r="I5" s="3688" t="str">
        <f>'Sheet1 (2)'!A27</f>
        <v>新居里&lt;观音寺街道&lt;大兴区</v>
      </c>
      <c r="J5" s="3685"/>
      <c r="K5" s="1890"/>
      <c r="L5" s="2713"/>
      <c r="M5" s="2714"/>
      <c r="N5" s="2714"/>
      <c r="O5" s="2714"/>
      <c r="P5" s="3698"/>
      <c r="Q5" s="3699"/>
      <c r="R5" s="3680"/>
      <c r="S5" s="3681"/>
      <c r="T5" s="3680"/>
      <c r="U5" s="3681"/>
      <c r="V5" s="3704"/>
      <c r="W5" s="3704"/>
      <c r="X5" s="1355"/>
      <c r="Y5" s="3680"/>
      <c r="Z5" s="3681"/>
      <c r="AA5" s="3674"/>
      <c r="AB5" s="3674"/>
      <c r="AC5" s="3674"/>
    </row>
    <row r="6" spans="1:29" ht="15.75" thickBot="1">
      <c r="A6" s="360"/>
      <c r="B6" s="361"/>
      <c r="C6" s="3686" t="s">
        <v>1677</v>
      </c>
      <c r="D6" s="3687"/>
      <c r="E6" s="3689" t="s">
        <v>1677</v>
      </c>
      <c r="F6" s="3690"/>
      <c r="G6" s="3686" t="s">
        <v>1677</v>
      </c>
      <c r="H6" s="3687"/>
      <c r="I6" s="3686" t="s">
        <v>1677</v>
      </c>
      <c r="J6" s="3687"/>
      <c r="K6" s="1890" t="s">
        <v>1678</v>
      </c>
      <c r="L6" s="2713"/>
      <c r="M6" s="2714"/>
      <c r="N6" s="2714"/>
      <c r="O6" s="2714"/>
      <c r="P6" s="3700"/>
      <c r="Q6" s="3701"/>
      <c r="R6" s="3680"/>
      <c r="S6" s="3681"/>
      <c r="T6" s="3702"/>
      <c r="U6" s="3703"/>
      <c r="V6" s="3704"/>
      <c r="W6" s="3704"/>
      <c r="X6" s="1355"/>
      <c r="Y6" s="3702"/>
      <c r="Z6" s="3703"/>
      <c r="AA6" s="3675"/>
      <c r="AB6" s="3675"/>
      <c r="AC6" s="3675"/>
    </row>
    <row r="7" spans="1:29" s="108" customFormat="1" ht="15.75" thickBot="1">
      <c r="A7" s="362" t="s">
        <v>1679</v>
      </c>
      <c r="B7" s="363"/>
      <c r="C7" s="364">
        <f>'数据-取费表'!B2</f>
        <v>45253</v>
      </c>
      <c r="D7" s="365">
        <v>100</v>
      </c>
      <c r="E7" s="366">
        <v>45231</v>
      </c>
      <c r="F7" s="367">
        <f>SUMIF(58:58,YEAR(E7)&amp;"-"&amp;MONTH(E7),59:59)</f>
        <v>100</v>
      </c>
      <c r="G7" s="366">
        <f>E7</f>
        <v>45231</v>
      </c>
      <c r="H7" s="365">
        <f>SUMIF(58:58,YEAR(G7)&amp;"-"&amp;MONTH(G7),59:59)</f>
        <v>100</v>
      </c>
      <c r="I7" s="366">
        <f>E7</f>
        <v>45231</v>
      </c>
      <c r="J7" s="365">
        <f>SUMIF(58:58,YEAR(I7)&amp;"-"&amp;MONTH(I7),59:59)</f>
        <v>100</v>
      </c>
      <c r="K7" s="1891"/>
      <c r="L7" s="2715"/>
      <c r="M7" s="2716"/>
      <c r="N7" s="2716"/>
      <c r="O7" s="2716"/>
      <c r="P7" s="3676" t="s">
        <v>1680</v>
      </c>
      <c r="Q7" s="3705"/>
      <c r="R7" s="701" t="s">
        <v>20</v>
      </c>
      <c r="S7" s="702">
        <f t="shared" ref="S7:S15" si="0">F7</f>
        <v>100</v>
      </c>
      <c r="T7" s="701" t="s">
        <v>20</v>
      </c>
      <c r="U7" s="702">
        <f t="shared" ref="U7:U15" si="1">H7</f>
        <v>100</v>
      </c>
      <c r="V7" s="701" t="s">
        <v>20</v>
      </c>
      <c r="W7" s="702">
        <f t="shared" ref="W7:W15" si="2">J7</f>
        <v>100</v>
      </c>
      <c r="X7" s="703"/>
      <c r="Y7" s="3676" t="s">
        <v>1680</v>
      </c>
      <c r="Z7" s="3677"/>
      <c r="AA7" s="704">
        <f>D7/F7</f>
        <v>1</v>
      </c>
      <c r="AB7" s="704">
        <f>D7/H7</f>
        <v>1</v>
      </c>
      <c r="AC7" s="704">
        <f>D7/J7</f>
        <v>1</v>
      </c>
    </row>
    <row r="8" spans="1:29" s="108" customFormat="1" ht="15.75" thickBot="1">
      <c r="A8" s="362" t="s">
        <v>1681</v>
      </c>
      <c r="B8" s="363"/>
      <c r="C8" s="368" t="s">
        <v>3379</v>
      </c>
      <c r="D8" s="365">
        <v>100</v>
      </c>
      <c r="E8" s="1892" t="s">
        <v>3379</v>
      </c>
      <c r="F8" s="367">
        <f>SUMIF(61:61,E8,62:62)-SUMIF(61:61,C8,62:62)+100</f>
        <v>100</v>
      </c>
      <c r="G8" s="368" t="s">
        <v>3379</v>
      </c>
      <c r="H8" s="365">
        <f>SUMIF(61:61,G8,62:62)-SUMIF(61:61,C8,62:62)+100</f>
        <v>100</v>
      </c>
      <c r="I8" s="1892" t="s">
        <v>3379</v>
      </c>
      <c r="J8" s="365">
        <f>SUMIF(61:61,I8,62:62)-SUMIF(61:61,C8,62:62)+100</f>
        <v>100</v>
      </c>
      <c r="K8" s="1891"/>
      <c r="L8" s="2715"/>
      <c r="M8" s="2716"/>
      <c r="N8" s="2716"/>
      <c r="O8" s="2716"/>
      <c r="P8" s="3676" t="s">
        <v>1683</v>
      </c>
      <c r="Q8" s="3677"/>
      <c r="R8" s="701" t="s">
        <v>20</v>
      </c>
      <c r="S8" s="702">
        <f t="shared" si="0"/>
        <v>100</v>
      </c>
      <c r="T8" s="701" t="s">
        <v>20</v>
      </c>
      <c r="U8" s="702">
        <f t="shared" si="1"/>
        <v>100</v>
      </c>
      <c r="V8" s="701" t="s">
        <v>20</v>
      </c>
      <c r="W8" s="702">
        <f t="shared" si="2"/>
        <v>100</v>
      </c>
      <c r="X8" s="703"/>
      <c r="Y8" s="3676" t="s">
        <v>1683</v>
      </c>
      <c r="Z8" s="3677"/>
      <c r="AA8" s="704">
        <f t="shared" ref="AA8:AA19" si="3">D8/F8</f>
        <v>1</v>
      </c>
      <c r="AB8" s="704">
        <f t="shared" ref="AB8:AB19" si="4">D8/H8</f>
        <v>1</v>
      </c>
      <c r="AC8" s="704">
        <f t="shared" ref="AC8:AC19" si="5">D8/J8</f>
        <v>1</v>
      </c>
    </row>
    <row r="9" spans="1:29" s="108" customFormat="1" ht="15" thickBot="1">
      <c r="A9" s="369" t="s">
        <v>1684</v>
      </c>
      <c r="B9" s="63" t="s">
        <v>1685</v>
      </c>
      <c r="C9" s="3448" t="s">
        <v>3381</v>
      </c>
      <c r="D9" s="126">
        <v>100</v>
      </c>
      <c r="E9" s="371" t="s">
        <v>3380</v>
      </c>
      <c r="F9" s="372">
        <f>SUMIF(63:63,E9,64:64)-SUMIF(63:63,C9,64:64)+100</f>
        <v>100</v>
      </c>
      <c r="G9" s="373" t="s">
        <v>3380</v>
      </c>
      <c r="H9" s="126">
        <f>SUMIF(63:63,G9,64:64)-SUMIF(63:63,C9,64:64)+100</f>
        <v>100</v>
      </c>
      <c r="I9" s="373" t="s">
        <v>3380</v>
      </c>
      <c r="J9" s="126">
        <f>SUMIF(63:63,I9,64:64)-SUMIF(63:63,C9,64:64)+100</f>
        <v>100</v>
      </c>
      <c r="K9" s="1891"/>
      <c r="L9" s="2715"/>
      <c r="M9" s="2716"/>
      <c r="N9" s="2716"/>
      <c r="O9" s="2716"/>
      <c r="P9" s="3691"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hidden="1">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91"/>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hidden="1">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19"/>
      <c r="M11" s="2714"/>
      <c r="N11" s="2714"/>
      <c r="O11" s="2714"/>
      <c r="P11" s="3691"/>
      <c r="Q11" s="1343" t="str">
        <f t="shared" si="6"/>
        <v>容积率</v>
      </c>
      <c r="R11" s="701" t="s">
        <v>18</v>
      </c>
      <c r="S11" s="702">
        <f t="shared" si="0"/>
        <v>100</v>
      </c>
      <c r="T11" s="701" t="s">
        <v>18</v>
      </c>
      <c r="U11" s="702">
        <f t="shared" si="1"/>
        <v>100</v>
      </c>
      <c r="V11" s="701" t="s">
        <v>18</v>
      </c>
      <c r="W11" s="702">
        <f t="shared" si="2"/>
        <v>100</v>
      </c>
      <c r="X11" s="703"/>
      <c r="Y11" s="3620"/>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91"/>
      <c r="Q12" s="1343">
        <f t="shared" si="6"/>
        <v>111</v>
      </c>
      <c r="R12" s="701" t="s">
        <v>18</v>
      </c>
      <c r="S12" s="702">
        <f t="shared" si="0"/>
        <v>100</v>
      </c>
      <c r="T12" s="701" t="s">
        <v>18</v>
      </c>
      <c r="U12" s="702">
        <f t="shared" si="1"/>
        <v>100</v>
      </c>
      <c r="V12" s="701" t="s">
        <v>18</v>
      </c>
      <c r="W12" s="702">
        <f t="shared" si="2"/>
        <v>100</v>
      </c>
      <c r="X12" s="703"/>
      <c r="Y12" s="3620"/>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91"/>
      <c r="Q13" s="1343">
        <f t="shared" si="6"/>
        <v>111</v>
      </c>
      <c r="R13" s="701" t="s">
        <v>18</v>
      </c>
      <c r="S13" s="702">
        <f t="shared" si="0"/>
        <v>100</v>
      </c>
      <c r="T13" s="701" t="s">
        <v>18</v>
      </c>
      <c r="U13" s="702">
        <f t="shared" si="1"/>
        <v>100</v>
      </c>
      <c r="V13" s="701" t="s">
        <v>18</v>
      </c>
      <c r="W13" s="702">
        <f t="shared" si="2"/>
        <v>100</v>
      </c>
      <c r="X13" s="703"/>
      <c r="Y13" s="3620"/>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91"/>
      <c r="Q14" s="1343">
        <f t="shared" si="6"/>
        <v>111</v>
      </c>
      <c r="R14" s="701" t="s">
        <v>18</v>
      </c>
      <c r="S14" s="702">
        <f t="shared" si="0"/>
        <v>100</v>
      </c>
      <c r="T14" s="701" t="s">
        <v>18</v>
      </c>
      <c r="U14" s="702">
        <f t="shared" si="1"/>
        <v>100</v>
      </c>
      <c r="V14" s="701" t="s">
        <v>18</v>
      </c>
      <c r="W14" s="702">
        <f t="shared" si="2"/>
        <v>100</v>
      </c>
      <c r="X14" s="703"/>
      <c r="Y14" s="3620"/>
      <c r="Z14" s="52">
        <f t="shared" si="7"/>
        <v>111</v>
      </c>
      <c r="AA14" s="704">
        <f t="shared" si="3"/>
        <v>1</v>
      </c>
      <c r="AB14" s="704">
        <f t="shared" si="4"/>
        <v>1</v>
      </c>
      <c r="AC14" s="704">
        <f t="shared" si="5"/>
        <v>1</v>
      </c>
    </row>
    <row r="15" spans="1:29" ht="69" customHeight="1">
      <c r="A15" s="391" t="s">
        <v>1690</v>
      </c>
      <c r="B15" s="61" t="s">
        <v>1257</v>
      </c>
      <c r="C15" s="1896" t="str">
        <f>估价对象房地状况!C3</f>
        <v>估价对象周边有团河苑小区、首座御园、新居里等社区，综合评价居住社区成熟度较好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18" t="s">
        <v>1691</v>
      </c>
      <c r="Q15" s="1352" t="str">
        <f t="shared" si="6"/>
        <v>居住社区成熟度</v>
      </c>
      <c r="R15" s="705" t="s">
        <v>18</v>
      </c>
      <c r="S15" s="706">
        <f t="shared" si="0"/>
        <v>100</v>
      </c>
      <c r="T15" s="705" t="s">
        <v>18</v>
      </c>
      <c r="U15" s="706">
        <f t="shared" si="1"/>
        <v>100</v>
      </c>
      <c r="V15" s="705" t="s">
        <v>18</v>
      </c>
      <c r="W15" s="706">
        <f t="shared" si="2"/>
        <v>100</v>
      </c>
      <c r="X15" s="1355"/>
      <c r="Y15" s="3711" t="s">
        <v>1691</v>
      </c>
      <c r="Z15" s="1356" t="str">
        <f t="shared" si="7"/>
        <v>居住社区成熟度</v>
      </c>
      <c r="AA15" s="1353">
        <f t="shared" si="3"/>
        <v>1</v>
      </c>
      <c r="AB15" s="1353">
        <f t="shared" si="4"/>
        <v>1</v>
      </c>
      <c r="AC15" s="1353">
        <f t="shared" si="5"/>
        <v>1</v>
      </c>
    </row>
    <row r="16" spans="1:29" ht="15">
      <c r="A16" s="379"/>
      <c r="B16" s="397"/>
      <c r="C16" s="398" t="s">
        <v>3382</v>
      </c>
      <c r="D16" s="399"/>
      <c r="E16" s="1897" t="s">
        <v>3382</v>
      </c>
      <c r="F16" s="399"/>
      <c r="G16" s="1898" t="s">
        <v>3382</v>
      </c>
      <c r="H16" s="401"/>
      <c r="I16" s="1898" t="s">
        <v>3382</v>
      </c>
      <c r="J16" s="399"/>
      <c r="K16" s="1899"/>
      <c r="L16" s="2720"/>
      <c r="M16" s="2714"/>
      <c r="N16" s="2714"/>
      <c r="O16" s="2714"/>
      <c r="P16" s="3719"/>
      <c r="Q16" s="1352"/>
      <c r="R16" s="705"/>
      <c r="S16" s="706"/>
      <c r="T16" s="705"/>
      <c r="U16" s="706"/>
      <c r="V16" s="705"/>
      <c r="W16" s="706"/>
      <c r="X16" s="1355"/>
      <c r="Y16" s="3712"/>
      <c r="Z16" s="1356"/>
      <c r="AA16" s="1353">
        <v>1</v>
      </c>
      <c r="AB16" s="1353">
        <v>1</v>
      </c>
      <c r="AC16" s="1353">
        <v>1</v>
      </c>
    </row>
    <row r="17" spans="1:29" ht="128.25">
      <c r="A17" s="379"/>
      <c r="B17" s="402" t="s">
        <v>1259</v>
      </c>
      <c r="C17" s="1900" t="str">
        <f>估价对象房地状况!C6</f>
        <v>估价对象周边有兴33路、X101路、X103路、946路、957路等多条公共线路，距地铁大兴机场线（大兴新城站）约500米，地面可停车，综合评价交通便捷度一般</v>
      </c>
      <c r="D17" s="401">
        <v>100</v>
      </c>
      <c r="E17" s="405"/>
      <c r="F17" s="401">
        <f>SUMIF(78:78,E18,79:79)-SUMIF(78:78,C18,79:79)+100</f>
        <v>100</v>
      </c>
      <c r="G17" s="403"/>
      <c r="H17" s="406">
        <f>SUMIF(78:78,G18,79:79)-SUMIF(78:78,C18,79:79)+100</f>
        <v>100</v>
      </c>
      <c r="I17" s="403"/>
      <c r="J17" s="406">
        <f>SUMIF(78:78,I18,79:79)-SUMIF(78:78,C18,79:79)+100</f>
        <v>100</v>
      </c>
      <c r="K17" s="396">
        <v>5</v>
      </c>
      <c r="L17" s="2720"/>
      <c r="M17" s="2714"/>
      <c r="N17" s="2714"/>
      <c r="O17" s="2714"/>
      <c r="P17" s="3719"/>
      <c r="Q17" s="1352" t="str">
        <f>B17</f>
        <v>交通便捷度</v>
      </c>
      <c r="R17" s="705" t="s">
        <v>18</v>
      </c>
      <c r="S17" s="706">
        <f>F17</f>
        <v>100</v>
      </c>
      <c r="T17" s="705" t="s">
        <v>18</v>
      </c>
      <c r="U17" s="706">
        <f>H17</f>
        <v>100</v>
      </c>
      <c r="V17" s="705" t="s">
        <v>18</v>
      </c>
      <c r="W17" s="706">
        <f>J17</f>
        <v>100</v>
      </c>
      <c r="X17" s="1355"/>
      <c r="Y17" s="3712"/>
      <c r="Z17" s="1356" t="str">
        <f>Q17</f>
        <v>交通便捷度</v>
      </c>
      <c r="AA17" s="1353">
        <f t="shared" si="3"/>
        <v>1</v>
      </c>
      <c r="AB17" s="1353">
        <f t="shared" si="4"/>
        <v>1</v>
      </c>
      <c r="AC17" s="1353">
        <f t="shared" si="5"/>
        <v>1</v>
      </c>
    </row>
    <row r="18" spans="1:29" ht="15">
      <c r="A18" s="379"/>
      <c r="B18" s="407"/>
      <c r="C18" s="1901" t="s">
        <v>3419</v>
      </c>
      <c r="D18" s="401"/>
      <c r="E18" s="1902" t="s">
        <v>3419</v>
      </c>
      <c r="F18" s="401"/>
      <c r="G18" s="1903" t="s">
        <v>3419</v>
      </c>
      <c r="H18" s="399"/>
      <c r="I18" s="1903" t="s">
        <v>3419</v>
      </c>
      <c r="J18" s="399"/>
      <c r="K18" s="1899"/>
      <c r="L18" s="2720"/>
      <c r="M18" s="2714"/>
      <c r="N18" s="2714"/>
      <c r="O18" s="2714"/>
      <c r="P18" s="3719"/>
      <c r="Q18" s="1352"/>
      <c r="R18" s="705"/>
      <c r="S18" s="706"/>
      <c r="T18" s="705"/>
      <c r="U18" s="706"/>
      <c r="V18" s="705"/>
      <c r="W18" s="706"/>
      <c r="X18" s="1355"/>
      <c r="Y18" s="3712"/>
      <c r="Z18" s="1356"/>
      <c r="AA18" s="1353">
        <v>1</v>
      </c>
      <c r="AB18" s="1353">
        <v>1</v>
      </c>
      <c r="AC18" s="1353">
        <v>1</v>
      </c>
    </row>
    <row r="19" spans="1:29" ht="28.5">
      <c r="A19" s="379"/>
      <c r="B19" s="402" t="s">
        <v>1258</v>
      </c>
      <c r="C19" s="1900" t="str">
        <f>估价对象房地状况!C7</f>
        <v>估价对象所在区域公共配套设施齐备</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19"/>
      <c r="Q19" s="1352" t="str">
        <f>B19</f>
        <v>公共配套设施</v>
      </c>
      <c r="R19" s="705" t="s">
        <v>18</v>
      </c>
      <c r="S19" s="706">
        <f>F19</f>
        <v>100</v>
      </c>
      <c r="T19" s="705" t="s">
        <v>18</v>
      </c>
      <c r="U19" s="706">
        <f>H19</f>
        <v>100</v>
      </c>
      <c r="V19" s="705" t="s">
        <v>18</v>
      </c>
      <c r="W19" s="706">
        <f>J19</f>
        <v>100</v>
      </c>
      <c r="X19" s="1355"/>
      <c r="Y19" s="3712"/>
      <c r="Z19" s="1356" t="str">
        <f>Q19</f>
        <v>公共配套设施</v>
      </c>
      <c r="AA19" s="1353">
        <f t="shared" si="3"/>
        <v>1</v>
      </c>
      <c r="AB19" s="1353">
        <f t="shared" si="4"/>
        <v>1</v>
      </c>
      <c r="AC19" s="1353">
        <f t="shared" si="5"/>
        <v>1</v>
      </c>
    </row>
    <row r="20" spans="1:29" ht="15">
      <c r="A20" s="379"/>
      <c r="B20" s="407"/>
      <c r="C20" s="398" t="s">
        <v>3385</v>
      </c>
      <c r="D20" s="399"/>
      <c r="E20" s="1897" t="s">
        <v>3385</v>
      </c>
      <c r="F20" s="399"/>
      <c r="G20" s="1898" t="s">
        <v>3385</v>
      </c>
      <c r="H20" s="399"/>
      <c r="I20" s="1898" t="s">
        <v>3385</v>
      </c>
      <c r="J20" s="399"/>
      <c r="K20" s="1899"/>
      <c r="L20" s="2720"/>
      <c r="M20" s="2714"/>
      <c r="N20" s="2714"/>
      <c r="O20" s="2714"/>
      <c r="P20" s="3719"/>
      <c r="Q20" s="1352"/>
      <c r="R20" s="705"/>
      <c r="S20" s="706"/>
      <c r="T20" s="705"/>
      <c r="U20" s="706"/>
      <c r="V20" s="705"/>
      <c r="W20" s="706"/>
      <c r="X20" s="1355"/>
      <c r="Y20" s="3712"/>
      <c r="Z20" s="1356"/>
      <c r="AA20" s="1353">
        <v>1</v>
      </c>
      <c r="AB20" s="1353">
        <v>1</v>
      </c>
      <c r="AC20" s="1353">
        <v>1</v>
      </c>
    </row>
    <row r="21" spans="1:29" ht="42.75">
      <c r="A21" s="379"/>
      <c r="B21" s="1131" t="s">
        <v>1260</v>
      </c>
      <c r="C21" s="1900" t="str">
        <f>估价对象房地状况!C8</f>
        <v>估价对象所在区域基础设施水平达七通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t="s">
        <v>3386</v>
      </c>
      <c r="D22" s="399"/>
      <c r="E22" s="398" t="s">
        <v>3386</v>
      </c>
      <c r="F22" s="399"/>
      <c r="G22" s="1904" t="s">
        <v>3386</v>
      </c>
      <c r="H22" s="399"/>
      <c r="I22" s="398" t="s">
        <v>3386</v>
      </c>
      <c r="J22" s="399"/>
      <c r="K22" s="1905"/>
      <c r="L22" s="2720"/>
      <c r="M22" s="2714"/>
      <c r="N22" s="2714"/>
      <c r="O22" s="2714"/>
      <c r="P22" s="3719"/>
      <c r="Q22" s="1352"/>
      <c r="R22" s="705"/>
      <c r="S22" s="706"/>
      <c r="T22" s="705"/>
      <c r="U22" s="706"/>
      <c r="V22" s="705"/>
      <c r="W22" s="706"/>
      <c r="X22" s="1355"/>
      <c r="Y22" s="3712"/>
      <c r="Z22" s="1356"/>
      <c r="AA22" s="1353">
        <v>1</v>
      </c>
      <c r="AB22" s="1353">
        <v>1</v>
      </c>
      <c r="AC22" s="1353">
        <v>1</v>
      </c>
    </row>
    <row r="23" spans="1:29" ht="71.25">
      <c r="A23" s="379"/>
      <c r="B23" s="402" t="s">
        <v>1261</v>
      </c>
      <c r="C23" s="1900" t="str">
        <f>估价对象房地状况!C9</f>
        <v>区域自然环境：凤河、新凤河；人文环境：团河行宫遗址公园等；综合评价环境状况一般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19"/>
      <c r="Q23" s="1352" t="str">
        <f>B23</f>
        <v>自然及人文环境</v>
      </c>
      <c r="R23" s="705" t="s">
        <v>18</v>
      </c>
      <c r="S23" s="706">
        <f>F23</f>
        <v>100</v>
      </c>
      <c r="T23" s="705" t="s">
        <v>18</v>
      </c>
      <c r="U23" s="706">
        <f>H23</f>
        <v>100</v>
      </c>
      <c r="V23" s="705" t="s">
        <v>18</v>
      </c>
      <c r="W23" s="706">
        <f>J23</f>
        <v>100</v>
      </c>
      <c r="X23" s="1355"/>
      <c r="Y23" s="3712"/>
      <c r="Z23" s="1356" t="str">
        <f>Q23</f>
        <v>自然及人文环境</v>
      </c>
      <c r="AA23" s="1353">
        <f>D23/F23</f>
        <v>1</v>
      </c>
      <c r="AB23" s="1353">
        <f>D23/H23</f>
        <v>1</v>
      </c>
      <c r="AC23" s="1353">
        <f>D23/J23</f>
        <v>1</v>
      </c>
    </row>
    <row r="24" spans="1:29" ht="15">
      <c r="A24" s="379"/>
      <c r="B24" s="407"/>
      <c r="C24" s="398" t="s">
        <v>3419</v>
      </c>
      <c r="D24" s="399"/>
      <c r="E24" s="1897" t="s">
        <v>3419</v>
      </c>
      <c r="F24" s="399"/>
      <c r="G24" s="1898" t="s">
        <v>3419</v>
      </c>
      <c r="H24" s="399"/>
      <c r="I24" s="1898" t="s">
        <v>3419</v>
      </c>
      <c r="J24" s="399"/>
      <c r="K24" s="1899"/>
      <c r="L24" s="2720"/>
      <c r="M24" s="2714"/>
      <c r="N24" s="2714"/>
      <c r="O24" s="2714"/>
      <c r="P24" s="3719"/>
      <c r="Q24" s="1352"/>
      <c r="R24" s="705"/>
      <c r="S24" s="706"/>
      <c r="T24" s="705"/>
      <c r="U24" s="706"/>
      <c r="V24" s="705"/>
      <c r="W24" s="706"/>
      <c r="X24" s="1355"/>
      <c r="Y24" s="371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1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19"/>
      <c r="Q26" s="1352" t="str">
        <f t="shared" si="11"/>
        <v>朝向</v>
      </c>
      <c r="R26" s="705" t="s">
        <v>18</v>
      </c>
      <c r="S26" s="706">
        <f t="shared" si="12"/>
        <v>100</v>
      </c>
      <c r="T26" s="705" t="s">
        <v>18</v>
      </c>
      <c r="U26" s="706">
        <f t="shared" si="13"/>
        <v>100</v>
      </c>
      <c r="V26" s="705" t="s">
        <v>18</v>
      </c>
      <c r="W26" s="706">
        <f t="shared" si="14"/>
        <v>100</v>
      </c>
      <c r="X26" s="1355"/>
      <c r="Y26" s="371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19"/>
      <c r="Q27" s="1343">
        <f t="shared" si="11"/>
        <v>111</v>
      </c>
      <c r="R27" s="701" t="s">
        <v>18</v>
      </c>
      <c r="S27" s="702">
        <f t="shared" si="12"/>
        <v>100</v>
      </c>
      <c r="T27" s="701" t="s">
        <v>18</v>
      </c>
      <c r="U27" s="702">
        <f t="shared" si="13"/>
        <v>100</v>
      </c>
      <c r="V27" s="701" t="s">
        <v>18</v>
      </c>
      <c r="W27" s="702">
        <f t="shared" si="14"/>
        <v>100</v>
      </c>
      <c r="X27" s="703"/>
      <c r="Y27" s="371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19"/>
      <c r="Q28" s="1352">
        <f t="shared" si="11"/>
        <v>111</v>
      </c>
      <c r="R28" s="705" t="s">
        <v>18</v>
      </c>
      <c r="S28" s="706">
        <f t="shared" si="12"/>
        <v>100</v>
      </c>
      <c r="T28" s="705" t="s">
        <v>18</v>
      </c>
      <c r="U28" s="706">
        <f t="shared" si="13"/>
        <v>100</v>
      </c>
      <c r="V28" s="705" t="s">
        <v>18</v>
      </c>
      <c r="W28" s="706">
        <f t="shared" si="14"/>
        <v>100</v>
      </c>
      <c r="X28" s="1355"/>
      <c r="Y28" s="371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19"/>
      <c r="Q29" s="1352">
        <f t="shared" si="11"/>
        <v>111</v>
      </c>
      <c r="R29" s="705" t="s">
        <v>18</v>
      </c>
      <c r="S29" s="706">
        <f t="shared" si="12"/>
        <v>100</v>
      </c>
      <c r="T29" s="705" t="s">
        <v>18</v>
      </c>
      <c r="U29" s="706">
        <f t="shared" si="13"/>
        <v>100</v>
      </c>
      <c r="V29" s="705" t="s">
        <v>18</v>
      </c>
      <c r="W29" s="706">
        <f t="shared" si="14"/>
        <v>100</v>
      </c>
      <c r="X29" s="1355"/>
      <c r="Y29" s="371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19"/>
      <c r="Q30" s="1352">
        <f t="shared" si="11"/>
        <v>111</v>
      </c>
      <c r="R30" s="705" t="s">
        <v>18</v>
      </c>
      <c r="S30" s="706">
        <f t="shared" si="12"/>
        <v>100</v>
      </c>
      <c r="T30" s="705" t="s">
        <v>18</v>
      </c>
      <c r="U30" s="706">
        <f t="shared" si="13"/>
        <v>100</v>
      </c>
      <c r="V30" s="705" t="s">
        <v>18</v>
      </c>
      <c r="W30" s="706">
        <f t="shared" si="14"/>
        <v>100</v>
      </c>
      <c r="X30" s="1355"/>
      <c r="Y30" s="371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19"/>
      <c r="Q31" s="1352">
        <f t="shared" si="11"/>
        <v>111</v>
      </c>
      <c r="R31" s="705" t="s">
        <v>18</v>
      </c>
      <c r="S31" s="706">
        <f t="shared" si="12"/>
        <v>100</v>
      </c>
      <c r="T31" s="705" t="s">
        <v>18</v>
      </c>
      <c r="U31" s="706">
        <f t="shared" si="13"/>
        <v>100</v>
      </c>
      <c r="V31" s="705" t="s">
        <v>18</v>
      </c>
      <c r="W31" s="706">
        <f t="shared" si="14"/>
        <v>100</v>
      </c>
      <c r="X31" s="1355"/>
      <c r="Y31" s="3712"/>
      <c r="Z31" s="1356">
        <f t="shared" si="18"/>
        <v>111</v>
      </c>
      <c r="AA31" s="1353">
        <f t="shared" si="15"/>
        <v>1</v>
      </c>
      <c r="AB31" s="1353">
        <f t="shared" si="16"/>
        <v>1</v>
      </c>
      <c r="AC31" s="1353">
        <f t="shared" si="17"/>
        <v>1</v>
      </c>
    </row>
    <row r="32" spans="1:29" ht="15">
      <c r="A32" s="391" t="s">
        <v>1694</v>
      </c>
      <c r="B32" s="63" t="s">
        <v>1695</v>
      </c>
      <c r="C32" s="1910" t="s">
        <v>3401</v>
      </c>
      <c r="D32" s="418">
        <v>100</v>
      </c>
      <c r="E32" s="1911" t="s">
        <v>3401</v>
      </c>
      <c r="F32" s="412">
        <f>SUMIF(100:100,E32,101:101)-SUMIF(100:100,C32,101:101)+100</f>
        <v>100</v>
      </c>
      <c r="G32" s="1910" t="s">
        <v>3404</v>
      </c>
      <c r="H32" s="418">
        <f>SUMIF(100:100,G32,101:101)-SUMIF(100:100,C32,101:101)+100</f>
        <v>99</v>
      </c>
      <c r="I32" s="1911" t="s">
        <v>3401</v>
      </c>
      <c r="J32" s="386">
        <f>SUMIF(100:100,I32,101:101)-SUMIF(100:100,C32,101:101)+100</f>
        <v>100</v>
      </c>
      <c r="K32" s="377">
        <v>1</v>
      </c>
      <c r="L32" s="2720"/>
      <c r="M32" s="2714"/>
      <c r="N32" s="2714"/>
      <c r="O32" s="2714"/>
      <c r="P32" s="3713" t="s">
        <v>1696</v>
      </c>
      <c r="Q32" s="1352" t="str">
        <f t="shared" si="11"/>
        <v>建筑类型</v>
      </c>
      <c r="R32" s="705" t="s">
        <v>18</v>
      </c>
      <c r="S32" s="706">
        <f t="shared" si="12"/>
        <v>100</v>
      </c>
      <c r="T32" s="705" t="s">
        <v>18</v>
      </c>
      <c r="U32" s="706">
        <f t="shared" si="13"/>
        <v>99</v>
      </c>
      <c r="V32" s="705" t="s">
        <v>18</v>
      </c>
      <c r="W32" s="706">
        <f t="shared" si="14"/>
        <v>100</v>
      </c>
      <c r="X32" s="1355"/>
      <c r="Y32" s="3716" t="s">
        <v>1696</v>
      </c>
      <c r="Z32" s="1356" t="str">
        <f t="shared" si="18"/>
        <v>建筑类型</v>
      </c>
      <c r="AA32" s="1353">
        <f t="shared" si="15"/>
        <v>1</v>
      </c>
      <c r="AB32" s="1353">
        <f t="shared" si="16"/>
        <v>1.0101010101010102</v>
      </c>
      <c r="AC32" s="1353">
        <f t="shared" si="17"/>
        <v>1</v>
      </c>
    </row>
    <row r="33" spans="1:29" s="422" customFormat="1" ht="15" hidden="1">
      <c r="A33" s="419"/>
      <c r="B33" s="375" t="s">
        <v>1697</v>
      </c>
      <c r="C33" s="420">
        <v>60</v>
      </c>
      <c r="D33" s="127">
        <v>100</v>
      </c>
      <c r="E33" s="381">
        <v>60</v>
      </c>
      <c r="F33" s="376">
        <f>LOOKUP(E33,103:103,104:104)-LOOKUP(C33,103:103,104:104)+100</f>
        <v>100</v>
      </c>
      <c r="G33" s="380">
        <v>60</v>
      </c>
      <c r="H33" s="127">
        <f>LOOKUP(G33,103:103,104:104)-LOOKUP(C33,103:103,104:104)+100</f>
        <v>100</v>
      </c>
      <c r="I33" s="381">
        <v>60</v>
      </c>
      <c r="J33" s="127">
        <f>LOOKUP(I33,103:103,104:104)-LOOKUP(C33,103:103,104:104)+100</f>
        <v>100</v>
      </c>
      <c r="K33" s="1894"/>
      <c r="L33" s="2719"/>
      <c r="M33" s="2721"/>
      <c r="N33" s="2721"/>
      <c r="O33" s="2721"/>
      <c r="P33" s="3714"/>
      <c r="Q33" s="707" t="str">
        <f t="shared" si="11"/>
        <v>项目建筑规模</v>
      </c>
      <c r="R33" s="708" t="s">
        <v>18</v>
      </c>
      <c r="S33" s="709">
        <f t="shared" si="12"/>
        <v>100</v>
      </c>
      <c r="T33" s="708" t="s">
        <v>18</v>
      </c>
      <c r="U33" s="709">
        <f t="shared" si="13"/>
        <v>100</v>
      </c>
      <c r="V33" s="708" t="s">
        <v>18</v>
      </c>
      <c r="W33" s="709">
        <f t="shared" si="14"/>
        <v>100</v>
      </c>
      <c r="X33" s="710"/>
      <c r="Y33" s="3716"/>
      <c r="Z33" s="711" t="str">
        <f t="shared" si="18"/>
        <v>项目建筑规模</v>
      </c>
      <c r="AA33" s="1353">
        <f t="shared" si="15"/>
        <v>1</v>
      </c>
      <c r="AB33" s="1353">
        <f t="shared" si="16"/>
        <v>1</v>
      </c>
      <c r="AC33" s="1353">
        <f t="shared" si="17"/>
        <v>1</v>
      </c>
    </row>
    <row r="34" spans="1:29" ht="15">
      <c r="A34" s="423"/>
      <c r="B34" s="375" t="s">
        <v>1698</v>
      </c>
      <c r="C34" s="1912" t="s">
        <v>3387</v>
      </c>
      <c r="D34" s="386">
        <v>100</v>
      </c>
      <c r="E34" s="1913" t="s">
        <v>3387</v>
      </c>
      <c r="F34" s="412">
        <f>SUMIF(105:105,E34,106:106)-SUMIF(105:105,C34,106:106)+100</f>
        <v>100</v>
      </c>
      <c r="G34" s="1912" t="s">
        <v>3406</v>
      </c>
      <c r="H34" s="386">
        <f>SUMIF(105:105,G34,106:106)-SUMIF(105:105,C34,106:106)+100</f>
        <v>104</v>
      </c>
      <c r="I34" s="1913" t="s">
        <v>3387</v>
      </c>
      <c r="J34" s="386">
        <f>SUMIF(105:105,I34,106:106)-SUMIF(105:105,C34,106:106)+100</f>
        <v>100</v>
      </c>
      <c r="K34" s="377">
        <v>4</v>
      </c>
      <c r="L34" s="2720"/>
      <c r="M34" s="2714"/>
      <c r="N34" s="2714"/>
      <c r="O34" s="2714"/>
      <c r="P34" s="3714"/>
      <c r="Q34" s="1352" t="str">
        <f t="shared" si="11"/>
        <v>建筑结构</v>
      </c>
      <c r="R34" s="705" t="s">
        <v>18</v>
      </c>
      <c r="S34" s="706">
        <f t="shared" si="12"/>
        <v>100</v>
      </c>
      <c r="T34" s="705" t="s">
        <v>18</v>
      </c>
      <c r="U34" s="706">
        <f t="shared" si="13"/>
        <v>104</v>
      </c>
      <c r="V34" s="705" t="s">
        <v>18</v>
      </c>
      <c r="W34" s="706">
        <f t="shared" si="14"/>
        <v>100</v>
      </c>
      <c r="X34" s="1355"/>
      <c r="Y34" s="3716"/>
      <c r="Z34" s="1356" t="str">
        <f t="shared" si="18"/>
        <v>建筑结构</v>
      </c>
      <c r="AA34" s="1353">
        <f t="shared" si="15"/>
        <v>1</v>
      </c>
      <c r="AB34" s="1353">
        <f t="shared" si="16"/>
        <v>0.96153846153846156</v>
      </c>
      <c r="AC34" s="1353">
        <f t="shared" si="17"/>
        <v>1</v>
      </c>
    </row>
    <row r="35" spans="1:29" ht="15" hidden="1">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14"/>
      <c r="Q35" s="1352" t="str">
        <f t="shared" si="11"/>
        <v>建筑品质</v>
      </c>
      <c r="R35" s="705" t="s">
        <v>18</v>
      </c>
      <c r="S35" s="706">
        <f t="shared" si="12"/>
        <v>100</v>
      </c>
      <c r="T35" s="705" t="s">
        <v>18</v>
      </c>
      <c r="U35" s="706">
        <f t="shared" si="13"/>
        <v>100</v>
      </c>
      <c r="V35" s="705" t="s">
        <v>18</v>
      </c>
      <c r="W35" s="706">
        <f t="shared" si="14"/>
        <v>100</v>
      </c>
      <c r="X35" s="1355"/>
      <c r="Y35" s="3716"/>
      <c r="Z35" s="1356" t="str">
        <f t="shared" si="18"/>
        <v>建筑品质</v>
      </c>
      <c r="AA35" s="1353">
        <f t="shared" si="15"/>
        <v>1</v>
      </c>
      <c r="AB35" s="1353">
        <f t="shared" si="16"/>
        <v>1</v>
      </c>
      <c r="AC35" s="1353">
        <f t="shared" si="17"/>
        <v>1</v>
      </c>
    </row>
    <row r="36" spans="1:29" ht="15">
      <c r="A36" s="423"/>
      <c r="B36" s="375" t="s">
        <v>1700</v>
      </c>
      <c r="C36" s="1906" t="s">
        <v>3389</v>
      </c>
      <c r="D36" s="386">
        <v>100</v>
      </c>
      <c r="E36" s="1907" t="s">
        <v>3389</v>
      </c>
      <c r="F36" s="412">
        <f>SUMIF(109:109,E36,110:110)-SUMIF(109:109,C36,110:110)+100</f>
        <v>100</v>
      </c>
      <c r="G36" s="1906" t="s">
        <v>3389</v>
      </c>
      <c r="H36" s="386">
        <f>SUMIF(109:109,G36,110:110)-SUMIF(109:109,C36,110:110)+100</f>
        <v>100</v>
      </c>
      <c r="I36" s="1907" t="s">
        <v>3389</v>
      </c>
      <c r="J36" s="386">
        <f>SUMIF(109:109,I36,110:110)-SUMIF(109:109,C36,110:110)+100</f>
        <v>100</v>
      </c>
      <c r="K36" s="377"/>
      <c r="L36" s="2720"/>
      <c r="M36" s="2714"/>
      <c r="N36" s="2714"/>
      <c r="O36" s="2714"/>
      <c r="P36" s="3714"/>
      <c r="Q36" s="1352" t="str">
        <f t="shared" si="11"/>
        <v>公共部分装修</v>
      </c>
      <c r="R36" s="705" t="s">
        <v>18</v>
      </c>
      <c r="S36" s="706">
        <f t="shared" si="12"/>
        <v>100</v>
      </c>
      <c r="T36" s="705" t="s">
        <v>18</v>
      </c>
      <c r="U36" s="706">
        <f t="shared" si="13"/>
        <v>100</v>
      </c>
      <c r="V36" s="705" t="s">
        <v>18</v>
      </c>
      <c r="W36" s="706">
        <f t="shared" si="14"/>
        <v>100</v>
      </c>
      <c r="X36" s="1355"/>
      <c r="Y36" s="3716"/>
      <c r="Z36" s="1356" t="str">
        <f t="shared" si="18"/>
        <v>公共部分装修</v>
      </c>
      <c r="AA36" s="1353">
        <f t="shared" si="15"/>
        <v>1</v>
      </c>
      <c r="AB36" s="1353">
        <f t="shared" si="16"/>
        <v>1</v>
      </c>
      <c r="AC36" s="1353">
        <f t="shared" si="17"/>
        <v>1</v>
      </c>
    </row>
    <row r="37" spans="1:29" s="108" customFormat="1" ht="15">
      <c r="A37" s="424"/>
      <c r="B37" s="375" t="s">
        <v>1701</v>
      </c>
      <c r="C37" s="425">
        <v>0.8</v>
      </c>
      <c r="D37" s="127">
        <v>100</v>
      </c>
      <c r="E37" s="425">
        <v>0.7</v>
      </c>
      <c r="F37" s="376">
        <f>LOOKUP(E37,112:112,113:113)-LOOKUP(C37,112:112,113:113)+100</f>
        <v>99</v>
      </c>
      <c r="G37" s="427">
        <v>0.7</v>
      </c>
      <c r="H37" s="127">
        <f>LOOKUP(G37,112:112,113:113)-LOOKUP(C37,112:112,113:113)+100</f>
        <v>99</v>
      </c>
      <c r="I37" s="426">
        <v>0.7</v>
      </c>
      <c r="J37" s="127">
        <f>LOOKUP(I37,112:112,113:113)-LOOKUP(C37,112:112,113:113)+100</f>
        <v>99</v>
      </c>
      <c r="K37" s="377">
        <v>1</v>
      </c>
      <c r="L37" s="2715"/>
      <c r="M37" s="2716"/>
      <c r="N37" s="2716"/>
      <c r="O37" s="2716"/>
      <c r="P37" s="3714"/>
      <c r="Q37" s="1343" t="str">
        <f t="shared" si="11"/>
        <v>成新度</v>
      </c>
      <c r="R37" s="701" t="s">
        <v>18</v>
      </c>
      <c r="S37" s="702">
        <f t="shared" si="12"/>
        <v>99</v>
      </c>
      <c r="T37" s="701" t="s">
        <v>18</v>
      </c>
      <c r="U37" s="702">
        <f t="shared" si="13"/>
        <v>99</v>
      </c>
      <c r="V37" s="701" t="s">
        <v>18</v>
      </c>
      <c r="W37" s="702">
        <f t="shared" si="14"/>
        <v>99</v>
      </c>
      <c r="X37" s="703"/>
      <c r="Y37" s="3716"/>
      <c r="Z37" s="52" t="str">
        <f t="shared" si="18"/>
        <v>成新度</v>
      </c>
      <c r="AA37" s="704">
        <f t="shared" si="15"/>
        <v>1.0101010101010102</v>
      </c>
      <c r="AB37" s="704">
        <f t="shared" si="16"/>
        <v>1.0101010101010102</v>
      </c>
      <c r="AC37" s="704">
        <f t="shared" si="17"/>
        <v>1.0101010101010102</v>
      </c>
    </row>
    <row r="38" spans="1:29" ht="15">
      <c r="A38" s="423"/>
      <c r="B38" s="375" t="s">
        <v>1702</v>
      </c>
      <c r="C38" s="1906" t="s">
        <v>3393</v>
      </c>
      <c r="D38" s="386">
        <v>100</v>
      </c>
      <c r="E38" s="1907" t="s">
        <v>3391</v>
      </c>
      <c r="F38" s="412">
        <f>SUMIF(114:114,E38,115:115)-SUMIF(114:114,C38,115:115)+100</f>
        <v>100</v>
      </c>
      <c r="G38" s="1906" t="s">
        <v>3391</v>
      </c>
      <c r="H38" s="386">
        <f>SUMIF(114:114,G38,115:115)-SUMIF(114:114,C38,115:115)+100</f>
        <v>100</v>
      </c>
      <c r="I38" s="1907" t="s">
        <v>3391</v>
      </c>
      <c r="J38" s="386">
        <f>SUMIF(114:114,I38,115:115)-SUMIF(114:114,C38,115:115)+100</f>
        <v>100</v>
      </c>
      <c r="K38" s="377"/>
      <c r="L38" s="2720"/>
      <c r="M38" s="2714"/>
      <c r="N38" s="2714"/>
      <c r="O38" s="2714"/>
      <c r="P38" s="3714" t="s">
        <v>1696</v>
      </c>
      <c r="Q38" s="1352" t="str">
        <f t="shared" si="11"/>
        <v>物业管理</v>
      </c>
      <c r="R38" s="705" t="s">
        <v>18</v>
      </c>
      <c r="S38" s="706">
        <f t="shared" si="12"/>
        <v>100</v>
      </c>
      <c r="T38" s="705" t="s">
        <v>18</v>
      </c>
      <c r="U38" s="706">
        <f t="shared" si="13"/>
        <v>100</v>
      </c>
      <c r="V38" s="705" t="s">
        <v>18</v>
      </c>
      <c r="W38" s="706">
        <f t="shared" si="14"/>
        <v>100</v>
      </c>
      <c r="X38" s="1355"/>
      <c r="Y38" s="3716" t="s">
        <v>1696</v>
      </c>
      <c r="Z38" s="1356" t="str">
        <f t="shared" si="18"/>
        <v>物业管理</v>
      </c>
      <c r="AA38" s="1353">
        <f t="shared" si="15"/>
        <v>1</v>
      </c>
      <c r="AB38" s="1353">
        <f t="shared" si="16"/>
        <v>1</v>
      </c>
      <c r="AC38" s="1353">
        <f t="shared" si="17"/>
        <v>1</v>
      </c>
    </row>
    <row r="39" spans="1:29" ht="15">
      <c r="A39" s="423"/>
      <c r="B39" s="375" t="s">
        <v>1703</v>
      </c>
      <c r="C39" s="1906" t="s">
        <v>3386</v>
      </c>
      <c r="D39" s="386">
        <v>100</v>
      </c>
      <c r="E39" s="1907" t="s">
        <v>3386</v>
      </c>
      <c r="F39" s="412">
        <f>SUMIF(116:116,E39,117:117)-SUMIF(116:116,C39,117:117)+100</f>
        <v>100</v>
      </c>
      <c r="G39" s="1906" t="s">
        <v>3386</v>
      </c>
      <c r="H39" s="386">
        <f>SUMIF(116:116,G39,117:117)-SUMIF(116:116,C39,117:117)+100</f>
        <v>100</v>
      </c>
      <c r="I39" s="1907" t="s">
        <v>3386</v>
      </c>
      <c r="J39" s="386">
        <f>SUMIF(116:116,I39,117:117)-SUMIF(116:116,C39,117:117)+100</f>
        <v>100</v>
      </c>
      <c r="K39" s="377"/>
      <c r="L39" s="2720"/>
      <c r="M39" s="2714"/>
      <c r="N39" s="2714"/>
      <c r="O39" s="2714"/>
      <c r="P39" s="3714"/>
      <c r="Q39" s="1352" t="str">
        <f t="shared" si="11"/>
        <v>市政基础设施</v>
      </c>
      <c r="R39" s="705" t="s">
        <v>18</v>
      </c>
      <c r="S39" s="706">
        <f t="shared" si="12"/>
        <v>100</v>
      </c>
      <c r="T39" s="705" t="s">
        <v>18</v>
      </c>
      <c r="U39" s="706">
        <f t="shared" si="13"/>
        <v>100</v>
      </c>
      <c r="V39" s="705" t="s">
        <v>18</v>
      </c>
      <c r="W39" s="706">
        <f t="shared" si="14"/>
        <v>100</v>
      </c>
      <c r="X39" s="1355"/>
      <c r="Y39" s="3716"/>
      <c r="Z39" s="1356" t="str">
        <f t="shared" si="18"/>
        <v>市政基础设施</v>
      </c>
      <c r="AA39" s="1353">
        <f t="shared" si="15"/>
        <v>1</v>
      </c>
      <c r="AB39" s="1353">
        <f t="shared" si="16"/>
        <v>1</v>
      </c>
      <c r="AC39" s="1353">
        <f t="shared" si="17"/>
        <v>1</v>
      </c>
    </row>
    <row r="40" spans="1:29" ht="15">
      <c r="A40" s="423"/>
      <c r="B40" s="375" t="s">
        <v>1704</v>
      </c>
      <c r="C40" s="1906" t="s">
        <v>3398</v>
      </c>
      <c r="D40" s="386">
        <v>100</v>
      </c>
      <c r="E40" s="1907" t="s">
        <v>3398</v>
      </c>
      <c r="F40" s="412">
        <f>SUMIF(118:118,E40,119:119)-SUMIF(118:118,C40,119:119)+100</f>
        <v>100</v>
      </c>
      <c r="G40" s="1906" t="s">
        <v>3398</v>
      </c>
      <c r="H40" s="386">
        <f>SUMIF(118:118,G40,119:119)-SUMIF(118:118,C40,119:119)+100</f>
        <v>100</v>
      </c>
      <c r="I40" s="1907" t="s">
        <v>3398</v>
      </c>
      <c r="J40" s="386">
        <f>SUMIF(118:118,I40,119:119)-SUMIF(118:118,C40,119:119)+100</f>
        <v>100</v>
      </c>
      <c r="K40" s="377"/>
      <c r="L40" s="2720"/>
      <c r="M40" s="2714"/>
      <c r="N40" s="2714"/>
      <c r="O40" s="2714"/>
      <c r="P40" s="3714"/>
      <c r="Q40" s="1352" t="str">
        <f t="shared" si="11"/>
        <v>房型</v>
      </c>
      <c r="R40" s="705" t="s">
        <v>18</v>
      </c>
      <c r="S40" s="706">
        <f t="shared" si="12"/>
        <v>100</v>
      </c>
      <c r="T40" s="705" t="s">
        <v>18</v>
      </c>
      <c r="U40" s="706">
        <f t="shared" si="13"/>
        <v>100</v>
      </c>
      <c r="V40" s="705" t="s">
        <v>18</v>
      </c>
      <c r="W40" s="706">
        <f t="shared" si="14"/>
        <v>100</v>
      </c>
      <c r="X40" s="1355"/>
      <c r="Y40" s="3716"/>
      <c r="Z40" s="1356" t="str">
        <f t="shared" si="18"/>
        <v>房型</v>
      </c>
      <c r="AA40" s="1353">
        <f t="shared" si="15"/>
        <v>1</v>
      </c>
      <c r="AB40" s="1353">
        <f t="shared" si="16"/>
        <v>1</v>
      </c>
      <c r="AC40" s="1353">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14"/>
      <c r="Q41" s="707" t="str">
        <f t="shared" si="11"/>
        <v>单套/主力户型建筑面积</v>
      </c>
      <c r="R41" s="708" t="s">
        <v>18</v>
      </c>
      <c r="S41" s="709">
        <f t="shared" si="12"/>
        <v>100</v>
      </c>
      <c r="T41" s="708" t="s">
        <v>18</v>
      </c>
      <c r="U41" s="709">
        <f t="shared" si="13"/>
        <v>100</v>
      </c>
      <c r="V41" s="708" t="s">
        <v>18</v>
      </c>
      <c r="W41" s="709">
        <f t="shared" si="14"/>
        <v>100</v>
      </c>
      <c r="X41" s="710"/>
      <c r="Y41" s="3716"/>
      <c r="Z41" s="711" t="str">
        <f t="shared" si="18"/>
        <v>单套/主力户型建筑面积</v>
      </c>
      <c r="AA41" s="1353">
        <f t="shared" si="15"/>
        <v>1</v>
      </c>
      <c r="AB41" s="1353">
        <f t="shared" si="16"/>
        <v>1</v>
      </c>
      <c r="AC41" s="1353">
        <f t="shared" si="17"/>
        <v>1</v>
      </c>
    </row>
    <row r="42" spans="1:29" ht="15">
      <c r="A42" s="423"/>
      <c r="B42" s="375" t="s">
        <v>1706</v>
      </c>
      <c r="C42" s="1906" t="s">
        <v>3389</v>
      </c>
      <c r="D42" s="386">
        <v>100</v>
      </c>
      <c r="E42" s="1907" t="s">
        <v>3389</v>
      </c>
      <c r="F42" s="412">
        <f>SUMIF(122:122,E42,123:123)-SUMIF(122:122,C42,123:123)+100</f>
        <v>100</v>
      </c>
      <c r="G42" s="1906" t="s">
        <v>3389</v>
      </c>
      <c r="H42" s="386">
        <f>SUMIF(122:122,G42,123:123)-SUMIF(122:122,C42,123:123)+100</f>
        <v>100</v>
      </c>
      <c r="I42" s="1907" t="s">
        <v>3389</v>
      </c>
      <c r="J42" s="386">
        <f>SUMIF(122:122,I42,123:123)-SUMIF(122:122,C42,123:123)+100</f>
        <v>100</v>
      </c>
      <c r="K42" s="377"/>
      <c r="L42" s="2720"/>
      <c r="M42" s="2714"/>
      <c r="N42" s="2714"/>
      <c r="O42" s="2714"/>
      <c r="P42" s="3714"/>
      <c r="Q42" s="1352" t="str">
        <f t="shared" si="11"/>
        <v>内部装修</v>
      </c>
      <c r="R42" s="705" t="s">
        <v>18</v>
      </c>
      <c r="S42" s="706">
        <f t="shared" si="12"/>
        <v>100</v>
      </c>
      <c r="T42" s="705" t="s">
        <v>18</v>
      </c>
      <c r="U42" s="706">
        <f t="shared" si="13"/>
        <v>100</v>
      </c>
      <c r="V42" s="705" t="s">
        <v>18</v>
      </c>
      <c r="W42" s="706">
        <f t="shared" si="14"/>
        <v>100</v>
      </c>
      <c r="X42" s="1355"/>
      <c r="Y42" s="371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14"/>
      <c r="Q43" s="1352" t="str">
        <f t="shared" si="11"/>
        <v>内部装修维护情况</v>
      </c>
      <c r="R43" s="705" t="s">
        <v>18</v>
      </c>
      <c r="S43" s="706">
        <f t="shared" si="12"/>
        <v>100</v>
      </c>
      <c r="T43" s="705" t="s">
        <v>18</v>
      </c>
      <c r="U43" s="706">
        <f t="shared" si="13"/>
        <v>100</v>
      </c>
      <c r="V43" s="705" t="s">
        <v>18</v>
      </c>
      <c r="W43" s="706">
        <f t="shared" si="14"/>
        <v>100</v>
      </c>
      <c r="X43" s="1355"/>
      <c r="Y43" s="3716"/>
      <c r="Z43" s="1356" t="str">
        <f t="shared" si="18"/>
        <v>内部装修维护情况</v>
      </c>
      <c r="AA43" s="1353">
        <f t="shared" si="15"/>
        <v>1</v>
      </c>
      <c r="AB43" s="1353">
        <f t="shared" si="16"/>
        <v>1</v>
      </c>
      <c r="AC43" s="1353">
        <f t="shared" si="17"/>
        <v>1</v>
      </c>
    </row>
    <row r="44" spans="1:29" s="108" customFormat="1" ht="15">
      <c r="A44" s="424"/>
      <c r="B44" s="3456" t="s">
        <v>3408</v>
      </c>
      <c r="C44" s="3457" t="s">
        <v>3409</v>
      </c>
      <c r="D44" s="127">
        <v>100</v>
      </c>
      <c r="E44" s="420" t="str">
        <f>C44</f>
        <v>有</v>
      </c>
      <c r="F44" s="376">
        <f>SUMIF(126:126,E44,127:127)-SUMIF(126:126,C44,127:127)+100</f>
        <v>100</v>
      </c>
      <c r="G44" s="420" t="str">
        <f>C44</f>
        <v>有</v>
      </c>
      <c r="H44" s="127">
        <f>SUMIF(126:126,G44,127:127)-SUMIF(126:126,C44,127:127)+100</f>
        <v>100</v>
      </c>
      <c r="I44" s="420" t="str">
        <f>C44</f>
        <v>有</v>
      </c>
      <c r="J44" s="127">
        <f>SUMIF(126:126,I44,127:127)-SUMIF(126:126,C44,127:127)+100</f>
        <v>100</v>
      </c>
      <c r="K44" s="1894"/>
      <c r="L44" s="2715"/>
      <c r="M44" s="2716"/>
      <c r="N44" s="2716"/>
      <c r="O44" s="2716"/>
      <c r="P44" s="3714"/>
      <c r="Q44" s="1343" t="str">
        <f t="shared" si="11"/>
        <v>独立卫生间</v>
      </c>
      <c r="R44" s="701" t="s">
        <v>18</v>
      </c>
      <c r="S44" s="702">
        <f t="shared" si="12"/>
        <v>100</v>
      </c>
      <c r="T44" s="701" t="s">
        <v>18</v>
      </c>
      <c r="U44" s="702">
        <f t="shared" si="13"/>
        <v>100</v>
      </c>
      <c r="V44" s="701" t="s">
        <v>18</v>
      </c>
      <c r="W44" s="702">
        <f t="shared" si="14"/>
        <v>100</v>
      </c>
      <c r="X44" s="703"/>
      <c r="Y44" s="3716"/>
      <c r="Z44" s="52" t="str">
        <f t="shared" si="18"/>
        <v>独立卫生间</v>
      </c>
      <c r="AA44" s="704">
        <f t="shared" si="15"/>
        <v>1</v>
      </c>
      <c r="AB44" s="704">
        <f t="shared" si="16"/>
        <v>1</v>
      </c>
      <c r="AC44" s="704">
        <f t="shared" si="17"/>
        <v>1</v>
      </c>
    </row>
    <row r="45" spans="1:29" ht="15">
      <c r="A45" s="423"/>
      <c r="B45" s="1133">
        <v>111</v>
      </c>
      <c r="C45" s="385">
        <v>2015</v>
      </c>
      <c r="D45" s="386">
        <v>100</v>
      </c>
      <c r="E45" s="385">
        <v>2001</v>
      </c>
      <c r="F45" s="412">
        <f>SUMIF(128:128,E45,129:129)-SUMIF(128:128,C45,129:129)+100</f>
        <v>100</v>
      </c>
      <c r="G45" s="385">
        <v>2000</v>
      </c>
      <c r="H45" s="386">
        <f>SUMIF(128:128,G45,129:129)-SUMIF(128:128,C45,129:129)+100</f>
        <v>100</v>
      </c>
      <c r="I45" s="385">
        <v>2001</v>
      </c>
      <c r="J45" s="386">
        <f>SUMIF(128:128,I45,129:129)-SUMIF(128:128,C45,129:129)+100</f>
        <v>100</v>
      </c>
      <c r="K45" s="1894"/>
      <c r="L45" s="2720"/>
      <c r="M45" s="2714"/>
      <c r="N45" s="2714"/>
      <c r="O45" s="2714"/>
      <c r="P45" s="3714"/>
      <c r="Q45" s="1352">
        <f t="shared" si="11"/>
        <v>111</v>
      </c>
      <c r="R45" s="705" t="s">
        <v>18</v>
      </c>
      <c r="S45" s="706">
        <f t="shared" si="12"/>
        <v>100</v>
      </c>
      <c r="T45" s="705" t="s">
        <v>18</v>
      </c>
      <c r="U45" s="706">
        <f t="shared" si="13"/>
        <v>100</v>
      </c>
      <c r="V45" s="705" t="s">
        <v>18</v>
      </c>
      <c r="W45" s="706">
        <f t="shared" si="14"/>
        <v>100</v>
      </c>
      <c r="X45" s="1355"/>
      <c r="Y45" s="371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15"/>
      <c r="Q46" s="1352">
        <f t="shared" si="11"/>
        <v>111</v>
      </c>
      <c r="R46" s="705" t="s">
        <v>17</v>
      </c>
      <c r="S46" s="706">
        <f t="shared" si="12"/>
        <v>100</v>
      </c>
      <c r="T46" s="705" t="s">
        <v>17</v>
      </c>
      <c r="U46" s="706">
        <f t="shared" si="13"/>
        <v>100</v>
      </c>
      <c r="V46" s="705" t="s">
        <v>17</v>
      </c>
      <c r="W46" s="706">
        <f t="shared" si="14"/>
        <v>100</v>
      </c>
      <c r="X46" s="1355"/>
      <c r="Y46" s="3717"/>
      <c r="Z46" s="1356">
        <f t="shared" si="18"/>
        <v>111</v>
      </c>
      <c r="AA46" s="1353">
        <f t="shared" si="15"/>
        <v>1</v>
      </c>
      <c r="AB46" s="1353">
        <f t="shared" si="16"/>
        <v>1</v>
      </c>
      <c r="AC46" s="1353">
        <f t="shared" si="17"/>
        <v>1</v>
      </c>
    </row>
    <row r="47" spans="1:29" ht="15">
      <c r="A47" s="430" t="s">
        <v>1708</v>
      </c>
      <c r="B47" s="431"/>
      <c r="C47" s="1154" t="s">
        <v>16</v>
      </c>
      <c r="D47" s="1155"/>
      <c r="E47" s="1156">
        <f>'Sheet1 (2)'!$B$17</f>
        <v>45.34</v>
      </c>
      <c r="F47" s="1157"/>
      <c r="G47" s="1158">
        <f>'Sheet1 (2)'!$B$21</f>
        <v>44.79</v>
      </c>
      <c r="H47" s="1159"/>
      <c r="I47" s="1156">
        <f>'Sheet1 (2)'!$B$27</f>
        <v>41.47</v>
      </c>
      <c r="J47" s="1159"/>
      <c r="K47" s="1914"/>
      <c r="L47" s="2722"/>
      <c r="M47" s="2723"/>
      <c r="N47" s="2714"/>
      <c r="O47" s="2723"/>
      <c r="P47" s="3709" t="str">
        <f>A47</f>
        <v>成交单价（元/平方米）</v>
      </c>
      <c r="Q47" s="3709"/>
      <c r="R47" s="3710">
        <f>E47</f>
        <v>45.34</v>
      </c>
      <c r="S47" s="3710"/>
      <c r="T47" s="3710">
        <f>G47</f>
        <v>44.79</v>
      </c>
      <c r="U47" s="3710"/>
      <c r="V47" s="3710">
        <f>I47</f>
        <v>41.47</v>
      </c>
      <c r="W47" s="3710"/>
      <c r="X47" s="690"/>
      <c r="Y47" s="712"/>
      <c r="Z47" s="690"/>
      <c r="AA47" s="690"/>
      <c r="AB47" s="690"/>
      <c r="AC47" s="690"/>
    </row>
    <row r="48" spans="1:29" ht="15.75" thickBot="1">
      <c r="A48" s="437" t="s">
        <v>1709</v>
      </c>
      <c r="B48" s="438"/>
      <c r="C48" s="1160">
        <f>R49</f>
        <v>43.9</v>
      </c>
      <c r="D48" s="2317" t="s">
        <v>2138</v>
      </c>
      <c r="E48" s="1161">
        <f>R48</f>
        <v>45.8</v>
      </c>
      <c r="F48" s="2318"/>
      <c r="G48" s="1160">
        <f>T48</f>
        <v>43.9</v>
      </c>
      <c r="H48" s="2318"/>
      <c r="I48" s="1161">
        <f>V48</f>
        <v>41.9</v>
      </c>
      <c r="J48" s="2318"/>
      <c r="K48" s="2319">
        <f>F48+H48+J48</f>
        <v>0</v>
      </c>
      <c r="L48" s="2722"/>
      <c r="M48" s="2723"/>
      <c r="N48" s="2723"/>
      <c r="O48" s="2723"/>
      <c r="P48" s="3709" t="str">
        <f>A48</f>
        <v>比较价值（元/平方米）</v>
      </c>
      <c r="Q48" s="3709"/>
      <c r="R48" s="3710">
        <f>IF(F1="售价",ROUND(PRODUCT(R47,AA7:AA46),0),ROUND(PRODUCT(R47,AA7:AA46),1))</f>
        <v>45.8</v>
      </c>
      <c r="S48" s="3710"/>
      <c r="T48" s="3710">
        <f>IF(F1="售价",ROUND(PRODUCT(T47,AB7:AB46),0),ROUND(PRODUCT(T47,AB7:AB46),1))</f>
        <v>43.9</v>
      </c>
      <c r="U48" s="3710"/>
      <c r="V48" s="3710">
        <f>IF(F1="售价",ROUND(PRODUCT(V47,AC7:AC46),0),ROUND(PRODUCT(V47,AC7:AC46),1))</f>
        <v>41.9</v>
      </c>
      <c r="W48" s="3710"/>
      <c r="X48" s="690"/>
      <c r="Y48" s="690"/>
      <c r="Z48" s="690"/>
      <c r="AA48" s="690"/>
      <c r="AB48" s="690"/>
      <c r="AC48" s="690"/>
    </row>
    <row r="49" spans="1:29" ht="15.75" thickBot="1">
      <c r="A49" s="441" t="s">
        <v>1710</v>
      </c>
      <c r="B49" s="442"/>
      <c r="C49" s="1162">
        <f>R49</f>
        <v>43.9</v>
      </c>
      <c r="D49" s="1163"/>
      <c r="E49" s="1163"/>
      <c r="F49" s="1163"/>
      <c r="G49" s="1163"/>
      <c r="H49" s="1163"/>
      <c r="I49" s="1163"/>
      <c r="J49" s="1163"/>
      <c r="K49" s="1915"/>
      <c r="L49" s="2722"/>
      <c r="M49" s="2723"/>
      <c r="N49" s="2723"/>
      <c r="O49" s="2723"/>
      <c r="P49" s="3706" t="str">
        <f>A49</f>
        <v>估价对象XX用房的比较价值（楼面单价，元/平方米）</v>
      </c>
      <c r="Q49" s="3707"/>
      <c r="R49" s="3708">
        <f>IF(F1="售价",ROUND(IF(D48="简单平均",AVERAGE(R48:V48),R48*F48+T48*H48+V48*J48),0),ROUND(IF(D48="简单平均",AVERAGE(R48:V48),R48*F48+T48*H48+V48*J48),1))</f>
        <v>43.9</v>
      </c>
      <c r="S49" s="3708"/>
      <c r="T49" s="3708"/>
      <c r="U49" s="3708"/>
      <c r="V49" s="3708"/>
      <c r="W49" s="3708"/>
      <c r="X49" s="690"/>
      <c r="Y49" s="690"/>
      <c r="Z49" s="690"/>
      <c r="AA49" s="690"/>
      <c r="AB49" s="690"/>
      <c r="AC49" s="690"/>
    </row>
    <row r="50" spans="1:29">
      <c r="A50" s="2723"/>
      <c r="B50" s="2723"/>
      <c r="C50" s="2723">
        <f>C49*0.9</f>
        <v>39.51</v>
      </c>
      <c r="D50" s="2723">
        <f>C49*1.1</f>
        <v>48.29</v>
      </c>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f>IF(E47&lt;E48,E48/E47-1,E47/E48-1)</f>
        <v>1.0145566828407393E-2</v>
      </c>
      <c r="F52" s="449" t="str">
        <f>IF(OR(E52&gt;=0.3,E52&lt;=-0.3),"超过30%","")</f>
        <v/>
      </c>
      <c r="G52" s="448">
        <f>IF(G47&lt;G48,G48/G47-1,G47/G48-1)</f>
        <v>2.0273348519362244E-2</v>
      </c>
      <c r="H52" s="449" t="str">
        <f>IF(OR(G52&gt;=0.3,G52&lt;=-0.3),"超过30%","")</f>
        <v/>
      </c>
      <c r="I52" s="448">
        <f>IF(I47&lt;I48,I48/I47-1,I47/I48-1)</f>
        <v>1.0368941403424259E-2</v>
      </c>
      <c r="J52" s="449" t="str">
        <f>IF(OR(I52&gt;=0.3,I52&lt;=-0.3),"超过30%","")</f>
        <v/>
      </c>
      <c r="K52" s="2728"/>
      <c r="L52" s="2724"/>
      <c r="M52" s="2723"/>
      <c r="N52" s="2723"/>
      <c r="O52" s="2723"/>
    </row>
    <row r="53" spans="1:29" ht="13.5" customHeight="1">
      <c r="A53" s="2723"/>
      <c r="B53" s="2723"/>
      <c r="C53" s="446" t="s">
        <v>1712</v>
      </c>
      <c r="D53" s="450"/>
      <c r="E53" s="448">
        <f>IF(E48&lt;G48,G48/E48-1,E48/G48-1)</f>
        <v>4.3280182232346309E-2</v>
      </c>
      <c r="F53" s="449" t="str">
        <f>IF(OR(E53&gt;=0.2,E53&lt;=-0.2),"超过20%","")</f>
        <v/>
      </c>
      <c r="G53" s="448">
        <f>IF(G48&lt;I48,I48/G48-1,G48/I48-1)</f>
        <v>4.7732696897374804E-2</v>
      </c>
      <c r="H53" s="449" t="str">
        <f>IF(OR(G53&gt;=0.2,G53&lt;=-0.2),"超过20%","")</f>
        <v/>
      </c>
      <c r="I53" s="448">
        <f>IF(I48&lt;E48,E48/I48-1,I48/E48-1)</f>
        <v>9.3078758949880713E-2</v>
      </c>
      <c r="J53" s="449" t="str">
        <f>IF(OR(I53&gt;=0.2,I53&lt;=-0.2),"超过20%","")</f>
        <v/>
      </c>
      <c r="K53" s="2728"/>
      <c r="L53" s="2724"/>
      <c r="M53" s="2723"/>
      <c r="N53" s="2723"/>
      <c r="O53" s="2723"/>
    </row>
    <row r="54" spans="1:29" s="451" customFormat="1" ht="13.5" customHeight="1">
      <c r="A54" s="2726"/>
      <c r="B54" s="2726"/>
      <c r="C54" s="446" t="s">
        <v>1713</v>
      </c>
      <c r="D54" s="450"/>
      <c r="E54" s="448">
        <f>IF(E47&lt;G47,G47/E47-1,E47/G47-1)</f>
        <v>1.2279526680062602E-2</v>
      </c>
      <c r="F54" s="449" t="str">
        <f>IF(OR(E54&gt;=0.3,E54&lt;=-0.3),"超过30%","")</f>
        <v/>
      </c>
      <c r="G54" s="448">
        <f>IF(G47&lt;I47,I47/G47-1,G47/I47-1)</f>
        <v>8.0057873161321513E-2</v>
      </c>
      <c r="H54" s="449" t="str">
        <f>IF(OR(G54&gt;=0.3,G54&lt;=-0.3),"超过30%","")</f>
        <v/>
      </c>
      <c r="I54" s="448">
        <f>IF(I47&lt;E47,E47/I47-1,I47/E47-1)</f>
        <v>9.3320472630817664E-2</v>
      </c>
      <c r="J54" s="449" t="str">
        <f>IF(OR(I54&gt;=0.3,I54&lt;=-0.3),"超过30%","")</f>
        <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95</v>
      </c>
      <c r="E79" s="493">
        <f>D79-$K17</f>
        <v>90</v>
      </c>
      <c r="F79" s="493">
        <f>E79-$K17</f>
        <v>85</v>
      </c>
      <c r="G79" s="493">
        <f>F79-$K17</f>
        <v>80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453" t="s">
        <v>3402</v>
      </c>
      <c r="D100" s="3453" t="s">
        <v>3405</v>
      </c>
      <c r="E100" s="3453" t="s">
        <v>3403</v>
      </c>
      <c r="F100" s="3453" t="s">
        <v>3400</v>
      </c>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99</v>
      </c>
      <c r="E101" s="493">
        <f t="shared" si="25"/>
        <v>98</v>
      </c>
      <c r="F101" s="493">
        <f t="shared" si="25"/>
        <v>97</v>
      </c>
      <c r="G101" s="493">
        <f t="shared" si="25"/>
        <v>96</v>
      </c>
      <c r="H101" s="493">
        <f t="shared" si="25"/>
        <v>95</v>
      </c>
      <c r="I101" s="493">
        <f t="shared" si="25"/>
        <v>94</v>
      </c>
      <c r="J101" s="493">
        <f t="shared" si="25"/>
        <v>93</v>
      </c>
      <c r="K101" s="493">
        <f t="shared" si="25"/>
        <v>92</v>
      </c>
      <c r="L101" s="493">
        <f t="shared" si="25"/>
        <v>91</v>
      </c>
      <c r="M101" s="493">
        <f t="shared" si="25"/>
        <v>90</v>
      </c>
      <c r="N101" s="934"/>
      <c r="O101" s="934"/>
      <c r="P101" s="1922"/>
      <c r="Q101" s="453"/>
    </row>
    <row r="102" spans="1:17" ht="15.75" thickTop="1">
      <c r="A102" s="483"/>
      <c r="B102" s="487" t="s">
        <v>1737</v>
      </c>
      <c r="C102" s="527" t="str">
        <f>C103&amp;"(含)"&amp;"-"&amp;D103</f>
        <v>0(含)-60</v>
      </c>
      <c r="D102" s="527" t="str">
        <f t="shared" ref="D102:L102" si="26">D103&amp;"(含)"&amp;"-"&amp;E103</f>
        <v>60(含)-90</v>
      </c>
      <c r="E102" s="527" t="str">
        <f t="shared" si="26"/>
        <v>90(含)-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60</v>
      </c>
      <c r="E103" s="544">
        <v>90</v>
      </c>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3454" t="s">
        <v>3407</v>
      </c>
      <c r="D105" s="3454" t="s">
        <v>3388</v>
      </c>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96</v>
      </c>
      <c r="E106" s="493">
        <f t="shared" si="27"/>
        <v>92</v>
      </c>
      <c r="F106" s="493">
        <f t="shared" si="27"/>
        <v>88</v>
      </c>
      <c r="G106" s="493">
        <f t="shared" si="27"/>
        <v>84</v>
      </c>
      <c r="H106" s="493">
        <f t="shared" si="27"/>
        <v>80</v>
      </c>
      <c r="I106" s="493">
        <f t="shared" si="27"/>
        <v>76</v>
      </c>
      <c r="J106" s="493">
        <f t="shared" si="27"/>
        <v>72</v>
      </c>
      <c r="K106" s="493">
        <f t="shared" si="27"/>
        <v>68</v>
      </c>
      <c r="L106" s="493">
        <f t="shared" si="27"/>
        <v>64</v>
      </c>
      <c r="M106" s="493">
        <f t="shared" si="27"/>
        <v>60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4" t="s">
        <v>3390</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3"/>
      <c r="Q113" s="508"/>
    </row>
    <row r="114" spans="1:17" ht="15" thickTop="1">
      <c r="A114" s="548"/>
      <c r="B114" s="487" t="s">
        <v>1741</v>
      </c>
      <c r="C114" s="3454" t="s">
        <v>3392</v>
      </c>
      <c r="D114" s="3454" t="s">
        <v>3394</v>
      </c>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4" t="s">
        <v>3395</v>
      </c>
      <c r="D116" s="3454" t="s">
        <v>3396</v>
      </c>
      <c r="E116" s="3454" t="s">
        <v>3397</v>
      </c>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5" t="s">
        <v>3399</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4" t="s">
        <v>3390</v>
      </c>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独立卫生间</v>
      </c>
      <c r="C126" s="3454" t="s">
        <v>3409</v>
      </c>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7DC1E-79C6-4336-87A4-8150EC5E9776}">
  <dimension ref="A1:N27"/>
  <sheetViews>
    <sheetView topLeftCell="E16" workbookViewId="0">
      <selection activeCell="L30" sqref="L30"/>
    </sheetView>
  </sheetViews>
  <sheetFormatPr defaultColWidth="11" defaultRowHeight="14.25"/>
  <cols>
    <col min="1" max="1" width="33.5" style="3458" customWidth="1"/>
    <col min="2" max="2" width="10.25" style="3458" customWidth="1"/>
    <col min="3" max="16384" width="11" style="3458"/>
  </cols>
  <sheetData>
    <row r="1" spans="1:14">
      <c r="A1" s="3720" t="s">
        <v>3417</v>
      </c>
      <c r="C1" s="3459">
        <v>45200.333831018521</v>
      </c>
      <c r="D1" s="3459">
        <v>45170.333831018521</v>
      </c>
      <c r="E1" s="3459">
        <v>45139.333831018521</v>
      </c>
      <c r="F1" s="3459">
        <v>45108.333831018521</v>
      </c>
      <c r="G1" s="3459">
        <v>45078.333831018521</v>
      </c>
      <c r="H1" s="3459">
        <v>45047.333831018521</v>
      </c>
      <c r="I1" s="3459">
        <v>45017.333831018521</v>
      </c>
      <c r="J1" s="3459">
        <v>44986.333831018521</v>
      </c>
      <c r="K1" s="3459">
        <v>44958.333831018521</v>
      </c>
      <c r="L1" s="3459">
        <v>44927.333831018521</v>
      </c>
      <c r="M1" s="3459">
        <v>44896.333831018521</v>
      </c>
      <c r="N1" s="3459">
        <v>44866.333831018521</v>
      </c>
    </row>
    <row r="2" spans="1:14">
      <c r="A2" s="3720"/>
      <c r="C2" s="3458" t="s">
        <v>3418</v>
      </c>
      <c r="D2" s="3458" t="s">
        <v>3418</v>
      </c>
      <c r="E2" s="3458" t="s">
        <v>3418</v>
      </c>
      <c r="F2" s="3458" t="s">
        <v>3418</v>
      </c>
      <c r="G2" s="3458" t="s">
        <v>3418</v>
      </c>
      <c r="H2" s="3458" t="s">
        <v>3418</v>
      </c>
      <c r="I2" s="3458" t="s">
        <v>3418</v>
      </c>
      <c r="J2" s="3458" t="s">
        <v>3418</v>
      </c>
      <c r="K2" s="3458" t="s">
        <v>3418</v>
      </c>
      <c r="L2" s="3458" t="s">
        <v>3418</v>
      </c>
      <c r="M2" s="3458" t="s">
        <v>3418</v>
      </c>
      <c r="N2" s="3458" t="s">
        <v>3418</v>
      </c>
    </row>
    <row r="3" spans="1:14">
      <c r="A3" s="3458" t="s">
        <v>3420</v>
      </c>
      <c r="B3" s="3458">
        <f>ROUND(AVERAGE(C3:N3),2)</f>
        <v>70.33</v>
      </c>
      <c r="C3" s="3458">
        <v>78.319999999999993</v>
      </c>
      <c r="D3" s="3458">
        <v>76.760000000000005</v>
      </c>
      <c r="E3" s="3458">
        <v>71.099999999999994</v>
      </c>
      <c r="F3" s="3458">
        <v>65.75</v>
      </c>
      <c r="G3" s="3458">
        <v>59.7</v>
      </c>
      <c r="H3" s="3458" t="s">
        <v>633</v>
      </c>
      <c r="I3" s="3458" t="s">
        <v>633</v>
      </c>
      <c r="J3" s="3458" t="s">
        <v>633</v>
      </c>
      <c r="K3" s="3458" t="s">
        <v>633</v>
      </c>
      <c r="L3" s="3458" t="s">
        <v>633</v>
      </c>
      <c r="M3" s="3458" t="s">
        <v>633</v>
      </c>
      <c r="N3" s="3458" t="s">
        <v>633</v>
      </c>
    </row>
    <row r="4" spans="1:14">
      <c r="A4" s="3458" t="s">
        <v>3421</v>
      </c>
      <c r="B4" s="3458">
        <f t="shared" ref="B4:B27" si="0">ROUND(AVERAGE(C4:N4),2)</f>
        <v>66.52</v>
      </c>
      <c r="C4" s="3458">
        <v>66.430000000000007</v>
      </c>
      <c r="D4" s="3458">
        <v>67.02</v>
      </c>
      <c r="E4" s="3458">
        <v>66.86</v>
      </c>
      <c r="F4" s="3458">
        <v>66.44</v>
      </c>
      <c r="G4" s="3458">
        <v>66.900000000000006</v>
      </c>
      <c r="H4" s="3458">
        <v>66.44</v>
      </c>
      <c r="I4" s="3458">
        <v>65.95</v>
      </c>
      <c r="J4" s="3458">
        <v>65.900000000000006</v>
      </c>
      <c r="K4" s="3458">
        <v>65.680000000000007</v>
      </c>
      <c r="L4" s="3458">
        <v>65.5</v>
      </c>
      <c r="M4" s="3458">
        <v>66.239999999999995</v>
      </c>
      <c r="N4" s="3458">
        <v>68.92</v>
      </c>
    </row>
    <row r="5" spans="1:14">
      <c r="A5" s="3458" t="s">
        <v>3422</v>
      </c>
      <c r="B5" s="3458">
        <f t="shared" si="0"/>
        <v>62.43</v>
      </c>
      <c r="C5" s="3458">
        <v>63.17</v>
      </c>
      <c r="D5" s="3458">
        <v>65.13</v>
      </c>
      <c r="E5" s="3458">
        <v>63.47</v>
      </c>
      <c r="F5" s="3458">
        <v>63.21</v>
      </c>
      <c r="G5" s="3458">
        <v>61.69</v>
      </c>
      <c r="H5" s="3458">
        <v>61.71</v>
      </c>
      <c r="I5" s="3458">
        <v>61.49</v>
      </c>
      <c r="J5" s="3458">
        <v>61.7</v>
      </c>
      <c r="K5" s="3458">
        <v>60.94</v>
      </c>
      <c r="L5" s="3458">
        <v>58.82</v>
      </c>
      <c r="M5" s="3458">
        <v>62</v>
      </c>
      <c r="N5" s="3458">
        <v>65.819999999999993</v>
      </c>
    </row>
    <row r="6" spans="1:14">
      <c r="A6" s="3458" t="s">
        <v>3423</v>
      </c>
      <c r="B6" s="3458">
        <f t="shared" si="0"/>
        <v>56.88</v>
      </c>
      <c r="C6" s="3458">
        <v>53.75</v>
      </c>
      <c r="D6" s="3458">
        <v>54.18</v>
      </c>
      <c r="E6" s="3458">
        <v>55.65</v>
      </c>
      <c r="F6" s="3458">
        <v>56</v>
      </c>
      <c r="G6" s="3458">
        <v>60.36</v>
      </c>
      <c r="H6" s="3458">
        <v>59.87</v>
      </c>
      <c r="I6" s="3458">
        <v>58.39</v>
      </c>
      <c r="J6" s="3458">
        <v>59.75</v>
      </c>
      <c r="K6" s="3458" t="s">
        <v>633</v>
      </c>
      <c r="L6" s="3458" t="s">
        <v>633</v>
      </c>
      <c r="M6" s="3458" t="s">
        <v>633</v>
      </c>
      <c r="N6" s="3458">
        <v>53.95</v>
      </c>
    </row>
    <row r="7" spans="1:14">
      <c r="A7" s="3458" t="s">
        <v>3424</v>
      </c>
      <c r="B7" s="3460">
        <f t="shared" si="0"/>
        <v>53.28</v>
      </c>
      <c r="C7" s="3458">
        <v>53.4</v>
      </c>
      <c r="D7" s="3458">
        <v>51.62</v>
      </c>
      <c r="E7" s="3458">
        <v>50.99</v>
      </c>
      <c r="F7" s="3458">
        <v>51.84</v>
      </c>
      <c r="G7" s="3458">
        <v>52.04</v>
      </c>
      <c r="H7" s="3458">
        <v>52.72</v>
      </c>
      <c r="I7" s="3458">
        <v>55.59</v>
      </c>
      <c r="J7" s="3458">
        <v>58.07</v>
      </c>
      <c r="K7" s="3458" t="s">
        <v>633</v>
      </c>
      <c r="L7" s="3458" t="s">
        <v>633</v>
      </c>
      <c r="M7" s="3458" t="s">
        <v>633</v>
      </c>
      <c r="N7" s="3458" t="s">
        <v>633</v>
      </c>
    </row>
    <row r="8" spans="1:14">
      <c r="A8" s="3458" t="s">
        <v>3425</v>
      </c>
      <c r="B8" s="3458">
        <f t="shared" si="0"/>
        <v>53.48</v>
      </c>
      <c r="C8" s="3458">
        <v>53.21</v>
      </c>
      <c r="D8" s="3458">
        <v>54.03</v>
      </c>
      <c r="E8" s="3458">
        <v>53.19</v>
      </c>
      <c r="F8" s="3458">
        <v>52.41</v>
      </c>
      <c r="G8" s="3458">
        <v>53.83</v>
      </c>
      <c r="H8" s="3458">
        <v>54.11</v>
      </c>
      <c r="I8" s="3458">
        <v>53.57</v>
      </c>
      <c r="J8" s="3458">
        <v>53.75</v>
      </c>
      <c r="K8" s="3458">
        <v>53.51</v>
      </c>
      <c r="L8" s="3458">
        <v>52.75</v>
      </c>
      <c r="M8" s="3458">
        <v>54.19</v>
      </c>
      <c r="N8" s="3458">
        <v>53.21</v>
      </c>
    </row>
    <row r="9" spans="1:14">
      <c r="A9" s="3458" t="s">
        <v>3426</v>
      </c>
      <c r="B9" s="3458">
        <f t="shared" si="0"/>
        <v>52.82</v>
      </c>
      <c r="C9" s="3458">
        <v>52.95</v>
      </c>
      <c r="D9" s="3458" t="s">
        <v>633</v>
      </c>
      <c r="E9" s="3458">
        <v>59.18</v>
      </c>
      <c r="F9" s="3458">
        <v>55.19</v>
      </c>
      <c r="G9" s="3458">
        <v>50.57</v>
      </c>
      <c r="H9" s="3458">
        <v>50.14</v>
      </c>
      <c r="I9" s="3458">
        <v>46.39</v>
      </c>
      <c r="J9" s="3458">
        <v>50.77</v>
      </c>
      <c r="K9" s="3458">
        <v>52.19</v>
      </c>
      <c r="L9" s="3458">
        <v>51.4</v>
      </c>
      <c r="M9" s="3458">
        <v>55.92</v>
      </c>
      <c r="N9" s="3458">
        <v>56.31</v>
      </c>
    </row>
    <row r="10" spans="1:14">
      <c r="A10" s="3458" t="s">
        <v>3427</v>
      </c>
      <c r="B10" s="3458">
        <f t="shared" si="0"/>
        <v>51.09</v>
      </c>
      <c r="C10" s="3458">
        <v>52.04</v>
      </c>
      <c r="D10" s="3458">
        <v>51.49</v>
      </c>
      <c r="E10" s="3458">
        <v>50.89</v>
      </c>
      <c r="F10" s="3458">
        <v>51.58</v>
      </c>
      <c r="G10" s="3458">
        <v>52.45</v>
      </c>
      <c r="H10" s="3458">
        <v>51.69</v>
      </c>
      <c r="I10" s="3458">
        <v>51.3</v>
      </c>
      <c r="J10" s="3458">
        <v>52.09</v>
      </c>
      <c r="K10" s="3458">
        <v>50.11</v>
      </c>
      <c r="L10" s="3458">
        <v>51.08</v>
      </c>
      <c r="M10" s="3458">
        <v>49.39</v>
      </c>
      <c r="N10" s="3458">
        <v>48.93</v>
      </c>
    </row>
    <row r="11" spans="1:14">
      <c r="A11" s="3458" t="s">
        <v>3428</v>
      </c>
      <c r="B11" s="3458">
        <f t="shared" si="0"/>
        <v>51.21</v>
      </c>
      <c r="C11" s="3458">
        <v>50.63</v>
      </c>
      <c r="D11" s="3458">
        <v>48.44</v>
      </c>
      <c r="E11" s="3458">
        <v>49.3</v>
      </c>
      <c r="F11" s="3458">
        <v>52.17</v>
      </c>
      <c r="G11" s="3458">
        <v>55.22</v>
      </c>
      <c r="H11" s="3458">
        <v>53.43</v>
      </c>
      <c r="I11" s="3458">
        <v>50.44</v>
      </c>
      <c r="J11" s="3458">
        <v>50.04</v>
      </c>
      <c r="K11" s="3458" t="s">
        <v>633</v>
      </c>
      <c r="L11" s="3458" t="s">
        <v>633</v>
      </c>
      <c r="M11" s="3458" t="s">
        <v>633</v>
      </c>
      <c r="N11" s="3458" t="s">
        <v>633</v>
      </c>
    </row>
    <row r="12" spans="1:14">
      <c r="A12" s="3458" t="s">
        <v>3429</v>
      </c>
      <c r="B12" s="3458">
        <f t="shared" si="0"/>
        <v>50.33</v>
      </c>
      <c r="C12" s="3458">
        <v>50.57</v>
      </c>
      <c r="D12" s="3458">
        <v>50.91</v>
      </c>
      <c r="E12" s="3458">
        <v>51.13</v>
      </c>
      <c r="F12" s="3458">
        <v>51.5</v>
      </c>
      <c r="G12" s="3458">
        <v>50.9</v>
      </c>
      <c r="H12" s="3458">
        <v>50.61</v>
      </c>
      <c r="I12" s="3458">
        <v>49.92</v>
      </c>
      <c r="J12" s="3458">
        <v>49.33</v>
      </c>
      <c r="K12" s="3458">
        <v>49.67</v>
      </c>
      <c r="L12" s="3458">
        <v>49.76</v>
      </c>
      <c r="M12" s="3458">
        <v>50.32</v>
      </c>
      <c r="N12" s="3458">
        <v>49.33</v>
      </c>
    </row>
    <row r="13" spans="1:14">
      <c r="A13" s="3458" t="s">
        <v>3430</v>
      </c>
      <c r="B13" s="3458">
        <f t="shared" si="0"/>
        <v>53.47</v>
      </c>
      <c r="C13" s="3458">
        <v>48.85</v>
      </c>
      <c r="D13" s="3458">
        <v>51.85</v>
      </c>
      <c r="E13" s="3458">
        <v>50.32</v>
      </c>
      <c r="F13" s="3458">
        <v>51.37</v>
      </c>
      <c r="G13" s="3458">
        <v>50.76</v>
      </c>
      <c r="H13" s="3458">
        <v>48.83</v>
      </c>
      <c r="I13" s="3458">
        <v>45.71</v>
      </c>
      <c r="J13" s="3458">
        <v>57.18</v>
      </c>
      <c r="K13" s="3458">
        <v>56.67</v>
      </c>
      <c r="L13" s="3458">
        <v>56.81</v>
      </c>
      <c r="M13" s="3458">
        <v>61.84</v>
      </c>
      <c r="N13" s="3458">
        <v>61.49</v>
      </c>
    </row>
    <row r="14" spans="1:14">
      <c r="A14" s="3458" t="s">
        <v>3431</v>
      </c>
      <c r="B14" s="3458">
        <f t="shared" si="0"/>
        <v>47.96</v>
      </c>
      <c r="C14" s="3458">
        <v>47.3</v>
      </c>
      <c r="D14" s="3458">
        <v>47.52</v>
      </c>
      <c r="E14" s="3458" t="s">
        <v>633</v>
      </c>
      <c r="F14" s="3458" t="s">
        <v>633</v>
      </c>
      <c r="G14" s="3458" t="s">
        <v>633</v>
      </c>
      <c r="H14" s="3458">
        <v>49.37</v>
      </c>
      <c r="I14" s="3458">
        <v>48.35</v>
      </c>
      <c r="J14" s="3458" t="s">
        <v>633</v>
      </c>
      <c r="K14" s="3458" t="s">
        <v>633</v>
      </c>
      <c r="L14" s="3458" t="s">
        <v>633</v>
      </c>
      <c r="M14" s="3458" t="s">
        <v>633</v>
      </c>
      <c r="N14" s="3458">
        <v>47.27</v>
      </c>
    </row>
    <row r="15" spans="1:14">
      <c r="A15" s="3458" t="s">
        <v>3432</v>
      </c>
      <c r="B15" s="3458">
        <f t="shared" si="0"/>
        <v>47.19</v>
      </c>
      <c r="C15" s="3458">
        <v>47.28</v>
      </c>
      <c r="D15" s="3458">
        <v>46.04</v>
      </c>
      <c r="E15" s="3458">
        <v>46.44</v>
      </c>
      <c r="F15" s="3458">
        <v>46.98</v>
      </c>
      <c r="G15" s="3458">
        <v>47.88</v>
      </c>
      <c r="H15" s="3458">
        <v>48.54</v>
      </c>
      <c r="I15" s="3458" t="s">
        <v>633</v>
      </c>
      <c r="J15" s="3458" t="s">
        <v>633</v>
      </c>
      <c r="K15" s="3458" t="s">
        <v>633</v>
      </c>
      <c r="L15" s="3458" t="s">
        <v>633</v>
      </c>
      <c r="M15" s="3458" t="s">
        <v>633</v>
      </c>
      <c r="N15" s="3458" t="s">
        <v>633</v>
      </c>
    </row>
    <row r="16" spans="1:14">
      <c r="A16" s="3458" t="s">
        <v>3433</v>
      </c>
      <c r="B16" s="3458">
        <f t="shared" si="0"/>
        <v>45.48</v>
      </c>
      <c r="C16" s="3458">
        <v>46.19</v>
      </c>
      <c r="D16" s="3458">
        <v>45.46</v>
      </c>
      <c r="E16" s="3458">
        <v>45.43</v>
      </c>
      <c r="F16" s="3458">
        <v>45.44</v>
      </c>
      <c r="G16" s="3458">
        <v>45.8</v>
      </c>
      <c r="H16" s="3458">
        <v>46.28</v>
      </c>
      <c r="I16" s="3458">
        <v>46.13</v>
      </c>
      <c r="J16" s="3458">
        <v>44.32</v>
      </c>
      <c r="K16" s="3458">
        <v>44.3</v>
      </c>
      <c r="L16" s="3458">
        <v>45.46</v>
      </c>
      <c r="M16" s="3458">
        <v>45.17</v>
      </c>
      <c r="N16" s="3458">
        <v>45.74</v>
      </c>
    </row>
    <row r="17" spans="1:14">
      <c r="A17" s="3458" t="s">
        <v>3434</v>
      </c>
      <c r="B17" s="3460">
        <f t="shared" si="0"/>
        <v>45.34</v>
      </c>
      <c r="C17" s="3458">
        <v>45.82</v>
      </c>
      <c r="D17" s="3458">
        <v>45.16</v>
      </c>
      <c r="E17" s="3458">
        <v>45.64</v>
      </c>
      <c r="F17" s="3458">
        <v>45.12</v>
      </c>
      <c r="G17" s="3458">
        <v>45.7</v>
      </c>
      <c r="H17" s="3458">
        <v>47</v>
      </c>
      <c r="I17" s="3458">
        <v>46.84</v>
      </c>
      <c r="J17" s="3458">
        <v>46.79</v>
      </c>
      <c r="K17" s="3458">
        <v>44.58</v>
      </c>
      <c r="L17" s="3458">
        <v>42.98</v>
      </c>
      <c r="M17" s="3458">
        <v>43.53</v>
      </c>
      <c r="N17" s="3458">
        <v>44.95</v>
      </c>
    </row>
    <row r="18" spans="1:14">
      <c r="A18" s="3458" t="s">
        <v>3435</v>
      </c>
      <c r="B18" s="3458">
        <f t="shared" si="0"/>
        <v>44.77</v>
      </c>
      <c r="C18" s="3458">
        <v>45.07</v>
      </c>
      <c r="D18" s="3458">
        <v>44.47</v>
      </c>
      <c r="E18" s="3458" t="s">
        <v>633</v>
      </c>
      <c r="F18" s="3458" t="s">
        <v>633</v>
      </c>
      <c r="G18" s="3458" t="s">
        <v>633</v>
      </c>
      <c r="H18" s="3458" t="s">
        <v>633</v>
      </c>
      <c r="I18" s="3458" t="s">
        <v>633</v>
      </c>
      <c r="J18" s="3458" t="s">
        <v>633</v>
      </c>
      <c r="K18" s="3458" t="s">
        <v>633</v>
      </c>
      <c r="L18" s="3458" t="s">
        <v>633</v>
      </c>
      <c r="M18" s="3458" t="s">
        <v>633</v>
      </c>
      <c r="N18" s="3458" t="s">
        <v>633</v>
      </c>
    </row>
    <row r="19" spans="1:14">
      <c r="A19" s="3458" t="s">
        <v>3436</v>
      </c>
      <c r="B19" s="3458">
        <f t="shared" si="0"/>
        <v>44.7</v>
      </c>
      <c r="C19" s="3458">
        <v>44.59</v>
      </c>
      <c r="D19" s="3458">
        <v>44.8</v>
      </c>
      <c r="E19" s="3458" t="s">
        <v>633</v>
      </c>
      <c r="F19" s="3458" t="s">
        <v>633</v>
      </c>
      <c r="G19" s="3458" t="s">
        <v>633</v>
      </c>
      <c r="H19" s="3458" t="s">
        <v>633</v>
      </c>
      <c r="I19" s="3458" t="s">
        <v>633</v>
      </c>
      <c r="J19" s="3458" t="s">
        <v>633</v>
      </c>
      <c r="K19" s="3458" t="s">
        <v>633</v>
      </c>
      <c r="L19" s="3458" t="s">
        <v>633</v>
      </c>
      <c r="M19" s="3458" t="s">
        <v>633</v>
      </c>
      <c r="N19" s="3458" t="s">
        <v>633</v>
      </c>
    </row>
    <row r="20" spans="1:14">
      <c r="A20" s="3458" t="s">
        <v>3437</v>
      </c>
      <c r="B20" s="3458">
        <f t="shared" si="0"/>
        <v>45.08</v>
      </c>
      <c r="C20" s="3458">
        <v>44.56</v>
      </c>
      <c r="D20" s="3458">
        <v>44.37</v>
      </c>
      <c r="E20" s="3458">
        <v>46.42</v>
      </c>
      <c r="F20" s="3458">
        <v>45.77</v>
      </c>
      <c r="G20" s="3458">
        <v>45.1</v>
      </c>
      <c r="H20" s="3458">
        <v>47.18</v>
      </c>
      <c r="I20" s="3458">
        <v>47.27</v>
      </c>
      <c r="J20" s="3458">
        <v>47.25</v>
      </c>
      <c r="K20" s="3458" t="s">
        <v>633</v>
      </c>
      <c r="L20" s="3458" t="s">
        <v>633</v>
      </c>
      <c r="M20" s="3458">
        <v>41.52</v>
      </c>
      <c r="N20" s="3458">
        <v>41.4</v>
      </c>
    </row>
    <row r="21" spans="1:14">
      <c r="A21" s="3458" t="s">
        <v>3450</v>
      </c>
      <c r="B21" s="3460">
        <f t="shared" si="0"/>
        <v>44.79</v>
      </c>
      <c r="C21" s="3458">
        <v>43.95</v>
      </c>
      <c r="D21" s="3458">
        <v>44.36</v>
      </c>
      <c r="E21" s="3458">
        <v>44.36</v>
      </c>
      <c r="F21" s="3458">
        <v>44.87</v>
      </c>
      <c r="G21" s="3458">
        <v>45.57</v>
      </c>
      <c r="H21" s="3458">
        <v>46.25</v>
      </c>
      <c r="I21" s="3458">
        <v>45.39</v>
      </c>
      <c r="J21" s="3458">
        <v>44.37</v>
      </c>
      <c r="K21" s="3458">
        <v>43.95</v>
      </c>
      <c r="L21" s="3458" t="s">
        <v>633</v>
      </c>
      <c r="M21" s="3458" t="s">
        <v>633</v>
      </c>
      <c r="N21" s="3458" t="s">
        <v>633</v>
      </c>
    </row>
    <row r="22" spans="1:14">
      <c r="A22" s="3458" t="s">
        <v>3438</v>
      </c>
      <c r="B22" s="3458">
        <f t="shared" si="0"/>
        <v>46.85</v>
      </c>
      <c r="C22" s="3458">
        <v>43.78</v>
      </c>
      <c r="D22" s="3458">
        <v>45.83</v>
      </c>
      <c r="E22" s="3458">
        <v>48.47</v>
      </c>
      <c r="F22" s="3458">
        <v>46.91</v>
      </c>
      <c r="G22" s="3458">
        <v>46.06</v>
      </c>
      <c r="H22" s="3458">
        <v>47.5</v>
      </c>
      <c r="I22" s="3458">
        <v>48.8</v>
      </c>
      <c r="J22" s="3458">
        <v>48.19</v>
      </c>
      <c r="K22" s="3458">
        <v>46.97</v>
      </c>
      <c r="L22" s="3458">
        <v>47.12</v>
      </c>
      <c r="M22" s="3458">
        <v>46.44</v>
      </c>
      <c r="N22" s="3458">
        <v>46.18</v>
      </c>
    </row>
    <row r="23" spans="1:14">
      <c r="A23" s="3458" t="s">
        <v>3439</v>
      </c>
      <c r="B23" s="3458">
        <f t="shared" si="0"/>
        <v>43.47</v>
      </c>
      <c r="C23" s="3458">
        <v>43.11</v>
      </c>
      <c r="D23" s="3458">
        <v>43.28</v>
      </c>
      <c r="E23" s="3458">
        <v>43.56</v>
      </c>
      <c r="F23" s="3458">
        <v>43.69</v>
      </c>
      <c r="G23" s="3458">
        <v>44.19</v>
      </c>
      <c r="H23" s="3458">
        <v>43.77</v>
      </c>
      <c r="I23" s="3458">
        <v>44.64</v>
      </c>
      <c r="J23" s="3458">
        <v>45.03</v>
      </c>
      <c r="K23" s="3458">
        <v>43.84</v>
      </c>
      <c r="L23" s="3458">
        <v>41.73</v>
      </c>
      <c r="M23" s="3458">
        <v>41.63</v>
      </c>
      <c r="N23" s="3458">
        <v>43.14</v>
      </c>
    </row>
    <row r="24" spans="1:14">
      <c r="A24" s="3458" t="s">
        <v>3440</v>
      </c>
      <c r="B24" s="3458">
        <f t="shared" si="0"/>
        <v>43.91</v>
      </c>
      <c r="C24" s="3458">
        <v>43.07</v>
      </c>
      <c r="D24" s="3458">
        <v>43.87</v>
      </c>
      <c r="E24" s="3458">
        <v>44.64</v>
      </c>
      <c r="F24" s="3458">
        <v>44.19</v>
      </c>
      <c r="G24" s="3458">
        <v>44.6</v>
      </c>
      <c r="H24" s="3458">
        <v>44.71</v>
      </c>
      <c r="I24" s="3458">
        <v>45.29</v>
      </c>
      <c r="J24" s="3458">
        <v>42.82</v>
      </c>
      <c r="K24" s="3458">
        <v>39.46</v>
      </c>
      <c r="L24" s="3458">
        <v>42.15</v>
      </c>
      <c r="M24" s="3458">
        <v>45.49</v>
      </c>
      <c r="N24" s="3458">
        <v>46.61</v>
      </c>
    </row>
    <row r="25" spans="1:14">
      <c r="A25" s="3458" t="s">
        <v>3441</v>
      </c>
      <c r="B25" s="3458">
        <f t="shared" si="0"/>
        <v>43.22</v>
      </c>
      <c r="C25" s="3458">
        <v>43.05</v>
      </c>
      <c r="D25" s="3458">
        <v>43.62</v>
      </c>
      <c r="E25" s="3458">
        <v>43.98</v>
      </c>
      <c r="F25" s="3458">
        <v>46.5</v>
      </c>
      <c r="G25" s="3458">
        <v>45.1</v>
      </c>
      <c r="H25" s="3458">
        <v>43.82</v>
      </c>
      <c r="I25" s="3458">
        <v>45.06</v>
      </c>
      <c r="J25" s="3458">
        <v>43.25</v>
      </c>
      <c r="K25" s="3458">
        <v>39.64</v>
      </c>
      <c r="L25" s="3458">
        <v>39.700000000000003</v>
      </c>
      <c r="M25" s="3458">
        <v>41.68</v>
      </c>
      <c r="N25" s="3458">
        <v>43.25</v>
      </c>
    </row>
    <row r="26" spans="1:14">
      <c r="A26" s="3458" t="s">
        <v>3442</v>
      </c>
      <c r="B26" s="3458">
        <f t="shared" si="0"/>
        <v>42.74</v>
      </c>
      <c r="C26" s="3458">
        <v>42.85</v>
      </c>
      <c r="D26" s="3458">
        <v>43.44</v>
      </c>
      <c r="E26" s="3458">
        <v>43.54</v>
      </c>
      <c r="F26" s="3458">
        <v>41.92</v>
      </c>
      <c r="G26" s="3458">
        <v>41.97</v>
      </c>
      <c r="H26" s="3458" t="s">
        <v>633</v>
      </c>
      <c r="I26" s="3458" t="s">
        <v>633</v>
      </c>
      <c r="J26" s="3458" t="s">
        <v>633</v>
      </c>
      <c r="K26" s="3458" t="s">
        <v>633</v>
      </c>
      <c r="L26" s="3458" t="s">
        <v>633</v>
      </c>
      <c r="M26" s="3458" t="s">
        <v>633</v>
      </c>
      <c r="N26" s="3458" t="s">
        <v>633</v>
      </c>
    </row>
    <row r="27" spans="1:14">
      <c r="A27" s="3458" t="s">
        <v>3443</v>
      </c>
      <c r="B27" s="3460">
        <f t="shared" si="0"/>
        <v>41.47</v>
      </c>
      <c r="C27" s="3458">
        <v>40.78</v>
      </c>
      <c r="D27" s="3458">
        <v>42.04</v>
      </c>
      <c r="E27" s="3458">
        <v>42.34</v>
      </c>
      <c r="F27" s="3458">
        <v>42.45</v>
      </c>
      <c r="G27" s="3458">
        <v>42.38</v>
      </c>
      <c r="H27" s="3458">
        <v>41.91</v>
      </c>
      <c r="I27" s="3458">
        <v>41.93</v>
      </c>
      <c r="J27" s="3458">
        <v>40.97</v>
      </c>
      <c r="K27" s="3458">
        <v>39.81</v>
      </c>
      <c r="L27" s="3458">
        <v>39.43</v>
      </c>
      <c r="M27" s="3458">
        <v>42.47</v>
      </c>
      <c r="N27" s="3458">
        <v>41.16</v>
      </c>
    </row>
  </sheetData>
  <mergeCells count="1">
    <mergeCell ref="A1:A2"/>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10000</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92" t="s">
        <v>1770</v>
      </c>
      <c r="D4" s="3693"/>
      <c r="E4" s="3694" t="s">
        <v>1771</v>
      </c>
      <c r="F4" s="3695"/>
      <c r="G4" s="3692" t="s">
        <v>1772</v>
      </c>
      <c r="H4" s="3693"/>
      <c r="I4" s="3692" t="s">
        <v>1773</v>
      </c>
      <c r="J4" s="3693"/>
      <c r="K4" s="559" t="s">
        <v>1774</v>
      </c>
      <c r="L4" s="2713"/>
      <c r="M4" s="2714"/>
      <c r="N4" s="2714"/>
      <c r="O4" s="2714"/>
      <c r="P4" s="3696" t="s">
        <v>1775</v>
      </c>
      <c r="Q4" s="3697"/>
      <c r="R4" s="3678" t="s">
        <v>1771</v>
      </c>
      <c r="S4" s="3679"/>
      <c r="T4" s="3678" t="s">
        <v>1772</v>
      </c>
      <c r="U4" s="3679"/>
      <c r="V4" s="3704" t="s">
        <v>1773</v>
      </c>
      <c r="W4" s="3704"/>
      <c r="X4" s="1355"/>
      <c r="Y4" s="3678" t="s">
        <v>1775</v>
      </c>
      <c r="Z4" s="3679"/>
      <c r="AA4" s="3673" t="s">
        <v>1771</v>
      </c>
      <c r="AB4" s="3704" t="s">
        <v>1772</v>
      </c>
      <c r="AC4" s="3673" t="s">
        <v>1773</v>
      </c>
    </row>
    <row r="5" spans="1:29" ht="15">
      <c r="A5" s="358"/>
      <c r="B5" s="359"/>
      <c r="C5" s="3688" t="s">
        <v>1673</v>
      </c>
      <c r="D5" s="3685"/>
      <c r="E5" s="3682" t="s">
        <v>1674</v>
      </c>
      <c r="F5" s="3683"/>
      <c r="G5" s="3688" t="s">
        <v>1675</v>
      </c>
      <c r="H5" s="3685"/>
      <c r="I5" s="3688" t="s">
        <v>1676</v>
      </c>
      <c r="J5" s="3685"/>
      <c r="K5" s="559"/>
      <c r="L5" s="2713"/>
      <c r="M5" s="2714"/>
      <c r="N5" s="2714"/>
      <c r="O5" s="2714"/>
      <c r="P5" s="3698"/>
      <c r="Q5" s="3699"/>
      <c r="R5" s="3680"/>
      <c r="S5" s="3681"/>
      <c r="T5" s="3680"/>
      <c r="U5" s="3681"/>
      <c r="V5" s="3704"/>
      <c r="W5" s="3704"/>
      <c r="X5" s="1355"/>
      <c r="Y5" s="3680"/>
      <c r="Z5" s="3681"/>
      <c r="AA5" s="3674"/>
      <c r="AB5" s="3704"/>
      <c r="AC5" s="3674"/>
    </row>
    <row r="6" spans="1:29" ht="15.75" thickBot="1">
      <c r="A6" s="360"/>
      <c r="B6" s="361"/>
      <c r="C6" s="3686" t="s">
        <v>1677</v>
      </c>
      <c r="D6" s="3687"/>
      <c r="E6" s="3689" t="s">
        <v>1677</v>
      </c>
      <c r="F6" s="3690"/>
      <c r="G6" s="3686" t="s">
        <v>1677</v>
      </c>
      <c r="H6" s="3687"/>
      <c r="I6" s="3686" t="s">
        <v>1677</v>
      </c>
      <c r="J6" s="3687"/>
      <c r="K6" s="559" t="s">
        <v>1678</v>
      </c>
      <c r="L6" s="2713"/>
      <c r="M6" s="2714"/>
      <c r="N6" s="2714"/>
      <c r="O6" s="2714"/>
      <c r="P6" s="3700"/>
      <c r="Q6" s="3701"/>
      <c r="R6" s="3680"/>
      <c r="S6" s="3681"/>
      <c r="T6" s="3702"/>
      <c r="U6" s="3703"/>
      <c r="V6" s="3704"/>
      <c r="W6" s="3704"/>
      <c r="X6" s="1355"/>
      <c r="Y6" s="3702"/>
      <c r="Z6" s="3703"/>
      <c r="AA6" s="3675"/>
      <c r="AB6" s="3704"/>
      <c r="AC6" s="3675"/>
    </row>
    <row r="7" spans="1:29" s="108" customFormat="1" ht="15.75" thickBot="1">
      <c r="A7" s="362" t="s">
        <v>1679</v>
      </c>
      <c r="B7" s="363"/>
      <c r="C7" s="364">
        <f>'数据-取费表'!B2</f>
        <v>45253</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76" t="s">
        <v>1683</v>
      </c>
      <c r="Q8" s="3677"/>
      <c r="R8" s="701" t="s">
        <v>14</v>
      </c>
      <c r="S8" s="702">
        <f t="shared" si="0"/>
        <v>100</v>
      </c>
      <c r="T8" s="701" t="s">
        <v>14</v>
      </c>
      <c r="U8" s="702">
        <f t="shared" si="1"/>
        <v>100</v>
      </c>
      <c r="V8" s="701" t="s">
        <v>14</v>
      </c>
      <c r="W8" s="702">
        <f t="shared" si="2"/>
        <v>100</v>
      </c>
      <c r="X8" s="703"/>
      <c r="Y8" s="3676" t="s">
        <v>1683</v>
      </c>
      <c r="Z8" s="367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91"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91"/>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91"/>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1"/>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1"/>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1"/>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18" t="s">
        <v>1691</v>
      </c>
      <c r="Q15" s="1352" t="str">
        <f t="shared" si="6"/>
        <v>商业繁华度</v>
      </c>
      <c r="R15" s="705" t="s">
        <v>14</v>
      </c>
      <c r="S15" s="706">
        <f t="shared" si="0"/>
        <v>100</v>
      </c>
      <c r="T15" s="705" t="s">
        <v>14</v>
      </c>
      <c r="U15" s="706">
        <f t="shared" si="1"/>
        <v>100</v>
      </c>
      <c r="V15" s="705" t="s">
        <v>14</v>
      </c>
      <c r="W15" s="706">
        <f t="shared" si="2"/>
        <v>100</v>
      </c>
      <c r="X15" s="1355"/>
      <c r="Y15" s="371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19"/>
      <c r="Q16" s="1352"/>
      <c r="R16" s="705"/>
      <c r="S16" s="706"/>
      <c r="T16" s="705"/>
      <c r="U16" s="706"/>
      <c r="V16" s="705"/>
      <c r="W16" s="706"/>
      <c r="X16" s="1355"/>
      <c r="Y16" s="3712"/>
      <c r="Z16" s="1356"/>
      <c r="AA16" s="1353">
        <v>1</v>
      </c>
      <c r="AB16" s="1353">
        <v>1</v>
      </c>
      <c r="AC16" s="1353">
        <v>1</v>
      </c>
    </row>
    <row r="17" spans="1:29" ht="142.5">
      <c r="A17" s="379"/>
      <c r="B17" s="402" t="s">
        <v>1259</v>
      </c>
      <c r="C17" s="1900" t="str">
        <f>估价对象房地状况!C6</f>
        <v>估价对象周边有兴33路、X101路、X103路、946路、957路等多条公共线路，距地铁大兴机场线（大兴新城站）约500米，地面可停车，综合评价交通便捷度一般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19"/>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19"/>
      <c r="Q18" s="1352"/>
      <c r="R18" s="705"/>
      <c r="S18" s="706"/>
      <c r="T18" s="705"/>
      <c r="U18" s="706"/>
      <c r="V18" s="705"/>
      <c r="W18" s="706"/>
      <c r="X18" s="1355"/>
      <c r="Y18" s="3712"/>
      <c r="Z18" s="1356"/>
      <c r="AA18" s="1353">
        <v>1</v>
      </c>
      <c r="AB18" s="1353">
        <v>1</v>
      </c>
      <c r="AC18" s="1353">
        <v>1</v>
      </c>
    </row>
    <row r="19" spans="1:29" ht="42.75">
      <c r="A19" s="379"/>
      <c r="B19" s="402" t="s">
        <v>1778</v>
      </c>
      <c r="C19" s="1900" t="str">
        <f>估价对象房地状况!C7</f>
        <v>估价对象所在区域公共配套设施齐备</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19"/>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19"/>
      <c r="Q20" s="1352"/>
      <c r="R20" s="705"/>
      <c r="S20" s="706"/>
      <c r="T20" s="705"/>
      <c r="U20" s="706"/>
      <c r="V20" s="705"/>
      <c r="W20" s="706"/>
      <c r="X20" s="1355"/>
      <c r="Y20" s="3712"/>
      <c r="Z20" s="1356"/>
      <c r="AA20" s="1353">
        <v>1</v>
      </c>
      <c r="AB20" s="1353">
        <v>1</v>
      </c>
      <c r="AC20" s="1353">
        <v>1</v>
      </c>
    </row>
    <row r="21" spans="1:29" ht="42.75">
      <c r="A21" s="379"/>
      <c r="B21" s="1131" t="s">
        <v>1779</v>
      </c>
      <c r="C21" s="1900" t="str">
        <f>估价对象房地状况!C8</f>
        <v>估价对象所在区域基础设施水平达七通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19"/>
      <c r="Q22" s="1352"/>
      <c r="R22" s="705"/>
      <c r="S22" s="706"/>
      <c r="T22" s="705"/>
      <c r="U22" s="706"/>
      <c r="V22" s="705"/>
      <c r="W22" s="706"/>
      <c r="X22" s="1355"/>
      <c r="Y22" s="3712"/>
      <c r="Z22" s="1356"/>
      <c r="AA22" s="1353">
        <v>1</v>
      </c>
      <c r="AB22" s="1353">
        <v>1</v>
      </c>
      <c r="AC22" s="1353">
        <v>1</v>
      </c>
    </row>
    <row r="23" spans="1:29" ht="85.5">
      <c r="A23" s="379"/>
      <c r="B23" s="402" t="s">
        <v>1261</v>
      </c>
      <c r="C23" s="1955" t="str">
        <f>估价对象房地状况!C9</f>
        <v>区域自然环境：凤河、新凤河；人文环境：团河行宫遗址公园等；综合评价环境状况一般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19"/>
      <c r="Q23" s="1352" t="str">
        <f>B23</f>
        <v>自然及人文环境</v>
      </c>
      <c r="R23" s="705" t="s">
        <v>14</v>
      </c>
      <c r="S23" s="706">
        <f>F23</f>
        <v>100</v>
      </c>
      <c r="T23" s="705" t="s">
        <v>14</v>
      </c>
      <c r="U23" s="706">
        <f>H23</f>
        <v>100</v>
      </c>
      <c r="V23" s="705" t="s">
        <v>14</v>
      </c>
      <c r="W23" s="706">
        <f>J23</f>
        <v>100</v>
      </c>
      <c r="X23" s="1355"/>
      <c r="Y23" s="371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19"/>
      <c r="Q24" s="1352"/>
      <c r="R24" s="705"/>
      <c r="S24" s="706"/>
      <c r="T24" s="705"/>
      <c r="U24" s="706"/>
      <c r="V24" s="705"/>
      <c r="W24" s="706"/>
      <c r="X24" s="1355"/>
      <c r="Y24" s="371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19"/>
      <c r="Q25" s="1352" t="str">
        <f t="shared" ref="Q25:Q46" si="11">B25</f>
        <v>临街状况</v>
      </c>
      <c r="R25" s="705" t="s">
        <v>14</v>
      </c>
      <c r="S25" s="706">
        <f>F25</f>
        <v>100</v>
      </c>
      <c r="T25" s="705" t="s">
        <v>14</v>
      </c>
      <c r="U25" s="706">
        <f>H25</f>
        <v>100</v>
      </c>
      <c r="V25" s="705" t="s">
        <v>14</v>
      </c>
      <c r="W25" s="706">
        <f>J25</f>
        <v>100</v>
      </c>
      <c r="X25" s="1355"/>
      <c r="Y25" s="371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19"/>
      <c r="Q26" s="1352" t="str">
        <f t="shared" si="11"/>
        <v>平面位置/可视性</v>
      </c>
      <c r="R26" s="705" t="s">
        <v>14</v>
      </c>
      <c r="S26" s="706">
        <f>F26</f>
        <v>100</v>
      </c>
      <c r="T26" s="705" t="s">
        <v>14</v>
      </c>
      <c r="U26" s="706">
        <f>H26</f>
        <v>100</v>
      </c>
      <c r="V26" s="705" t="s">
        <v>14</v>
      </c>
      <c r="W26" s="706">
        <f>J26</f>
        <v>100</v>
      </c>
      <c r="X26" s="1355"/>
      <c r="Y26" s="371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19"/>
      <c r="Q27" s="1343" t="str">
        <f t="shared" si="11"/>
        <v>人流量</v>
      </c>
      <c r="R27" s="701" t="s">
        <v>14</v>
      </c>
      <c r="S27" s="702">
        <f>F27</f>
        <v>100</v>
      </c>
      <c r="T27" s="701" t="s">
        <v>14</v>
      </c>
      <c r="U27" s="702">
        <f>H27</f>
        <v>100</v>
      </c>
      <c r="V27" s="701" t="s">
        <v>14</v>
      </c>
      <c r="W27" s="702">
        <f>J27</f>
        <v>100</v>
      </c>
      <c r="X27" s="703"/>
      <c r="Y27" s="371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1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19"/>
      <c r="Q29" s="1352">
        <f t="shared" si="11"/>
        <v>111</v>
      </c>
      <c r="R29" s="705" t="s">
        <v>14</v>
      </c>
      <c r="S29" s="706">
        <f t="shared" si="12"/>
        <v>100</v>
      </c>
      <c r="T29" s="705" t="s">
        <v>14</v>
      </c>
      <c r="U29" s="706">
        <f t="shared" si="13"/>
        <v>100</v>
      </c>
      <c r="V29" s="705" t="s">
        <v>14</v>
      </c>
      <c r="W29" s="706">
        <f t="shared" si="14"/>
        <v>100</v>
      </c>
      <c r="X29" s="1355"/>
      <c r="Y29" s="371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19"/>
      <c r="Q30" s="1352">
        <f t="shared" si="11"/>
        <v>111</v>
      </c>
      <c r="R30" s="705" t="s">
        <v>14</v>
      </c>
      <c r="S30" s="706">
        <f t="shared" si="12"/>
        <v>100</v>
      </c>
      <c r="T30" s="705" t="s">
        <v>14</v>
      </c>
      <c r="U30" s="706">
        <f t="shared" si="13"/>
        <v>100</v>
      </c>
      <c r="V30" s="705" t="s">
        <v>14</v>
      </c>
      <c r="W30" s="706">
        <f t="shared" si="14"/>
        <v>100</v>
      </c>
      <c r="X30" s="1355"/>
      <c r="Y30" s="371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19"/>
      <c r="Q31" s="1352">
        <f t="shared" si="11"/>
        <v>111</v>
      </c>
      <c r="R31" s="705" t="s">
        <v>14</v>
      </c>
      <c r="S31" s="706">
        <f t="shared" si="12"/>
        <v>100</v>
      </c>
      <c r="T31" s="705" t="s">
        <v>14</v>
      </c>
      <c r="U31" s="706">
        <f t="shared" si="13"/>
        <v>100</v>
      </c>
      <c r="V31" s="705" t="s">
        <v>14</v>
      </c>
      <c r="W31" s="706">
        <f t="shared" si="14"/>
        <v>100</v>
      </c>
      <c r="X31" s="1355"/>
      <c r="Y31" s="371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13" t="s">
        <v>1696</v>
      </c>
      <c r="Q32" s="1352" t="str">
        <f t="shared" si="11"/>
        <v>商业类型</v>
      </c>
      <c r="R32" s="705" t="s">
        <v>14</v>
      </c>
      <c r="S32" s="706">
        <f t="shared" si="12"/>
        <v>100</v>
      </c>
      <c r="T32" s="705" t="s">
        <v>14</v>
      </c>
      <c r="U32" s="706">
        <f t="shared" si="13"/>
        <v>100</v>
      </c>
      <c r="V32" s="705" t="s">
        <v>14</v>
      </c>
      <c r="W32" s="706">
        <f t="shared" si="14"/>
        <v>100</v>
      </c>
      <c r="X32" s="1355"/>
      <c r="Y32" s="371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14"/>
      <c r="Q33" s="707" t="str">
        <f t="shared" si="11"/>
        <v>项目建筑规模</v>
      </c>
      <c r="R33" s="708" t="s">
        <v>14</v>
      </c>
      <c r="S33" s="709" t="e">
        <f t="shared" si="12"/>
        <v>#N/A</v>
      </c>
      <c r="T33" s="708" t="s">
        <v>14</v>
      </c>
      <c r="U33" s="709" t="e">
        <f t="shared" si="13"/>
        <v>#N/A</v>
      </c>
      <c r="V33" s="708" t="s">
        <v>14</v>
      </c>
      <c r="W33" s="709" t="e">
        <f t="shared" si="14"/>
        <v>#N/A</v>
      </c>
      <c r="X33" s="710"/>
      <c r="Y33" s="371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14"/>
      <c r="Q34" s="1352" t="str">
        <f t="shared" si="11"/>
        <v>建筑结构</v>
      </c>
      <c r="R34" s="705" t="s">
        <v>14</v>
      </c>
      <c r="S34" s="706">
        <f t="shared" si="12"/>
        <v>100</v>
      </c>
      <c r="T34" s="705" t="s">
        <v>14</v>
      </c>
      <c r="U34" s="706">
        <f t="shared" si="13"/>
        <v>100</v>
      </c>
      <c r="V34" s="705" t="s">
        <v>14</v>
      </c>
      <c r="W34" s="706">
        <f t="shared" si="14"/>
        <v>100</v>
      </c>
      <c r="X34" s="1355"/>
      <c r="Y34" s="371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14"/>
      <c r="Q35" s="1352" t="str">
        <f t="shared" si="11"/>
        <v>公共部分装修</v>
      </c>
      <c r="R35" s="705" t="s">
        <v>14</v>
      </c>
      <c r="S35" s="706">
        <f t="shared" si="12"/>
        <v>100</v>
      </c>
      <c r="T35" s="705" t="s">
        <v>14</v>
      </c>
      <c r="U35" s="706">
        <f t="shared" si="13"/>
        <v>100</v>
      </c>
      <c r="V35" s="705" t="s">
        <v>14</v>
      </c>
      <c r="W35" s="706">
        <f t="shared" si="14"/>
        <v>100</v>
      </c>
      <c r="X35" s="1355"/>
      <c r="Y35" s="371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14"/>
      <c r="Q36" s="1352" t="str">
        <f t="shared" si="11"/>
        <v>成新度</v>
      </c>
      <c r="R36" s="705" t="s">
        <v>14</v>
      </c>
      <c r="S36" s="706" t="e">
        <f t="shared" si="12"/>
        <v>#N/A</v>
      </c>
      <c r="T36" s="705" t="s">
        <v>14</v>
      </c>
      <c r="U36" s="706" t="e">
        <f t="shared" si="13"/>
        <v>#N/A</v>
      </c>
      <c r="V36" s="705" t="s">
        <v>14</v>
      </c>
      <c r="W36" s="706" t="e">
        <f t="shared" si="14"/>
        <v>#N/A</v>
      </c>
      <c r="X36" s="1355"/>
      <c r="Y36" s="371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14"/>
      <c r="Q37" s="1343" t="str">
        <f t="shared" si="11"/>
        <v>市政基础设施</v>
      </c>
      <c r="R37" s="701" t="s">
        <v>14</v>
      </c>
      <c r="S37" s="702">
        <f t="shared" si="12"/>
        <v>100</v>
      </c>
      <c r="T37" s="701" t="s">
        <v>14</v>
      </c>
      <c r="U37" s="702">
        <f t="shared" si="13"/>
        <v>100</v>
      </c>
      <c r="V37" s="701" t="s">
        <v>14</v>
      </c>
      <c r="W37" s="702">
        <f t="shared" si="14"/>
        <v>100</v>
      </c>
      <c r="X37" s="703"/>
      <c r="Y37" s="371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14" t="s">
        <v>1696</v>
      </c>
      <c r="Q38" s="1352" t="str">
        <f t="shared" si="11"/>
        <v>业态</v>
      </c>
      <c r="R38" s="705" t="s">
        <v>14</v>
      </c>
      <c r="S38" s="706">
        <f t="shared" si="12"/>
        <v>100</v>
      </c>
      <c r="T38" s="705" t="s">
        <v>14</v>
      </c>
      <c r="U38" s="706">
        <f t="shared" si="13"/>
        <v>100</v>
      </c>
      <c r="V38" s="705" t="s">
        <v>14</v>
      </c>
      <c r="W38" s="706">
        <f t="shared" si="14"/>
        <v>100</v>
      </c>
      <c r="X38" s="1355"/>
      <c r="Y38" s="371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14"/>
      <c r="Q39" s="1352" t="str">
        <f t="shared" si="11"/>
        <v>层高</v>
      </c>
      <c r="R39" s="705" t="s">
        <v>14</v>
      </c>
      <c r="S39" s="706">
        <f t="shared" si="12"/>
        <v>100</v>
      </c>
      <c r="T39" s="705" t="s">
        <v>14</v>
      </c>
      <c r="U39" s="706">
        <f t="shared" si="13"/>
        <v>100</v>
      </c>
      <c r="V39" s="705" t="s">
        <v>14</v>
      </c>
      <c r="W39" s="706">
        <f t="shared" si="14"/>
        <v>100</v>
      </c>
      <c r="X39" s="1355"/>
      <c r="Y39" s="371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14"/>
      <c r="Q40" s="1352" t="str">
        <f t="shared" si="11"/>
        <v>单套建筑面积</v>
      </c>
      <c r="R40" s="705" t="s">
        <v>14</v>
      </c>
      <c r="S40" s="706">
        <f t="shared" si="12"/>
        <v>100</v>
      </c>
      <c r="T40" s="705" t="s">
        <v>14</v>
      </c>
      <c r="U40" s="706">
        <f t="shared" si="13"/>
        <v>100</v>
      </c>
      <c r="V40" s="705" t="s">
        <v>14</v>
      </c>
      <c r="W40" s="706">
        <f t="shared" si="14"/>
        <v>100</v>
      </c>
      <c r="X40" s="1355"/>
      <c r="Y40" s="371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14"/>
      <c r="Q41" s="707" t="str">
        <f t="shared" si="11"/>
        <v>进深比</v>
      </c>
      <c r="R41" s="708" t="s">
        <v>14</v>
      </c>
      <c r="S41" s="709">
        <f t="shared" si="12"/>
        <v>100</v>
      </c>
      <c r="T41" s="708" t="s">
        <v>14</v>
      </c>
      <c r="U41" s="709">
        <f t="shared" si="13"/>
        <v>100</v>
      </c>
      <c r="V41" s="708" t="s">
        <v>14</v>
      </c>
      <c r="W41" s="709">
        <f t="shared" si="14"/>
        <v>100</v>
      </c>
      <c r="X41" s="710"/>
      <c r="Y41" s="371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14"/>
      <c r="Q42" s="1352" t="str">
        <f t="shared" si="11"/>
        <v>内部装修</v>
      </c>
      <c r="R42" s="705" t="s">
        <v>14</v>
      </c>
      <c r="S42" s="706">
        <f t="shared" si="12"/>
        <v>100</v>
      </c>
      <c r="T42" s="705" t="s">
        <v>14</v>
      </c>
      <c r="U42" s="706">
        <f t="shared" si="13"/>
        <v>100</v>
      </c>
      <c r="V42" s="705" t="s">
        <v>14</v>
      </c>
      <c r="W42" s="706">
        <f t="shared" si="14"/>
        <v>100</v>
      </c>
      <c r="X42" s="1355"/>
      <c r="Y42" s="371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14"/>
      <c r="Q43" s="1352" t="str">
        <f t="shared" si="11"/>
        <v>内部装修维护情况</v>
      </c>
      <c r="R43" s="705" t="s">
        <v>14</v>
      </c>
      <c r="S43" s="706">
        <f t="shared" si="12"/>
        <v>100</v>
      </c>
      <c r="T43" s="705" t="s">
        <v>14</v>
      </c>
      <c r="U43" s="706">
        <f t="shared" si="13"/>
        <v>100</v>
      </c>
      <c r="V43" s="705" t="s">
        <v>14</v>
      </c>
      <c r="W43" s="706">
        <f t="shared" si="14"/>
        <v>100</v>
      </c>
      <c r="X43" s="1355"/>
      <c r="Y43" s="371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14"/>
      <c r="Q44" s="1343">
        <f t="shared" si="11"/>
        <v>111</v>
      </c>
      <c r="R44" s="701" t="s">
        <v>14</v>
      </c>
      <c r="S44" s="702">
        <f t="shared" si="12"/>
        <v>100</v>
      </c>
      <c r="T44" s="701" t="s">
        <v>14</v>
      </c>
      <c r="U44" s="702">
        <f t="shared" si="13"/>
        <v>100</v>
      </c>
      <c r="V44" s="701" t="s">
        <v>14</v>
      </c>
      <c r="W44" s="702">
        <f t="shared" si="14"/>
        <v>100</v>
      </c>
      <c r="X44" s="703"/>
      <c r="Y44" s="371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14"/>
      <c r="Q45" s="1352">
        <f t="shared" si="11"/>
        <v>111</v>
      </c>
      <c r="R45" s="705" t="s">
        <v>14</v>
      </c>
      <c r="S45" s="706">
        <f t="shared" si="12"/>
        <v>100</v>
      </c>
      <c r="T45" s="705" t="s">
        <v>14</v>
      </c>
      <c r="U45" s="706">
        <f t="shared" si="13"/>
        <v>100</v>
      </c>
      <c r="V45" s="705" t="s">
        <v>14</v>
      </c>
      <c r="W45" s="706">
        <f t="shared" si="14"/>
        <v>100</v>
      </c>
      <c r="X45" s="1355"/>
      <c r="Y45" s="371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15"/>
      <c r="Q46" s="1352">
        <f t="shared" si="11"/>
        <v>111</v>
      </c>
      <c r="R46" s="705" t="s">
        <v>14</v>
      </c>
      <c r="S46" s="706">
        <f t="shared" si="12"/>
        <v>100</v>
      </c>
      <c r="T46" s="705" t="s">
        <v>14</v>
      </c>
      <c r="U46" s="706">
        <f t="shared" si="13"/>
        <v>100</v>
      </c>
      <c r="V46" s="705" t="s">
        <v>14</v>
      </c>
      <c r="W46" s="706">
        <f t="shared" si="14"/>
        <v>100</v>
      </c>
      <c r="X46" s="1355"/>
      <c r="Y46" s="371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709" t="str">
        <f>A47</f>
        <v>成交单价（元/平方米）</v>
      </c>
      <c r="Q47" s="3709"/>
      <c r="R47" s="3704">
        <f>E47</f>
        <v>0</v>
      </c>
      <c r="S47" s="3704"/>
      <c r="T47" s="3704">
        <f>G47</f>
        <v>0</v>
      </c>
      <c r="U47" s="3704"/>
      <c r="V47" s="3704">
        <f>I47</f>
        <v>0</v>
      </c>
      <c r="W47" s="370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709" t="str">
        <f>A48</f>
        <v>比较价值（元/平方米）</v>
      </c>
      <c r="Q48" s="3709"/>
      <c r="R48" s="3710" t="e">
        <f>IF(F1="售价",ROUND(PRODUCT(R47,AA7:AA46),0),ROUND(PRODUCT(R47,AA7:AA46),1))</f>
        <v>#DIV/0!</v>
      </c>
      <c r="S48" s="3710"/>
      <c r="T48" s="3710" t="e">
        <f>IF(F1="售价",ROUND(PRODUCT(T47,AB7:AB46),0),ROUND(PRODUCT(T47,AB7:AB46),1))</f>
        <v>#DIV/0!</v>
      </c>
      <c r="U48" s="3710"/>
      <c r="V48" s="3710" t="e">
        <f>IF(F1="售价",ROUND(PRODUCT(V47,AC7:AC46),0),ROUND(PRODUCT(V47,AC7:AC46),1))</f>
        <v>#DIV/0!</v>
      </c>
      <c r="W48" s="371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706" t="str">
        <f>A49</f>
        <v>估价对象XX用房的比较价值（楼面单价，元/平方米）</v>
      </c>
      <c r="Q49" s="3707"/>
      <c r="R49" s="3708" t="e">
        <f>IF(F1="售价",ROUND(IF(D48="简单平均",AVERAGE(R48:V48),R48*F48+T48*H48+V48*J48),0),ROUND(IF(D48="简单平均",AVERAGE(R48:V48),R48*F48+T48*H48+V48*J48),1))</f>
        <v>#DIV/0!</v>
      </c>
      <c r="S49" s="3708"/>
      <c r="T49" s="3708"/>
      <c r="U49" s="3708"/>
      <c r="V49" s="3708"/>
      <c r="W49" s="3708"/>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10000</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92" t="s">
        <v>1770</v>
      </c>
      <c r="D4" s="3693"/>
      <c r="E4" s="3694" t="s">
        <v>1771</v>
      </c>
      <c r="F4" s="3695"/>
      <c r="G4" s="3692" t="s">
        <v>1772</v>
      </c>
      <c r="H4" s="3693"/>
      <c r="I4" s="3692" t="s">
        <v>1773</v>
      </c>
      <c r="J4" s="3693"/>
      <c r="K4" s="559" t="s">
        <v>1774</v>
      </c>
      <c r="L4" s="2713"/>
      <c r="M4" s="2714"/>
      <c r="N4" s="2714"/>
      <c r="O4" s="2714"/>
      <c r="P4" s="3727" t="s">
        <v>1775</v>
      </c>
      <c r="Q4" s="3728"/>
      <c r="R4" s="3722" t="s">
        <v>1771</v>
      </c>
      <c r="S4" s="3723"/>
      <c r="T4" s="3722" t="s">
        <v>1772</v>
      </c>
      <c r="U4" s="3723"/>
      <c r="V4" s="3731" t="s">
        <v>1773</v>
      </c>
      <c r="W4" s="3731"/>
      <c r="X4" s="1958"/>
      <c r="Y4" s="3722" t="s">
        <v>1775</v>
      </c>
      <c r="Z4" s="3723"/>
      <c r="AA4" s="3721" t="s">
        <v>1771</v>
      </c>
      <c r="AB4" s="3721" t="s">
        <v>1772</v>
      </c>
      <c r="AC4" s="3724" t="s">
        <v>1773</v>
      </c>
    </row>
    <row r="5" spans="1:29" ht="15">
      <c r="A5" s="358"/>
      <c r="B5" s="359"/>
      <c r="C5" s="3688" t="s">
        <v>1673</v>
      </c>
      <c r="D5" s="3685"/>
      <c r="E5" s="3682" t="s">
        <v>1674</v>
      </c>
      <c r="F5" s="3683"/>
      <c r="G5" s="3688" t="s">
        <v>1675</v>
      </c>
      <c r="H5" s="3685"/>
      <c r="I5" s="3688" t="s">
        <v>1676</v>
      </c>
      <c r="J5" s="3685"/>
      <c r="K5" s="559"/>
      <c r="L5" s="2713"/>
      <c r="M5" s="2714"/>
      <c r="N5" s="2714"/>
      <c r="O5" s="2714"/>
      <c r="P5" s="3729"/>
      <c r="Q5" s="3699"/>
      <c r="R5" s="3680"/>
      <c r="S5" s="3681"/>
      <c r="T5" s="3680"/>
      <c r="U5" s="3681"/>
      <c r="V5" s="3704"/>
      <c r="W5" s="3704"/>
      <c r="X5" s="1355"/>
      <c r="Y5" s="3680"/>
      <c r="Z5" s="3681"/>
      <c r="AA5" s="3674"/>
      <c r="AB5" s="3674"/>
      <c r="AC5" s="3725"/>
    </row>
    <row r="6" spans="1:29" ht="15.75" thickBot="1">
      <c r="A6" s="360"/>
      <c r="B6" s="361"/>
      <c r="C6" s="3686" t="s">
        <v>1677</v>
      </c>
      <c r="D6" s="3687"/>
      <c r="E6" s="3689" t="s">
        <v>1677</v>
      </c>
      <c r="F6" s="3690"/>
      <c r="G6" s="3686" t="s">
        <v>1677</v>
      </c>
      <c r="H6" s="3687"/>
      <c r="I6" s="3686" t="s">
        <v>1677</v>
      </c>
      <c r="J6" s="3687"/>
      <c r="K6" s="559" t="s">
        <v>1678</v>
      </c>
      <c r="L6" s="2713"/>
      <c r="M6" s="2714"/>
      <c r="N6" s="2714"/>
      <c r="O6" s="2714"/>
      <c r="P6" s="3730"/>
      <c r="Q6" s="3701"/>
      <c r="R6" s="3680"/>
      <c r="S6" s="3681"/>
      <c r="T6" s="3702"/>
      <c r="U6" s="3703"/>
      <c r="V6" s="3704"/>
      <c r="W6" s="3704"/>
      <c r="X6" s="1355"/>
      <c r="Y6" s="3702"/>
      <c r="Z6" s="3703"/>
      <c r="AA6" s="3675"/>
      <c r="AB6" s="3675"/>
      <c r="AC6" s="3726"/>
    </row>
    <row r="7" spans="1:29" s="108" customFormat="1" ht="15.75" thickBot="1">
      <c r="A7" s="362" t="s">
        <v>1679</v>
      </c>
      <c r="B7" s="363"/>
      <c r="C7" s="364">
        <f>'数据-取费表'!B2</f>
        <v>45253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2"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2" t="s">
        <v>1683</v>
      </c>
      <c r="Q8" s="3677"/>
      <c r="R8" s="701" t="s">
        <v>14</v>
      </c>
      <c r="S8" s="702">
        <f t="shared" si="0"/>
        <v>100</v>
      </c>
      <c r="T8" s="701" t="s">
        <v>14</v>
      </c>
      <c r="U8" s="702">
        <f t="shared" si="1"/>
        <v>100</v>
      </c>
      <c r="V8" s="701" t="s">
        <v>14</v>
      </c>
      <c r="W8" s="702">
        <f t="shared" si="2"/>
        <v>100</v>
      </c>
      <c r="X8" s="703"/>
      <c r="Y8" s="3676" t="s">
        <v>1683</v>
      </c>
      <c r="Z8" s="367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91"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91"/>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1"/>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91"/>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91"/>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91"/>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18" t="s">
        <v>1691</v>
      </c>
      <c r="Q15" s="1352" t="str">
        <f t="shared" si="6"/>
        <v>办公集聚程度</v>
      </c>
      <c r="R15" s="705" t="s">
        <v>14</v>
      </c>
      <c r="S15" s="706">
        <f t="shared" si="0"/>
        <v>100</v>
      </c>
      <c r="T15" s="705" t="s">
        <v>14</v>
      </c>
      <c r="U15" s="706">
        <f t="shared" si="1"/>
        <v>100</v>
      </c>
      <c r="V15" s="705" t="s">
        <v>14</v>
      </c>
      <c r="W15" s="706">
        <f t="shared" si="2"/>
        <v>100</v>
      </c>
      <c r="X15" s="1355"/>
      <c r="Y15" s="371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19"/>
      <c r="Q16" s="1352"/>
      <c r="R16" s="705"/>
      <c r="S16" s="706"/>
      <c r="T16" s="705"/>
      <c r="U16" s="706"/>
      <c r="V16" s="705"/>
      <c r="W16" s="706"/>
      <c r="X16" s="1355"/>
      <c r="Y16" s="3712"/>
      <c r="Z16" s="1356"/>
      <c r="AA16" s="1353">
        <v>1</v>
      </c>
      <c r="AB16" s="1353">
        <v>1</v>
      </c>
      <c r="AC16" s="1962">
        <v>1</v>
      </c>
    </row>
    <row r="17" spans="1:29" ht="128.25">
      <c r="A17" s="379"/>
      <c r="B17" s="579" t="s">
        <v>1259</v>
      </c>
      <c r="C17" s="1963" t="str">
        <f>估价对象房地状况!C6</f>
        <v>估价对象周边有兴33路、X101路、X103路、946路、957路等多条公共线路，距地铁大兴机场线（大兴新城站）约500米，地面可停车，综合评价交通便捷度一般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19"/>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19"/>
      <c r="Q18" s="1352"/>
      <c r="R18" s="705"/>
      <c r="S18" s="706"/>
      <c r="T18" s="705"/>
      <c r="U18" s="706"/>
      <c r="V18" s="705"/>
      <c r="W18" s="706"/>
      <c r="X18" s="1355"/>
      <c r="Y18" s="3712"/>
      <c r="Z18" s="1356"/>
      <c r="AA18" s="1353">
        <v>1</v>
      </c>
      <c r="AB18" s="1353">
        <v>1</v>
      </c>
      <c r="AC18" s="1962">
        <v>1</v>
      </c>
    </row>
    <row r="19" spans="1:29" ht="28.5">
      <c r="A19" s="379"/>
      <c r="B19" s="579" t="s">
        <v>1812</v>
      </c>
      <c r="C19" s="1963" t="str">
        <f>估价对象房地状况!C7</f>
        <v>估价对象所在区域公共配套设施齐备</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19"/>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19"/>
      <c r="Q20" s="1352"/>
      <c r="R20" s="705"/>
      <c r="S20" s="706"/>
      <c r="T20" s="705"/>
      <c r="U20" s="706"/>
      <c r="V20" s="705"/>
      <c r="W20" s="706"/>
      <c r="X20" s="1355"/>
      <c r="Y20" s="3712"/>
      <c r="Z20" s="1356"/>
      <c r="AA20" s="1353">
        <v>1</v>
      </c>
      <c r="AB20" s="1353">
        <v>1</v>
      </c>
      <c r="AC20" s="1962">
        <v>1</v>
      </c>
    </row>
    <row r="21" spans="1:29" ht="42.75">
      <c r="A21" s="379"/>
      <c r="B21" s="581" t="s">
        <v>1813</v>
      </c>
      <c r="C21" s="1963" t="str">
        <f>估价对象房地状况!C8</f>
        <v>估价对象所在区域基础设施水平达七通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19"/>
      <c r="Q22" s="1352"/>
      <c r="R22" s="705"/>
      <c r="S22" s="706"/>
      <c r="T22" s="705"/>
      <c r="U22" s="706"/>
      <c r="V22" s="705"/>
      <c r="W22" s="706"/>
      <c r="X22" s="1355"/>
      <c r="Y22" s="3712"/>
      <c r="Z22" s="1356"/>
      <c r="AA22" s="1353">
        <v>1</v>
      </c>
      <c r="AB22" s="1353">
        <v>1</v>
      </c>
      <c r="AC22" s="1962">
        <v>1</v>
      </c>
    </row>
    <row r="23" spans="1:29" ht="71.25">
      <c r="A23" s="379"/>
      <c r="B23" s="579" t="s">
        <v>1814</v>
      </c>
      <c r="C23" s="1963" t="str">
        <f>估价对象房地状况!C9</f>
        <v>区域自然环境：凤河、新凤河；人文环境：团河行宫遗址公园等；综合评价环境状况一般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19"/>
      <c r="Q23" s="1352" t="str">
        <f>B23</f>
        <v>环境质量</v>
      </c>
      <c r="R23" s="705" t="s">
        <v>14</v>
      </c>
      <c r="S23" s="706">
        <f>F23</f>
        <v>100</v>
      </c>
      <c r="T23" s="705" t="s">
        <v>14</v>
      </c>
      <c r="U23" s="706">
        <f>H23</f>
        <v>100</v>
      </c>
      <c r="V23" s="705" t="s">
        <v>14</v>
      </c>
      <c r="W23" s="706">
        <f>J23</f>
        <v>100</v>
      </c>
      <c r="X23" s="1355"/>
      <c r="Y23" s="371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19"/>
      <c r="Q24" s="1352"/>
      <c r="R24" s="705"/>
      <c r="S24" s="706"/>
      <c r="T24" s="705"/>
      <c r="U24" s="706"/>
      <c r="V24" s="705"/>
      <c r="W24" s="706"/>
      <c r="X24" s="1355"/>
      <c r="Y24" s="371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19"/>
      <c r="Q25" s="1352" t="str">
        <f>B25</f>
        <v>毗邻道路的类型与等级</v>
      </c>
      <c r="R25" s="705" t="s">
        <v>14</v>
      </c>
      <c r="S25" s="706">
        <f>F25</f>
        <v>100</v>
      </c>
      <c r="T25" s="705" t="s">
        <v>14</v>
      </c>
      <c r="U25" s="706">
        <f>H25</f>
        <v>100</v>
      </c>
      <c r="V25" s="705" t="s">
        <v>14</v>
      </c>
      <c r="W25" s="706">
        <f>J25</f>
        <v>100</v>
      </c>
      <c r="X25" s="1355"/>
      <c r="Y25" s="371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19"/>
      <c r="Q26" s="1352"/>
      <c r="R26" s="705"/>
      <c r="S26" s="706"/>
      <c r="T26" s="705"/>
      <c r="U26" s="706"/>
      <c r="V26" s="705"/>
      <c r="W26" s="706"/>
      <c r="X26" s="1355"/>
      <c r="Y26" s="371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19"/>
      <c r="Q27" s="1352" t="str">
        <f t="shared" ref="Q27:Q47" si="11">B27</f>
        <v>楼层</v>
      </c>
      <c r="R27" s="705" t="s">
        <v>14</v>
      </c>
      <c r="S27" s="706">
        <f>F27</f>
        <v>100</v>
      </c>
      <c r="T27" s="705" t="s">
        <v>14</v>
      </c>
      <c r="U27" s="706">
        <f>H27</f>
        <v>100</v>
      </c>
      <c r="V27" s="705" t="s">
        <v>14</v>
      </c>
      <c r="W27" s="706">
        <f>J27</f>
        <v>100</v>
      </c>
      <c r="X27" s="1355"/>
      <c r="Y27" s="371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19"/>
      <c r="Q28" s="1343" t="str">
        <f t="shared" si="11"/>
        <v>朝向</v>
      </c>
      <c r="R28" s="701" t="s">
        <v>14</v>
      </c>
      <c r="S28" s="702">
        <f>F28</f>
        <v>100</v>
      </c>
      <c r="T28" s="701" t="s">
        <v>14</v>
      </c>
      <c r="U28" s="702">
        <f>H28</f>
        <v>100</v>
      </c>
      <c r="V28" s="701" t="s">
        <v>14</v>
      </c>
      <c r="W28" s="702">
        <f>J28</f>
        <v>100</v>
      </c>
      <c r="X28" s="703"/>
      <c r="Y28" s="371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19"/>
      <c r="Q29" s="1352">
        <f t="shared" si="11"/>
        <v>111</v>
      </c>
      <c r="R29" s="705" t="s">
        <v>14</v>
      </c>
      <c r="S29" s="706">
        <f t="shared" ref="S29:S47" si="12">F29</f>
        <v>100</v>
      </c>
      <c r="T29" s="705" t="s">
        <v>14</v>
      </c>
      <c r="U29" s="706">
        <f t="shared" ref="U29:U47" si="13">H29</f>
        <v>100</v>
      </c>
      <c r="V29" s="705" t="s">
        <v>14</v>
      </c>
      <c r="W29" s="706">
        <f t="shared" ref="W29:W47" si="14">J29</f>
        <v>100</v>
      </c>
      <c r="X29" s="1355"/>
      <c r="Y29" s="371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19"/>
      <c r="Q30" s="1352">
        <f t="shared" si="11"/>
        <v>111</v>
      </c>
      <c r="R30" s="705" t="s">
        <v>14</v>
      </c>
      <c r="S30" s="706">
        <f t="shared" si="12"/>
        <v>100</v>
      </c>
      <c r="T30" s="705" t="s">
        <v>14</v>
      </c>
      <c r="U30" s="706">
        <f t="shared" si="13"/>
        <v>100</v>
      </c>
      <c r="V30" s="705" t="s">
        <v>14</v>
      </c>
      <c r="W30" s="706">
        <f t="shared" si="14"/>
        <v>100</v>
      </c>
      <c r="X30" s="1355"/>
      <c r="Y30" s="371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19"/>
      <c r="Q31" s="1352">
        <f t="shared" si="11"/>
        <v>111</v>
      </c>
      <c r="R31" s="705" t="s">
        <v>14</v>
      </c>
      <c r="S31" s="706">
        <f t="shared" si="12"/>
        <v>100</v>
      </c>
      <c r="T31" s="705" t="s">
        <v>14</v>
      </c>
      <c r="U31" s="706">
        <f t="shared" si="13"/>
        <v>100</v>
      </c>
      <c r="V31" s="705" t="s">
        <v>14</v>
      </c>
      <c r="W31" s="706">
        <f t="shared" si="14"/>
        <v>100</v>
      </c>
      <c r="X31" s="1355"/>
      <c r="Y31" s="371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19"/>
      <c r="Q32" s="1352">
        <f t="shared" si="11"/>
        <v>111</v>
      </c>
      <c r="R32" s="705" t="s">
        <v>14</v>
      </c>
      <c r="S32" s="706">
        <f t="shared" si="12"/>
        <v>100</v>
      </c>
      <c r="T32" s="705" t="s">
        <v>14</v>
      </c>
      <c r="U32" s="706">
        <f t="shared" si="13"/>
        <v>100</v>
      </c>
      <c r="V32" s="705" t="s">
        <v>14</v>
      </c>
      <c r="W32" s="706">
        <f t="shared" si="14"/>
        <v>100</v>
      </c>
      <c r="X32" s="1355"/>
      <c r="Y32" s="371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13" t="s">
        <v>1696</v>
      </c>
      <c r="Q33" s="1352" t="str">
        <f t="shared" si="11"/>
        <v>建筑类型</v>
      </c>
      <c r="R33" s="705" t="s">
        <v>14</v>
      </c>
      <c r="S33" s="706">
        <f t="shared" si="12"/>
        <v>100</v>
      </c>
      <c r="T33" s="705" t="s">
        <v>14</v>
      </c>
      <c r="U33" s="706">
        <f t="shared" si="13"/>
        <v>100</v>
      </c>
      <c r="V33" s="705" t="s">
        <v>14</v>
      </c>
      <c r="W33" s="706">
        <f t="shared" si="14"/>
        <v>100</v>
      </c>
      <c r="X33" s="1355"/>
      <c r="Y33" s="3716"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14"/>
      <c r="Q34" s="707" t="str">
        <f t="shared" si="11"/>
        <v>项目建筑规模</v>
      </c>
      <c r="R34" s="708" t="s">
        <v>14</v>
      </c>
      <c r="S34" s="709" t="e">
        <f t="shared" si="12"/>
        <v>#N/A</v>
      </c>
      <c r="T34" s="708" t="s">
        <v>14</v>
      </c>
      <c r="U34" s="709" t="e">
        <f t="shared" si="13"/>
        <v>#N/A</v>
      </c>
      <c r="V34" s="708" t="s">
        <v>14</v>
      </c>
      <c r="W34" s="709" t="e">
        <f t="shared" si="14"/>
        <v>#N/A</v>
      </c>
      <c r="X34" s="710"/>
      <c r="Y34" s="3716"/>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14"/>
      <c r="Q35" s="1352" t="str">
        <f t="shared" si="11"/>
        <v>建筑结构</v>
      </c>
      <c r="R35" s="705" t="s">
        <v>14</v>
      </c>
      <c r="S35" s="706">
        <f t="shared" si="12"/>
        <v>100</v>
      </c>
      <c r="T35" s="705" t="s">
        <v>14</v>
      </c>
      <c r="U35" s="706">
        <f t="shared" si="13"/>
        <v>100</v>
      </c>
      <c r="V35" s="705" t="s">
        <v>14</v>
      </c>
      <c r="W35" s="706">
        <f t="shared" si="14"/>
        <v>100</v>
      </c>
      <c r="X35" s="1355"/>
      <c r="Y35" s="371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14"/>
      <c r="Q36" s="1352" t="str">
        <f t="shared" si="11"/>
        <v>公共部分装修</v>
      </c>
      <c r="R36" s="705" t="s">
        <v>14</v>
      </c>
      <c r="S36" s="706">
        <f t="shared" si="12"/>
        <v>100</v>
      </c>
      <c r="T36" s="705" t="s">
        <v>14</v>
      </c>
      <c r="U36" s="706">
        <f t="shared" si="13"/>
        <v>100</v>
      </c>
      <c r="V36" s="705" t="s">
        <v>14</v>
      </c>
      <c r="W36" s="706">
        <f t="shared" si="14"/>
        <v>100</v>
      </c>
      <c r="X36" s="1355"/>
      <c r="Y36" s="3716"/>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14"/>
      <c r="Q37" s="1352" t="str">
        <f t="shared" si="11"/>
        <v>成新度</v>
      </c>
      <c r="R37" s="705" t="s">
        <v>14</v>
      </c>
      <c r="S37" s="706" t="e">
        <f t="shared" si="12"/>
        <v>#N/A</v>
      </c>
      <c r="T37" s="705" t="s">
        <v>14</v>
      </c>
      <c r="U37" s="706" t="e">
        <f t="shared" si="13"/>
        <v>#N/A</v>
      </c>
      <c r="V37" s="705" t="s">
        <v>14</v>
      </c>
      <c r="W37" s="706" t="e">
        <f t="shared" si="14"/>
        <v>#N/A</v>
      </c>
      <c r="X37" s="1355"/>
      <c r="Y37" s="3716"/>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14"/>
      <c r="Q38" s="1343" t="str">
        <f t="shared" si="11"/>
        <v>写字楼等级</v>
      </c>
      <c r="R38" s="701" t="s">
        <v>14</v>
      </c>
      <c r="S38" s="702">
        <f t="shared" si="12"/>
        <v>100</v>
      </c>
      <c r="T38" s="701" t="s">
        <v>14</v>
      </c>
      <c r="U38" s="702">
        <f t="shared" si="13"/>
        <v>100</v>
      </c>
      <c r="V38" s="701" t="s">
        <v>14</v>
      </c>
      <c r="W38" s="702">
        <f t="shared" si="14"/>
        <v>100</v>
      </c>
      <c r="X38" s="703"/>
      <c r="Y38" s="371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14" t="s">
        <v>1696</v>
      </c>
      <c r="Q39" s="1352" t="str">
        <f t="shared" si="11"/>
        <v>物业管理</v>
      </c>
      <c r="R39" s="705" t="s">
        <v>14</v>
      </c>
      <c r="S39" s="706">
        <f t="shared" si="12"/>
        <v>100</v>
      </c>
      <c r="T39" s="705" t="s">
        <v>14</v>
      </c>
      <c r="U39" s="706">
        <f t="shared" si="13"/>
        <v>100</v>
      </c>
      <c r="V39" s="705" t="s">
        <v>14</v>
      </c>
      <c r="W39" s="706">
        <f t="shared" si="14"/>
        <v>100</v>
      </c>
      <c r="X39" s="1355"/>
      <c r="Y39" s="371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14"/>
      <c r="Q40" s="1352" t="str">
        <f t="shared" si="11"/>
        <v>市政基础设施</v>
      </c>
      <c r="R40" s="705" t="s">
        <v>14</v>
      </c>
      <c r="S40" s="706">
        <f t="shared" si="12"/>
        <v>100</v>
      </c>
      <c r="T40" s="705" t="s">
        <v>14</v>
      </c>
      <c r="U40" s="706">
        <f t="shared" si="13"/>
        <v>100</v>
      </c>
      <c r="V40" s="705" t="s">
        <v>14</v>
      </c>
      <c r="W40" s="706">
        <f t="shared" si="14"/>
        <v>100</v>
      </c>
      <c r="X40" s="1355"/>
      <c r="Y40" s="371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14"/>
      <c r="Q41" s="1352" t="str">
        <f t="shared" si="11"/>
        <v>层高</v>
      </c>
      <c r="R41" s="705" t="s">
        <v>14</v>
      </c>
      <c r="S41" s="706">
        <f t="shared" si="12"/>
        <v>100</v>
      </c>
      <c r="T41" s="705" t="s">
        <v>14</v>
      </c>
      <c r="U41" s="706">
        <f t="shared" si="13"/>
        <v>100</v>
      </c>
      <c r="V41" s="705" t="s">
        <v>14</v>
      </c>
      <c r="W41" s="706">
        <f t="shared" si="14"/>
        <v>100</v>
      </c>
      <c r="X41" s="1355"/>
      <c r="Y41" s="371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14"/>
      <c r="Q42" s="707" t="str">
        <f t="shared" si="11"/>
        <v>单套建筑面积</v>
      </c>
      <c r="R42" s="708" t="s">
        <v>14</v>
      </c>
      <c r="S42" s="709">
        <f t="shared" si="12"/>
        <v>100</v>
      </c>
      <c r="T42" s="708" t="s">
        <v>14</v>
      </c>
      <c r="U42" s="709">
        <f t="shared" si="13"/>
        <v>100</v>
      </c>
      <c r="V42" s="708" t="s">
        <v>14</v>
      </c>
      <c r="W42" s="709">
        <f t="shared" si="14"/>
        <v>100</v>
      </c>
      <c r="X42" s="710"/>
      <c r="Y42" s="371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14"/>
      <c r="Q43" s="1352" t="str">
        <f t="shared" si="11"/>
        <v>内部装修</v>
      </c>
      <c r="R43" s="705" t="s">
        <v>14</v>
      </c>
      <c r="S43" s="706">
        <f t="shared" si="12"/>
        <v>100</v>
      </c>
      <c r="T43" s="705" t="s">
        <v>14</v>
      </c>
      <c r="U43" s="706">
        <f t="shared" si="13"/>
        <v>100</v>
      </c>
      <c r="V43" s="705" t="s">
        <v>14</v>
      </c>
      <c r="W43" s="706">
        <f t="shared" si="14"/>
        <v>100</v>
      </c>
      <c r="X43" s="1355"/>
      <c r="Y43" s="3716"/>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14"/>
      <c r="Q44" s="1352" t="str">
        <f t="shared" si="11"/>
        <v>内部装修维护情况</v>
      </c>
      <c r="R44" s="705" t="s">
        <v>14</v>
      </c>
      <c r="S44" s="706">
        <f t="shared" si="12"/>
        <v>100</v>
      </c>
      <c r="T44" s="705" t="s">
        <v>14</v>
      </c>
      <c r="U44" s="706">
        <f t="shared" si="13"/>
        <v>100</v>
      </c>
      <c r="V44" s="705" t="s">
        <v>14</v>
      </c>
      <c r="W44" s="706">
        <f t="shared" si="14"/>
        <v>100</v>
      </c>
      <c r="X44" s="1355"/>
      <c r="Y44" s="371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14"/>
      <c r="Q45" s="1343">
        <f t="shared" si="11"/>
        <v>111</v>
      </c>
      <c r="R45" s="701" t="s">
        <v>14</v>
      </c>
      <c r="S45" s="702">
        <f t="shared" si="12"/>
        <v>100</v>
      </c>
      <c r="T45" s="701" t="s">
        <v>14</v>
      </c>
      <c r="U45" s="702">
        <f t="shared" si="13"/>
        <v>100</v>
      </c>
      <c r="V45" s="701" t="s">
        <v>14</v>
      </c>
      <c r="W45" s="702">
        <f t="shared" si="14"/>
        <v>100</v>
      </c>
      <c r="X45" s="703"/>
      <c r="Y45" s="371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14"/>
      <c r="Q46" s="1352">
        <f t="shared" si="11"/>
        <v>111</v>
      </c>
      <c r="R46" s="705" t="s">
        <v>14</v>
      </c>
      <c r="S46" s="706">
        <f t="shared" si="12"/>
        <v>100</v>
      </c>
      <c r="T46" s="705" t="s">
        <v>14</v>
      </c>
      <c r="U46" s="706">
        <f t="shared" si="13"/>
        <v>100</v>
      </c>
      <c r="V46" s="705" t="s">
        <v>14</v>
      </c>
      <c r="W46" s="706">
        <f t="shared" si="14"/>
        <v>100</v>
      </c>
      <c r="X46" s="1355"/>
      <c r="Y46" s="371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15"/>
      <c r="Q47" s="1352">
        <f t="shared" si="11"/>
        <v>111</v>
      </c>
      <c r="R47" s="705" t="s">
        <v>14</v>
      </c>
      <c r="S47" s="706">
        <f t="shared" si="12"/>
        <v>100</v>
      </c>
      <c r="T47" s="705" t="s">
        <v>14</v>
      </c>
      <c r="U47" s="706">
        <f t="shared" si="13"/>
        <v>100</v>
      </c>
      <c r="V47" s="705" t="s">
        <v>14</v>
      </c>
      <c r="W47" s="706">
        <f t="shared" si="14"/>
        <v>100</v>
      </c>
      <c r="X47" s="1355"/>
      <c r="Y47" s="3717"/>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691" t="str">
        <f>A48</f>
        <v>成交单价（元/平方米）</v>
      </c>
      <c r="Q48" s="3709"/>
      <c r="R48" s="3710">
        <f>E48</f>
        <v>0</v>
      </c>
      <c r="S48" s="3710"/>
      <c r="T48" s="3710">
        <f>G48</f>
        <v>0</v>
      </c>
      <c r="U48" s="3710"/>
      <c r="V48" s="3710">
        <f>I48</f>
        <v>0</v>
      </c>
      <c r="W48" s="3710"/>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691" t="str">
        <f>A49</f>
        <v>比较价值（元/平方米）</v>
      </c>
      <c r="Q49" s="3709"/>
      <c r="R49" s="3710" t="e">
        <f>IF(F1="售价",ROUND(PRODUCT(R48,AA7:AA47),0),ROUND(PRODUCT(R48,AA7:AA47),1))</f>
        <v>#DIV/0!</v>
      </c>
      <c r="S49" s="3710"/>
      <c r="T49" s="3710" t="e">
        <f>IF(F1="售价",ROUND(PRODUCT(T48,AB7:AB47),0),ROUND(PRODUCT(T48,AB7:AB47),1))</f>
        <v>#DIV/0!</v>
      </c>
      <c r="U49" s="3710"/>
      <c r="V49" s="3710" t="e">
        <f>IF(F1="售价",ROUND(PRODUCT(V48,AC7:AC47),0),ROUND(PRODUCT(V48,AC7:AC47),1))</f>
        <v>#DIV/0!</v>
      </c>
      <c r="W49" s="3710"/>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33" t="str">
        <f>A50</f>
        <v>估价对象XX用房的比较价值（楼面单价，元/平方米）</v>
      </c>
      <c r="Q50" s="3734"/>
      <c r="R50" s="3735" t="e">
        <f>IF(F1="售价",ROUND(IF(D49="简单平均",AVERAGE(R49:V49),R49*F49+T49*H49+V49*J49),0),ROUND(IF(D49="简单平均",AVERAGE(R49:V49),R49*F49+T49*H49+V49*J49),1))</f>
        <v>#DIV/0!</v>
      </c>
      <c r="S50" s="3735"/>
      <c r="T50" s="3735"/>
      <c r="U50" s="3735"/>
      <c r="V50" s="3735"/>
      <c r="W50" s="3735"/>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10000</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913"/>
      <c r="M4" s="914"/>
      <c r="N4" s="914"/>
      <c r="O4" s="914"/>
      <c r="P4" s="3696" t="s">
        <v>1775</v>
      </c>
      <c r="Q4" s="3697"/>
      <c r="R4" s="3678" t="s">
        <v>1771</v>
      </c>
      <c r="S4" s="3679"/>
      <c r="T4" s="3678" t="s">
        <v>1772</v>
      </c>
      <c r="U4" s="3679"/>
      <c r="V4" s="3704" t="s">
        <v>1773</v>
      </c>
      <c r="W4" s="3704"/>
      <c r="X4" s="1355"/>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913"/>
      <c r="M5" s="914"/>
      <c r="N5" s="914"/>
      <c r="O5" s="914"/>
      <c r="P5" s="3698"/>
      <c r="Q5" s="3699"/>
      <c r="R5" s="3680"/>
      <c r="S5" s="3681"/>
      <c r="T5" s="3680"/>
      <c r="U5" s="3681"/>
      <c r="V5" s="3704"/>
      <c r="W5" s="3704"/>
      <c r="X5" s="1355"/>
      <c r="Y5" s="3680"/>
      <c r="Z5" s="3681"/>
      <c r="AA5" s="3674"/>
      <c r="AB5" s="3674"/>
      <c r="AC5" s="3674"/>
    </row>
    <row r="6" spans="1:29" ht="15.75" thickBot="1">
      <c r="A6" s="360"/>
      <c r="B6" s="361"/>
      <c r="C6" s="3686" t="s">
        <v>1677</v>
      </c>
      <c r="D6" s="3687"/>
      <c r="E6" s="3689" t="s">
        <v>1677</v>
      </c>
      <c r="F6" s="3690"/>
      <c r="G6" s="3686" t="s">
        <v>1677</v>
      </c>
      <c r="H6" s="3687"/>
      <c r="I6" s="3686" t="s">
        <v>1677</v>
      </c>
      <c r="J6" s="3687"/>
      <c r="K6" s="559" t="s">
        <v>1678</v>
      </c>
      <c r="L6" s="913"/>
      <c r="M6" s="914"/>
      <c r="N6" s="914"/>
      <c r="O6" s="914"/>
      <c r="P6" s="3700"/>
      <c r="Q6" s="3701"/>
      <c r="R6" s="3680"/>
      <c r="S6" s="3681"/>
      <c r="T6" s="3702"/>
      <c r="U6" s="3703"/>
      <c r="V6" s="3704"/>
      <c r="W6" s="3704"/>
      <c r="X6" s="1355"/>
      <c r="Y6" s="3702"/>
      <c r="Z6" s="3703"/>
      <c r="AA6" s="3675"/>
      <c r="AB6" s="3675"/>
      <c r="AC6" s="3675"/>
    </row>
    <row r="7" spans="1:29" s="108" customFormat="1" ht="15.75" thickBot="1">
      <c r="A7" s="362" t="s">
        <v>1679</v>
      </c>
      <c r="B7" s="363"/>
      <c r="C7" s="364">
        <f>'数据-取费表'!B2</f>
        <v>45253</v>
      </c>
      <c r="D7" s="365">
        <v>100</v>
      </c>
      <c r="E7" s="366"/>
      <c r="F7" s="367">
        <f>SUMIF(52:52,YEAR(E7)&amp;"-"&amp;MONTH(E7),53:53)</f>
        <v>0</v>
      </c>
      <c r="G7" s="366"/>
      <c r="H7" s="365">
        <f>SUMIF(52:52,YEAR(G7)&amp;"-"&amp;MONTH(G7),53:53)</f>
        <v>0</v>
      </c>
      <c r="I7" s="366"/>
      <c r="J7" s="365">
        <f>SUMIF(52:52,YEAR(I7)&amp;"-"&amp;MONTH(I7),53:53)</f>
        <v>0</v>
      </c>
      <c r="K7" s="560"/>
      <c r="L7" s="915"/>
      <c r="M7" s="916"/>
      <c r="N7" s="916"/>
      <c r="O7" s="916"/>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6" t="s">
        <v>1683</v>
      </c>
      <c r="Q8" s="3677"/>
      <c r="R8" s="701" t="s">
        <v>14</v>
      </c>
      <c r="S8" s="702">
        <f t="shared" si="0"/>
        <v>100</v>
      </c>
      <c r="T8" s="701" t="s">
        <v>14</v>
      </c>
      <c r="U8" s="702">
        <f t="shared" si="1"/>
        <v>100</v>
      </c>
      <c r="V8" s="701" t="s">
        <v>14</v>
      </c>
      <c r="W8" s="702">
        <f t="shared" si="2"/>
        <v>100</v>
      </c>
      <c r="X8" s="703"/>
      <c r="Y8" s="3676" t="s">
        <v>1683</v>
      </c>
      <c r="Z8" s="367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9"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09"/>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9"/>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9"/>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9"/>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9"/>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1" t="s">
        <v>1691</v>
      </c>
      <c r="Q15" s="1352" t="str">
        <f t="shared" si="6"/>
        <v>产业集聚程度</v>
      </c>
      <c r="R15" s="705" t="s">
        <v>14</v>
      </c>
      <c r="S15" s="706">
        <f t="shared" si="0"/>
        <v>100</v>
      </c>
      <c r="T15" s="705" t="s">
        <v>14</v>
      </c>
      <c r="U15" s="706">
        <f t="shared" si="1"/>
        <v>100</v>
      </c>
      <c r="V15" s="705" t="s">
        <v>14</v>
      </c>
      <c r="W15" s="706">
        <f t="shared" si="2"/>
        <v>100</v>
      </c>
      <c r="X15" s="1355"/>
      <c r="Y15" s="371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2"/>
      <c r="Q16" s="1352"/>
      <c r="R16" s="705"/>
      <c r="S16" s="706"/>
      <c r="T16" s="705"/>
      <c r="U16" s="706"/>
      <c r="V16" s="705"/>
      <c r="W16" s="706"/>
      <c r="X16" s="1355"/>
      <c r="Y16" s="371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2"/>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2"/>
      <c r="Q18" s="1352"/>
      <c r="R18" s="705"/>
      <c r="S18" s="706"/>
      <c r="T18" s="705"/>
      <c r="U18" s="706"/>
      <c r="V18" s="705"/>
      <c r="W18" s="706"/>
      <c r="X18" s="1355"/>
      <c r="Y18" s="371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2"/>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2"/>
      <c r="Q20" s="1352"/>
      <c r="R20" s="705"/>
      <c r="S20" s="706"/>
      <c r="T20" s="705"/>
      <c r="U20" s="706"/>
      <c r="V20" s="705"/>
      <c r="W20" s="706"/>
      <c r="X20" s="1355"/>
      <c r="Y20" s="371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2"/>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2"/>
      <c r="Q22" s="1352"/>
      <c r="R22" s="705"/>
      <c r="S22" s="706"/>
      <c r="T22" s="705"/>
      <c r="U22" s="706"/>
      <c r="V22" s="705"/>
      <c r="W22" s="706"/>
      <c r="X22" s="1355"/>
      <c r="Y22" s="371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2"/>
      <c r="Q23" s="1352" t="str">
        <f>B23</f>
        <v>环境质量</v>
      </c>
      <c r="R23" s="705" t="s">
        <v>14</v>
      </c>
      <c r="S23" s="706">
        <f>F23</f>
        <v>100</v>
      </c>
      <c r="T23" s="705" t="s">
        <v>14</v>
      </c>
      <c r="U23" s="706">
        <f>H23</f>
        <v>100</v>
      </c>
      <c r="V23" s="705" t="s">
        <v>14</v>
      </c>
      <c r="W23" s="706">
        <f>J23</f>
        <v>100</v>
      </c>
      <c r="X23" s="1355"/>
      <c r="Y23" s="371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2"/>
      <c r="Q24" s="1352"/>
      <c r="R24" s="705"/>
      <c r="S24" s="706"/>
      <c r="T24" s="705"/>
      <c r="U24" s="706"/>
      <c r="V24" s="705"/>
      <c r="W24" s="706"/>
      <c r="X24" s="1355"/>
      <c r="Y24" s="371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2"/>
      <c r="Q25" s="1352">
        <f>B25</f>
        <v>111</v>
      </c>
      <c r="R25" s="705" t="s">
        <v>14</v>
      </c>
      <c r="S25" s="706">
        <f>F25</f>
        <v>100</v>
      </c>
      <c r="T25" s="705" t="s">
        <v>14</v>
      </c>
      <c r="U25" s="706">
        <f>H25</f>
        <v>100</v>
      </c>
      <c r="V25" s="705" t="s">
        <v>14</v>
      </c>
      <c r="W25" s="706">
        <f>J25</f>
        <v>100</v>
      </c>
      <c r="X25" s="1355"/>
      <c r="Y25" s="371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2"/>
      <c r="Q26" s="1352">
        <f t="shared" ref="Q26:Q40" si="11">B26</f>
        <v>111</v>
      </c>
      <c r="R26" s="705" t="s">
        <v>14</v>
      </c>
      <c r="S26" s="706">
        <f>F26</f>
        <v>100</v>
      </c>
      <c r="T26" s="705" t="s">
        <v>14</v>
      </c>
      <c r="U26" s="706">
        <f>H26</f>
        <v>100</v>
      </c>
      <c r="V26" s="705" t="s">
        <v>14</v>
      </c>
      <c r="W26" s="706">
        <f>J26</f>
        <v>100</v>
      </c>
      <c r="X26" s="1355"/>
      <c r="Y26" s="371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2"/>
      <c r="Q27" s="1343">
        <f t="shared" si="11"/>
        <v>111</v>
      </c>
      <c r="R27" s="701" t="s">
        <v>14</v>
      </c>
      <c r="S27" s="702">
        <f>F27</f>
        <v>100</v>
      </c>
      <c r="T27" s="701" t="s">
        <v>14</v>
      </c>
      <c r="U27" s="702">
        <f>H27</f>
        <v>100</v>
      </c>
      <c r="V27" s="701" t="s">
        <v>14</v>
      </c>
      <c r="W27" s="702">
        <f>J27</f>
        <v>100</v>
      </c>
      <c r="X27" s="703"/>
      <c r="Y27" s="371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2"/>
      <c r="Q28" s="1352">
        <f t="shared" si="11"/>
        <v>111</v>
      </c>
      <c r="R28" s="705" t="s">
        <v>14</v>
      </c>
      <c r="S28" s="706">
        <f t="shared" ref="S28:S40" si="12">F28</f>
        <v>100</v>
      </c>
      <c r="T28" s="705" t="s">
        <v>14</v>
      </c>
      <c r="U28" s="706">
        <f t="shared" ref="U28:U40" si="13">H28</f>
        <v>100</v>
      </c>
      <c r="V28" s="705" t="s">
        <v>14</v>
      </c>
      <c r="W28" s="706">
        <f t="shared" ref="W28:W40" si="14">J28</f>
        <v>100</v>
      </c>
      <c r="X28" s="1355"/>
      <c r="Y28" s="3712"/>
      <c r="Z28" s="1356">
        <f t="shared" ref="Z28:Z40" si="15">Q28</f>
        <v>111</v>
      </c>
      <c r="AA28" s="1353">
        <f t="shared" si="3"/>
        <v>1</v>
      </c>
      <c r="AB28" s="1353">
        <f t="shared" si="4"/>
        <v>1</v>
      </c>
      <c r="AC28" s="1353">
        <f t="shared" si="5"/>
        <v>1</v>
      </c>
    </row>
    <row r="29" spans="1:29" ht="29.2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6" t="s">
        <v>1696</v>
      </c>
      <c r="Q29" s="1352" t="str">
        <f t="shared" si="11"/>
        <v>建筑类型</v>
      </c>
      <c r="R29" s="705" t="s">
        <v>14</v>
      </c>
      <c r="S29" s="706">
        <f t="shared" si="12"/>
        <v>100</v>
      </c>
      <c r="T29" s="705" t="s">
        <v>14</v>
      </c>
      <c r="U29" s="706">
        <f t="shared" si="13"/>
        <v>100</v>
      </c>
      <c r="V29" s="705" t="s">
        <v>14</v>
      </c>
      <c r="W29" s="706">
        <f t="shared" si="14"/>
        <v>100</v>
      </c>
      <c r="X29" s="1355"/>
      <c r="Y29" s="371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6"/>
      <c r="Q30" s="707" t="str">
        <f t="shared" si="11"/>
        <v>项目建筑规模</v>
      </c>
      <c r="R30" s="708" t="s">
        <v>14</v>
      </c>
      <c r="S30" s="709" t="e">
        <f t="shared" si="12"/>
        <v>#N/A</v>
      </c>
      <c r="T30" s="708" t="s">
        <v>14</v>
      </c>
      <c r="U30" s="709" t="e">
        <f t="shared" si="13"/>
        <v>#N/A</v>
      </c>
      <c r="V30" s="708" t="s">
        <v>14</v>
      </c>
      <c r="W30" s="709" t="e">
        <f t="shared" si="14"/>
        <v>#N/A</v>
      </c>
      <c r="X30" s="710"/>
      <c r="Y30" s="371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6"/>
      <c r="Q31" s="1352" t="str">
        <f t="shared" si="11"/>
        <v>建筑结构</v>
      </c>
      <c r="R31" s="705" t="s">
        <v>14</v>
      </c>
      <c r="S31" s="706">
        <f t="shared" si="12"/>
        <v>100</v>
      </c>
      <c r="T31" s="705" t="s">
        <v>14</v>
      </c>
      <c r="U31" s="706">
        <f t="shared" si="13"/>
        <v>100</v>
      </c>
      <c r="V31" s="705" t="s">
        <v>14</v>
      </c>
      <c r="W31" s="706">
        <f t="shared" si="14"/>
        <v>100</v>
      </c>
      <c r="X31" s="1355"/>
      <c r="Y31" s="371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6"/>
      <c r="Q32" s="1352" t="str">
        <f t="shared" si="11"/>
        <v>公共部分装修</v>
      </c>
      <c r="R32" s="705" t="s">
        <v>14</v>
      </c>
      <c r="S32" s="706">
        <f t="shared" si="12"/>
        <v>100</v>
      </c>
      <c r="T32" s="705" t="s">
        <v>14</v>
      </c>
      <c r="U32" s="706">
        <f t="shared" si="13"/>
        <v>100</v>
      </c>
      <c r="V32" s="705" t="s">
        <v>14</v>
      </c>
      <c r="W32" s="706">
        <f t="shared" si="14"/>
        <v>100</v>
      </c>
      <c r="X32" s="1355"/>
      <c r="Y32" s="371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6"/>
      <c r="Q33" s="1352" t="str">
        <f t="shared" si="11"/>
        <v>成新度</v>
      </c>
      <c r="R33" s="705" t="s">
        <v>14</v>
      </c>
      <c r="S33" s="706" t="e">
        <f t="shared" si="12"/>
        <v>#N/A</v>
      </c>
      <c r="T33" s="705" t="s">
        <v>14</v>
      </c>
      <c r="U33" s="706" t="e">
        <f t="shared" si="13"/>
        <v>#N/A</v>
      </c>
      <c r="V33" s="705" t="s">
        <v>14</v>
      </c>
      <c r="W33" s="706" t="e">
        <f t="shared" si="14"/>
        <v>#N/A</v>
      </c>
      <c r="X33" s="1355"/>
      <c r="Y33" s="371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6"/>
      <c r="Q34" s="1343" t="str">
        <f t="shared" si="11"/>
        <v>物业管理</v>
      </c>
      <c r="R34" s="701" t="s">
        <v>14</v>
      </c>
      <c r="S34" s="702">
        <f t="shared" si="12"/>
        <v>100</v>
      </c>
      <c r="T34" s="701" t="s">
        <v>14</v>
      </c>
      <c r="U34" s="702">
        <f t="shared" si="13"/>
        <v>100</v>
      </c>
      <c r="V34" s="701" t="s">
        <v>14</v>
      </c>
      <c r="W34" s="702">
        <f t="shared" si="14"/>
        <v>100</v>
      </c>
      <c r="X34" s="703"/>
      <c r="Y34" s="371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6" t="s">
        <v>1696</v>
      </c>
      <c r="Q35" s="1352" t="str">
        <f t="shared" si="11"/>
        <v>市政基础设施</v>
      </c>
      <c r="R35" s="705" t="s">
        <v>14</v>
      </c>
      <c r="S35" s="706">
        <f t="shared" si="12"/>
        <v>100</v>
      </c>
      <c r="T35" s="705" t="s">
        <v>14</v>
      </c>
      <c r="U35" s="706">
        <f t="shared" si="13"/>
        <v>100</v>
      </c>
      <c r="V35" s="705" t="s">
        <v>14</v>
      </c>
      <c r="W35" s="706">
        <f t="shared" si="14"/>
        <v>100</v>
      </c>
      <c r="X35" s="1355"/>
      <c r="Y35" s="371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6"/>
      <c r="Q36" s="1352" t="str">
        <f t="shared" si="11"/>
        <v>内部装修</v>
      </c>
      <c r="R36" s="705" t="s">
        <v>14</v>
      </c>
      <c r="S36" s="706">
        <f t="shared" si="12"/>
        <v>100</v>
      </c>
      <c r="T36" s="705" t="s">
        <v>14</v>
      </c>
      <c r="U36" s="706">
        <f t="shared" si="13"/>
        <v>100</v>
      </c>
      <c r="V36" s="705" t="s">
        <v>14</v>
      </c>
      <c r="W36" s="706">
        <f t="shared" si="14"/>
        <v>100</v>
      </c>
      <c r="X36" s="1355"/>
      <c r="Y36" s="371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6"/>
      <c r="Q37" s="1352" t="str">
        <f t="shared" si="11"/>
        <v>内部装修状况</v>
      </c>
      <c r="R37" s="705" t="s">
        <v>14</v>
      </c>
      <c r="S37" s="706">
        <f t="shared" si="12"/>
        <v>100</v>
      </c>
      <c r="T37" s="705" t="s">
        <v>14</v>
      </c>
      <c r="U37" s="706">
        <f t="shared" si="13"/>
        <v>100</v>
      </c>
      <c r="V37" s="705" t="s">
        <v>14</v>
      </c>
      <c r="W37" s="706">
        <f t="shared" si="14"/>
        <v>100</v>
      </c>
      <c r="X37" s="1355"/>
      <c r="Y37" s="371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6"/>
      <c r="Q38" s="707">
        <f t="shared" si="11"/>
        <v>111</v>
      </c>
      <c r="R38" s="708" t="s">
        <v>14</v>
      </c>
      <c r="S38" s="709">
        <f t="shared" si="12"/>
        <v>100</v>
      </c>
      <c r="T38" s="708" t="s">
        <v>14</v>
      </c>
      <c r="U38" s="709">
        <f t="shared" si="13"/>
        <v>100</v>
      </c>
      <c r="V38" s="708" t="s">
        <v>14</v>
      </c>
      <c r="W38" s="709">
        <f t="shared" si="14"/>
        <v>100</v>
      </c>
      <c r="X38" s="710"/>
      <c r="Y38" s="371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6"/>
      <c r="Q39" s="1352">
        <f t="shared" si="11"/>
        <v>111</v>
      </c>
      <c r="R39" s="705" t="s">
        <v>14</v>
      </c>
      <c r="S39" s="706">
        <f t="shared" si="12"/>
        <v>100</v>
      </c>
      <c r="T39" s="705" t="s">
        <v>14</v>
      </c>
      <c r="U39" s="706">
        <f t="shared" si="13"/>
        <v>100</v>
      </c>
      <c r="V39" s="705" t="s">
        <v>14</v>
      </c>
      <c r="W39" s="706">
        <f t="shared" si="14"/>
        <v>100</v>
      </c>
      <c r="X39" s="1355"/>
      <c r="Y39" s="371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7"/>
      <c r="Q40" s="1352">
        <f t="shared" si="11"/>
        <v>111</v>
      </c>
      <c r="R40" s="705" t="s">
        <v>14</v>
      </c>
      <c r="S40" s="706">
        <f t="shared" si="12"/>
        <v>100</v>
      </c>
      <c r="T40" s="705" t="s">
        <v>14</v>
      </c>
      <c r="U40" s="706">
        <f t="shared" si="13"/>
        <v>100</v>
      </c>
      <c r="V40" s="705" t="s">
        <v>14</v>
      </c>
      <c r="W40" s="706">
        <f t="shared" si="14"/>
        <v>100</v>
      </c>
      <c r="X40" s="1355"/>
      <c r="Y40" s="371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9" t="str">
        <f>A41</f>
        <v>成交单价（元/平方米）</v>
      </c>
      <c r="Q41" s="3709"/>
      <c r="R41" s="3710">
        <f>E41</f>
        <v>0</v>
      </c>
      <c r="S41" s="3710"/>
      <c r="T41" s="3710">
        <f>G41</f>
        <v>0</v>
      </c>
      <c r="U41" s="3710"/>
      <c r="V41" s="3710">
        <f>I41</f>
        <v>0</v>
      </c>
      <c r="W41" s="3710"/>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9" t="str">
        <f>A42</f>
        <v>比较价值（元/平方米）</v>
      </c>
      <c r="Q42" s="3709"/>
      <c r="R42" s="3710" t="e">
        <f>IF(F1="售价",ROUND(PRODUCT(R41,AA7:AA40),0),ROUND(PRODUCT(R41,AA7:AA40),1))</f>
        <v>#DIV/0!</v>
      </c>
      <c r="S42" s="3710"/>
      <c r="T42" s="3710" t="e">
        <f>IF(F1="售价",ROUND(PRODUCT(T41,AB7:AB40),0),ROUND(PRODUCT(T41,AB7:AB40),1))</f>
        <v>#DIV/0!</v>
      </c>
      <c r="U42" s="3710"/>
      <c r="V42" s="3710" t="e">
        <f>IF(F1="售价",ROUND(PRODUCT(V41,AC7:AC40),0),ROUND(PRODUCT(V41,AC7:AC40),1))</f>
        <v>#DIV/0!</v>
      </c>
      <c r="W42" s="371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6" t="str">
        <f>A43</f>
        <v>估价对象XX用房的比较价值（楼面单价，元/平方米）</v>
      </c>
      <c r="Q43" s="3707"/>
      <c r="R43" s="3708" t="e">
        <f>IF(F1="售价",ROUND(IF(D42="简单平均",AVERAGE(R42:V42),R42*F42+T42*H42+V42*J42),0),ROUND(IF(D42="简单平均",AVERAGE(R42:V42),R42*F42+T42*H42+V42*J42),1))</f>
        <v>#DIV/0!</v>
      </c>
      <c r="S43" s="3708"/>
      <c r="T43" s="3708"/>
      <c r="U43" s="3708"/>
      <c r="V43" s="3708"/>
      <c r="W43" s="3708"/>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3"/>
      <c r="M4" s="2714"/>
      <c r="N4" s="2714"/>
      <c r="O4" s="2714"/>
      <c r="P4" s="3696" t="s">
        <v>1775</v>
      </c>
      <c r="Q4" s="3697"/>
      <c r="R4" s="3678" t="s">
        <v>1771</v>
      </c>
      <c r="S4" s="3679"/>
      <c r="T4" s="3678" t="s">
        <v>1772</v>
      </c>
      <c r="U4" s="3679"/>
      <c r="V4" s="3704" t="s">
        <v>1773</v>
      </c>
      <c r="W4" s="3704"/>
      <c r="X4" s="1355"/>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2713"/>
      <c r="M5" s="2714"/>
      <c r="N5" s="2714"/>
      <c r="O5" s="2714"/>
      <c r="P5" s="3698"/>
      <c r="Q5" s="3699"/>
      <c r="R5" s="3680"/>
      <c r="S5" s="3681"/>
      <c r="T5" s="3680"/>
      <c r="U5" s="3681"/>
      <c r="V5" s="3704"/>
      <c r="W5" s="3704"/>
      <c r="X5" s="1355"/>
      <c r="Y5" s="3680"/>
      <c r="Z5" s="3681"/>
      <c r="AA5" s="3674"/>
      <c r="AB5" s="3674"/>
      <c r="AC5" s="3674"/>
    </row>
    <row r="6" spans="1:29" ht="15.75" thickBot="1">
      <c r="A6" s="360"/>
      <c r="B6" s="361"/>
      <c r="C6" s="3686" t="s">
        <v>1677</v>
      </c>
      <c r="D6" s="3687"/>
      <c r="E6" s="3689" t="s">
        <v>1677</v>
      </c>
      <c r="F6" s="3690"/>
      <c r="G6" s="3686" t="s">
        <v>1677</v>
      </c>
      <c r="H6" s="3687"/>
      <c r="I6" s="3686" t="s">
        <v>1677</v>
      </c>
      <c r="J6" s="3687"/>
      <c r="K6" s="559" t="s">
        <v>1678</v>
      </c>
      <c r="L6" s="2713"/>
      <c r="M6" s="2714"/>
      <c r="N6" s="2714"/>
      <c r="O6" s="2714"/>
      <c r="P6" s="3700"/>
      <c r="Q6" s="3701"/>
      <c r="R6" s="3680"/>
      <c r="S6" s="3681"/>
      <c r="T6" s="3702"/>
      <c r="U6" s="3703"/>
      <c r="V6" s="3704"/>
      <c r="W6" s="3704"/>
      <c r="X6" s="1355"/>
      <c r="Y6" s="3702"/>
      <c r="Z6" s="3703"/>
      <c r="AA6" s="3675"/>
      <c r="AB6" s="3675"/>
      <c r="AC6" s="3675"/>
    </row>
    <row r="7" spans="1:29" s="108" customFormat="1" ht="15.75" thickBot="1">
      <c r="A7" s="362" t="s">
        <v>1679</v>
      </c>
      <c r="B7" s="363"/>
      <c r="C7" s="364">
        <f>'数据-取费表'!B2</f>
        <v>45253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76" t="s">
        <v>1680</v>
      </c>
      <c r="Q7" s="3705"/>
      <c r="R7" s="701" t="s">
        <v>14</v>
      </c>
      <c r="S7" s="702">
        <f t="shared" ref="S7:S14" si="0">F7</f>
        <v>0</v>
      </c>
      <c r="T7" s="701" t="s">
        <v>14</v>
      </c>
      <c r="U7" s="702">
        <f t="shared" ref="U7:U14" si="1">H7</f>
        <v>0</v>
      </c>
      <c r="V7" s="701" t="s">
        <v>14</v>
      </c>
      <c r="W7" s="702">
        <f t="shared" ref="W7:W14"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76" t="s">
        <v>1683</v>
      </c>
      <c r="Q8" s="3677"/>
      <c r="R8" s="701" t="s">
        <v>14</v>
      </c>
      <c r="S8" s="702">
        <f t="shared" si="0"/>
        <v>100</v>
      </c>
      <c r="T8" s="701" t="s">
        <v>14</v>
      </c>
      <c r="U8" s="702">
        <f t="shared" si="1"/>
        <v>100</v>
      </c>
      <c r="V8" s="701" t="s">
        <v>14</v>
      </c>
      <c r="W8" s="702">
        <f t="shared" si="2"/>
        <v>100</v>
      </c>
      <c r="X8" s="703"/>
      <c r="Y8" s="3676" t="s">
        <v>1683</v>
      </c>
      <c r="Z8" s="367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09" t="s">
        <v>1686</v>
      </c>
      <c r="Q9" s="1343"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09"/>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09"/>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09"/>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09"/>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6.75">
      <c r="A14" s="355" t="s">
        <v>1690</v>
      </c>
      <c r="B14" s="577" t="s">
        <v>1833</v>
      </c>
      <c r="C14" s="1971" t="str">
        <f>IF(B1="工业",估价对象房地状况!G4,估价对象房地状况!C6)</f>
        <v>估价对象周边有兴33路、X101路、X103路、946路、957路等多条公共线路，距地铁大兴机场线（大兴新城站）约500米，地面可停车，综合评价交通便捷度一般</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11" t="s">
        <v>1691</v>
      </c>
      <c r="Q14" s="1352" t="str">
        <f t="shared" si="6"/>
        <v>交通便捷度</v>
      </c>
      <c r="R14" s="705" t="s">
        <v>14</v>
      </c>
      <c r="S14" s="706">
        <f t="shared" si="0"/>
        <v>100</v>
      </c>
      <c r="T14" s="705" t="s">
        <v>14</v>
      </c>
      <c r="U14" s="706">
        <f t="shared" si="1"/>
        <v>100</v>
      </c>
      <c r="V14" s="705" t="s">
        <v>14</v>
      </c>
      <c r="W14" s="706">
        <f t="shared" si="2"/>
        <v>100</v>
      </c>
      <c r="X14" s="1355"/>
      <c r="Y14" s="371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12"/>
      <c r="Q15" s="1352"/>
      <c r="R15" s="705"/>
      <c r="S15" s="706"/>
      <c r="T15" s="705"/>
      <c r="U15" s="706"/>
      <c r="V15" s="705"/>
      <c r="W15" s="706"/>
      <c r="X15" s="1355"/>
      <c r="Y15" s="3712"/>
      <c r="Z15" s="1356"/>
      <c r="AA15" s="1353">
        <v>1</v>
      </c>
      <c r="AB15" s="1353">
        <v>1</v>
      </c>
      <c r="AC15" s="1353">
        <v>1</v>
      </c>
    </row>
    <row r="16" spans="1:29" ht="42.75">
      <c r="A16" s="358"/>
      <c r="B16" s="579" t="s">
        <v>1812</v>
      </c>
      <c r="C16" s="1900" t="str">
        <f>IF(B1="工业",估价对象房地状况!G5,估价对象房地状况!C7)</f>
        <v>估价对象所在区域公共配套设施齐备</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12"/>
      <c r="Q16" s="1352" t="str">
        <f>B16</f>
        <v>公共配套设施</v>
      </c>
      <c r="R16" s="705" t="s">
        <v>14</v>
      </c>
      <c r="S16" s="706">
        <f>F16</f>
        <v>100</v>
      </c>
      <c r="T16" s="705" t="s">
        <v>14</v>
      </c>
      <c r="U16" s="706">
        <f>H16</f>
        <v>100</v>
      </c>
      <c r="V16" s="705" t="s">
        <v>14</v>
      </c>
      <c r="W16" s="706">
        <f>J16</f>
        <v>100</v>
      </c>
      <c r="X16" s="1355"/>
      <c r="Y16" s="371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712"/>
      <c r="Q17" s="1352"/>
      <c r="R17" s="705"/>
      <c r="S17" s="706"/>
      <c r="T17" s="705"/>
      <c r="U17" s="706"/>
      <c r="V17" s="705"/>
      <c r="W17" s="706"/>
      <c r="X17" s="1355"/>
      <c r="Y17" s="3712"/>
      <c r="Z17" s="1356"/>
      <c r="AA17" s="1353">
        <v>1</v>
      </c>
      <c r="AB17" s="1353">
        <v>1</v>
      </c>
      <c r="AC17" s="1353">
        <v>1</v>
      </c>
    </row>
    <row r="18" spans="1:29" ht="42.75">
      <c r="A18" s="358"/>
      <c r="B18" s="581" t="s">
        <v>1813</v>
      </c>
      <c r="C18" s="1900" t="str">
        <f>IF(B1="工业",估价对象房地状况!G6,估价对象房地状况!C8)</f>
        <v>估价对象所在区域基础设施水平达七通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12"/>
      <c r="Q18" s="1352" t="str">
        <f>B18</f>
        <v>基础设施水平</v>
      </c>
      <c r="R18" s="705" t="s">
        <v>14</v>
      </c>
      <c r="S18" s="706">
        <f>F18</f>
        <v>100</v>
      </c>
      <c r="T18" s="705" t="s">
        <v>14</v>
      </c>
      <c r="U18" s="706">
        <f>H18</f>
        <v>100</v>
      </c>
      <c r="V18" s="705" t="s">
        <v>14</v>
      </c>
      <c r="W18" s="706">
        <f>J18</f>
        <v>100</v>
      </c>
      <c r="X18" s="1355"/>
      <c r="Y18" s="371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712"/>
      <c r="Q19" s="1352"/>
      <c r="R19" s="705"/>
      <c r="S19" s="706"/>
      <c r="T19" s="705"/>
      <c r="U19" s="706"/>
      <c r="V19" s="705"/>
      <c r="W19" s="706"/>
      <c r="X19" s="1355"/>
      <c r="Y19" s="3712"/>
      <c r="Z19" s="1356"/>
      <c r="AA19" s="1353">
        <v>1</v>
      </c>
      <c r="AB19" s="1353">
        <v>1</v>
      </c>
      <c r="AC19" s="1353">
        <v>1</v>
      </c>
    </row>
    <row r="20" spans="1:29" ht="85.5">
      <c r="A20" s="358"/>
      <c r="B20" s="579" t="s">
        <v>1834</v>
      </c>
      <c r="C20" s="1900" t="str">
        <f>IF(B1="工业",估价对象房地状况!G7,估价对象房地状况!C9)</f>
        <v>区域自然环境：凤河、新凤河；人文环境：团河行宫遗址公园等；综合评价环境状况一般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12"/>
      <c r="Q20" s="1352" t="str">
        <f>B20</f>
        <v>自然及人文环境</v>
      </c>
      <c r="R20" s="705" t="s">
        <v>14</v>
      </c>
      <c r="S20" s="706">
        <f>F20</f>
        <v>100</v>
      </c>
      <c r="T20" s="705" t="s">
        <v>14</v>
      </c>
      <c r="U20" s="706">
        <f>H20</f>
        <v>100</v>
      </c>
      <c r="V20" s="705" t="s">
        <v>14</v>
      </c>
      <c r="W20" s="706">
        <f>J20</f>
        <v>100</v>
      </c>
      <c r="X20" s="1355"/>
      <c r="Y20" s="371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12"/>
      <c r="Q21" s="1352"/>
      <c r="R21" s="705"/>
      <c r="S21" s="706"/>
      <c r="T21" s="705"/>
      <c r="U21" s="706"/>
      <c r="V21" s="705"/>
      <c r="W21" s="706"/>
      <c r="X21" s="1355"/>
      <c r="Y21" s="371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12"/>
      <c r="Q22" s="1352" t="str">
        <f>B22</f>
        <v>楼层</v>
      </c>
      <c r="R22" s="705" t="s">
        <v>14</v>
      </c>
      <c r="S22" s="706">
        <f>F22</f>
        <v>100</v>
      </c>
      <c r="T22" s="705" t="s">
        <v>14</v>
      </c>
      <c r="U22" s="706">
        <f>H22</f>
        <v>100</v>
      </c>
      <c r="V22" s="705" t="s">
        <v>14</v>
      </c>
      <c r="W22" s="706">
        <f>J22</f>
        <v>100</v>
      </c>
      <c r="X22" s="1355"/>
      <c r="Y22" s="371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12"/>
      <c r="Q23" s="1352">
        <f>B23</f>
        <v>111</v>
      </c>
      <c r="R23" s="705" t="s">
        <v>14</v>
      </c>
      <c r="S23" s="706">
        <f>F23</f>
        <v>100</v>
      </c>
      <c r="T23" s="705" t="s">
        <v>14</v>
      </c>
      <c r="U23" s="706">
        <f>H23</f>
        <v>100</v>
      </c>
      <c r="V23" s="705" t="s">
        <v>14</v>
      </c>
      <c r="W23" s="706">
        <f>J23</f>
        <v>100</v>
      </c>
      <c r="X23" s="1355"/>
      <c r="Y23" s="371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12"/>
      <c r="Q24" s="1352">
        <f t="shared" ref="Q24:Q36" si="11">B24</f>
        <v>111</v>
      </c>
      <c r="R24" s="705" t="s">
        <v>14</v>
      </c>
      <c r="S24" s="706">
        <f>F24</f>
        <v>100</v>
      </c>
      <c r="T24" s="705" t="s">
        <v>14</v>
      </c>
      <c r="U24" s="706">
        <f>H24</f>
        <v>100</v>
      </c>
      <c r="V24" s="705" t="s">
        <v>14</v>
      </c>
      <c r="W24" s="706">
        <f>J24</f>
        <v>100</v>
      </c>
      <c r="X24" s="1355"/>
      <c r="Y24" s="371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12"/>
      <c r="Q25" s="1343">
        <f t="shared" si="11"/>
        <v>111</v>
      </c>
      <c r="R25" s="701" t="s">
        <v>14</v>
      </c>
      <c r="S25" s="702">
        <f>F25</f>
        <v>100</v>
      </c>
      <c r="T25" s="701" t="s">
        <v>14</v>
      </c>
      <c r="U25" s="702">
        <f>H25</f>
        <v>100</v>
      </c>
      <c r="V25" s="701" t="s">
        <v>14</v>
      </c>
      <c r="W25" s="702">
        <f>J25</f>
        <v>100</v>
      </c>
      <c r="X25" s="703"/>
      <c r="Y25" s="3712"/>
      <c r="Z25" s="52">
        <f>Q25</f>
        <v>111</v>
      </c>
      <c r="AA25" s="1353">
        <f>D25/F25</f>
        <v>1</v>
      </c>
      <c r="AB25" s="1353">
        <f>D25/H25</f>
        <v>1</v>
      </c>
      <c r="AC25" s="1353">
        <f>D25/J25</f>
        <v>1</v>
      </c>
    </row>
    <row r="26" spans="1:29" ht="29.2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16"/>
      <c r="Q27" s="707" t="str">
        <f t="shared" si="11"/>
        <v>项目停车位配比</v>
      </c>
      <c r="R27" s="708" t="s">
        <v>14</v>
      </c>
      <c r="S27" s="709">
        <f t="shared" si="12"/>
        <v>100</v>
      </c>
      <c r="T27" s="708" t="s">
        <v>14</v>
      </c>
      <c r="U27" s="709">
        <f t="shared" si="13"/>
        <v>100</v>
      </c>
      <c r="V27" s="708" t="s">
        <v>14</v>
      </c>
      <c r="W27" s="709">
        <f t="shared" si="14"/>
        <v>100</v>
      </c>
      <c r="X27" s="710"/>
      <c r="Y27" s="371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16"/>
      <c r="Q28" s="1352" t="str">
        <f t="shared" si="11"/>
        <v>公共部分装修</v>
      </c>
      <c r="R28" s="705" t="s">
        <v>14</v>
      </c>
      <c r="S28" s="706">
        <f t="shared" si="12"/>
        <v>100</v>
      </c>
      <c r="T28" s="705" t="s">
        <v>14</v>
      </c>
      <c r="U28" s="706">
        <f t="shared" si="13"/>
        <v>100</v>
      </c>
      <c r="V28" s="705" t="s">
        <v>14</v>
      </c>
      <c r="W28" s="706">
        <f t="shared" si="14"/>
        <v>100</v>
      </c>
      <c r="X28" s="1355"/>
      <c r="Y28" s="371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16"/>
      <c r="Q29" s="1352" t="str">
        <f t="shared" si="11"/>
        <v>成新率</v>
      </c>
      <c r="R29" s="705" t="s">
        <v>14</v>
      </c>
      <c r="S29" s="706" t="e">
        <f t="shared" si="12"/>
        <v>#N/A</v>
      </c>
      <c r="T29" s="705" t="s">
        <v>14</v>
      </c>
      <c r="U29" s="706" t="e">
        <f t="shared" si="13"/>
        <v>#N/A</v>
      </c>
      <c r="V29" s="705" t="s">
        <v>14</v>
      </c>
      <c r="W29" s="706" t="e">
        <f t="shared" si="14"/>
        <v>#N/A</v>
      </c>
      <c r="X29" s="1355"/>
      <c r="Y29" s="371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16"/>
      <c r="Q30" s="1352" t="str">
        <f t="shared" si="11"/>
        <v>物业等级</v>
      </c>
      <c r="R30" s="705" t="s">
        <v>14</v>
      </c>
      <c r="S30" s="706">
        <f t="shared" si="12"/>
        <v>100</v>
      </c>
      <c r="T30" s="705" t="s">
        <v>14</v>
      </c>
      <c r="U30" s="706">
        <f t="shared" si="13"/>
        <v>100</v>
      </c>
      <c r="V30" s="705" t="s">
        <v>14</v>
      </c>
      <c r="W30" s="706">
        <f t="shared" si="14"/>
        <v>100</v>
      </c>
      <c r="X30" s="1355"/>
      <c r="Y30" s="371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16"/>
      <c r="Q31" s="1343" t="str">
        <f t="shared" si="11"/>
        <v>停车位面积</v>
      </c>
      <c r="R31" s="701" t="s">
        <v>14</v>
      </c>
      <c r="S31" s="702" t="e">
        <f t="shared" si="12"/>
        <v>#N/A</v>
      </c>
      <c r="T31" s="701" t="s">
        <v>14</v>
      </c>
      <c r="U31" s="702" t="e">
        <f t="shared" si="13"/>
        <v>#N/A</v>
      </c>
      <c r="V31" s="701" t="s">
        <v>14</v>
      </c>
      <c r="W31" s="702" t="e">
        <f t="shared" si="14"/>
        <v>#N/A</v>
      </c>
      <c r="X31" s="703"/>
      <c r="Y31" s="371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16" t="s">
        <v>1696</v>
      </c>
      <c r="Q32" s="1352" t="str">
        <f t="shared" si="11"/>
        <v>车位类型</v>
      </c>
      <c r="R32" s="705" t="s">
        <v>14</v>
      </c>
      <c r="S32" s="706">
        <f t="shared" si="12"/>
        <v>100</v>
      </c>
      <c r="T32" s="705" t="s">
        <v>14</v>
      </c>
      <c r="U32" s="706">
        <f t="shared" si="13"/>
        <v>100</v>
      </c>
      <c r="V32" s="705" t="s">
        <v>14</v>
      </c>
      <c r="W32" s="706">
        <f t="shared" si="14"/>
        <v>100</v>
      </c>
      <c r="X32" s="1355"/>
      <c r="Y32" s="371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16"/>
      <c r="Q33" s="1352" t="str">
        <f t="shared" si="11"/>
        <v>是否直接入户</v>
      </c>
      <c r="R33" s="705" t="s">
        <v>14</v>
      </c>
      <c r="S33" s="706">
        <f t="shared" si="12"/>
        <v>100</v>
      </c>
      <c r="T33" s="705" t="s">
        <v>14</v>
      </c>
      <c r="U33" s="706">
        <f t="shared" si="13"/>
        <v>100</v>
      </c>
      <c r="V33" s="705" t="s">
        <v>14</v>
      </c>
      <c r="W33" s="706">
        <f t="shared" si="14"/>
        <v>100</v>
      </c>
      <c r="X33" s="1355"/>
      <c r="Y33" s="371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16"/>
      <c r="Q34" s="1352">
        <f t="shared" si="11"/>
        <v>111</v>
      </c>
      <c r="R34" s="705" t="s">
        <v>14</v>
      </c>
      <c r="S34" s="706">
        <f t="shared" si="12"/>
        <v>100</v>
      </c>
      <c r="T34" s="705" t="s">
        <v>14</v>
      </c>
      <c r="U34" s="706">
        <f t="shared" si="13"/>
        <v>100</v>
      </c>
      <c r="V34" s="705" t="s">
        <v>14</v>
      </c>
      <c r="W34" s="706">
        <f t="shared" si="14"/>
        <v>100</v>
      </c>
      <c r="X34" s="1355"/>
      <c r="Y34" s="371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16"/>
      <c r="Q35" s="707">
        <f t="shared" si="11"/>
        <v>111</v>
      </c>
      <c r="R35" s="708" t="s">
        <v>14</v>
      </c>
      <c r="S35" s="709">
        <f t="shared" si="12"/>
        <v>100</v>
      </c>
      <c r="T35" s="708" t="s">
        <v>14</v>
      </c>
      <c r="U35" s="709">
        <f t="shared" si="13"/>
        <v>100</v>
      </c>
      <c r="V35" s="708" t="s">
        <v>14</v>
      </c>
      <c r="W35" s="709">
        <f t="shared" si="14"/>
        <v>100</v>
      </c>
      <c r="X35" s="710"/>
      <c r="Y35" s="371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16"/>
      <c r="Q36" s="1352">
        <f t="shared" si="11"/>
        <v>111</v>
      </c>
      <c r="R36" s="705" t="s">
        <v>14</v>
      </c>
      <c r="S36" s="706">
        <f t="shared" si="12"/>
        <v>100</v>
      </c>
      <c r="T36" s="705" t="s">
        <v>14</v>
      </c>
      <c r="U36" s="706">
        <f t="shared" si="13"/>
        <v>100</v>
      </c>
      <c r="V36" s="705" t="s">
        <v>14</v>
      </c>
      <c r="W36" s="706">
        <f t="shared" si="14"/>
        <v>100</v>
      </c>
      <c r="X36" s="1355"/>
      <c r="Y36" s="3716"/>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2"/>
      <c r="M37" s="2723"/>
      <c r="N37" s="2714"/>
      <c r="O37" s="2723"/>
      <c r="P37" s="3709" t="str">
        <f>A37</f>
        <v>成交单价</v>
      </c>
      <c r="Q37" s="3709"/>
      <c r="R37" s="3710">
        <f>E37</f>
        <v>0</v>
      </c>
      <c r="S37" s="3710"/>
      <c r="T37" s="3710">
        <f>G37</f>
        <v>0</v>
      </c>
      <c r="U37" s="3710"/>
      <c r="V37" s="3710">
        <f>I37</f>
        <v>0</v>
      </c>
      <c r="W37" s="3710"/>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709" t="str">
        <f>A38</f>
        <v>比较价值（元/平方米）</v>
      </c>
      <c r="Q38" s="3709"/>
      <c r="R38" s="3710" t="e">
        <f>IF(F1="售价",ROUND(PRODUCT(R37,AA7:AA36),0),ROUND(PRODUCT(R37,AA7:AA36),1))</f>
        <v>#DIV/0!</v>
      </c>
      <c r="S38" s="3710"/>
      <c r="T38" s="3710" t="e">
        <f>IF(F1="售价",ROUND(PRODUCT(T37,AB7:AB36),0),ROUND(PRODUCT(T37,AB7:AB36),1))</f>
        <v>#DIV/0!</v>
      </c>
      <c r="U38" s="3710"/>
      <c r="V38" s="3710" t="e">
        <f>IF(F1="售价",ROUND(PRODUCT(V37,AC7:AC36),0),ROUND(PRODUCT(V37,AC7:AC36),1))</f>
        <v>#DIV/0!</v>
      </c>
      <c r="W38" s="371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2"/>
      <c r="M39" s="2723"/>
      <c r="N39" s="2723"/>
      <c r="O39" s="2723"/>
      <c r="P39" s="3706" t="str">
        <f>A39</f>
        <v>估价对象XX用房的比较价值（楼面单价，元/平方米）</v>
      </c>
      <c r="Q39" s="3707"/>
      <c r="R39" s="3737" t="e">
        <f>IF(F1="售价",ROUND(IF(D38="简单平均",AVERAGE(R38:W38),R38*F38+T38*H38+V38*J38),0),ROUND(IF(D38="简单平均",AVERAGE(R38:V38),R38*F38+T38*H38+V38*J38),1))</f>
        <v>#DIV/0!</v>
      </c>
      <c r="S39" s="3737"/>
      <c r="T39" s="3737"/>
      <c r="U39" s="3737"/>
      <c r="V39" s="3737"/>
      <c r="W39" s="3737"/>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3"/>
      <c r="M4" s="2714"/>
      <c r="N4" s="2714"/>
      <c r="O4" s="2714"/>
      <c r="P4" s="3696" t="s">
        <v>1775</v>
      </c>
      <c r="Q4" s="3697"/>
      <c r="R4" s="3678" t="s">
        <v>1771</v>
      </c>
      <c r="S4" s="3679"/>
      <c r="T4" s="3678" t="s">
        <v>1772</v>
      </c>
      <c r="U4" s="3679"/>
      <c r="V4" s="3704" t="s">
        <v>1773</v>
      </c>
      <c r="W4" s="3704"/>
      <c r="X4" s="1355"/>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2713"/>
      <c r="M5" s="2714"/>
      <c r="N5" s="2714"/>
      <c r="O5" s="2714"/>
      <c r="P5" s="3698"/>
      <c r="Q5" s="3699"/>
      <c r="R5" s="3680"/>
      <c r="S5" s="3681"/>
      <c r="T5" s="3680"/>
      <c r="U5" s="3681"/>
      <c r="V5" s="3704"/>
      <c r="W5" s="3704"/>
      <c r="X5" s="1355"/>
      <c r="Y5" s="3680"/>
      <c r="Z5" s="3681"/>
      <c r="AA5" s="3674"/>
      <c r="AB5" s="3674"/>
      <c r="AC5" s="3674"/>
    </row>
    <row r="6" spans="1:29" ht="15.75" thickBot="1">
      <c r="A6" s="360"/>
      <c r="B6" s="361"/>
      <c r="C6" s="3686" t="s">
        <v>1677</v>
      </c>
      <c r="D6" s="3687"/>
      <c r="E6" s="3689" t="s">
        <v>1677</v>
      </c>
      <c r="F6" s="3690"/>
      <c r="G6" s="3686" t="s">
        <v>1677</v>
      </c>
      <c r="H6" s="3687"/>
      <c r="I6" s="3686" t="s">
        <v>1677</v>
      </c>
      <c r="J6" s="3687"/>
      <c r="K6" s="559" t="s">
        <v>1678</v>
      </c>
      <c r="L6" s="2713"/>
      <c r="M6" s="2714"/>
      <c r="N6" s="2714"/>
      <c r="O6" s="2714"/>
      <c r="P6" s="3700"/>
      <c r="Q6" s="3701"/>
      <c r="R6" s="3680"/>
      <c r="S6" s="3681"/>
      <c r="T6" s="3702"/>
      <c r="U6" s="3703"/>
      <c r="V6" s="3704"/>
      <c r="W6" s="3704"/>
      <c r="X6" s="1355"/>
      <c r="Y6" s="3702"/>
      <c r="Z6" s="3703"/>
      <c r="AA6" s="3675"/>
      <c r="AB6" s="3675"/>
      <c r="AC6" s="3675"/>
    </row>
    <row r="7" spans="1:29" s="108" customFormat="1" ht="15.75" thickBot="1">
      <c r="A7" s="362" t="s">
        <v>1679</v>
      </c>
      <c r="B7" s="363"/>
      <c r="C7" s="364">
        <f>'数据-取费表'!B2</f>
        <v>45253</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76" t="s">
        <v>1680</v>
      </c>
      <c r="Q7" s="3705"/>
      <c r="R7" s="701" t="s">
        <v>14</v>
      </c>
      <c r="S7" s="702">
        <f t="shared" ref="S7:S14" si="0">F7</f>
        <v>0</v>
      </c>
      <c r="T7" s="701" t="s">
        <v>14</v>
      </c>
      <c r="U7" s="702">
        <f t="shared" ref="U7:U14" si="1">H7</f>
        <v>0</v>
      </c>
      <c r="V7" s="701" t="s">
        <v>14</v>
      </c>
      <c r="W7" s="702">
        <f t="shared" ref="W7:W14"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76" t="s">
        <v>1683</v>
      </c>
      <c r="Q8" s="3677"/>
      <c r="R8" s="701" t="s">
        <v>14</v>
      </c>
      <c r="S8" s="702">
        <f t="shared" si="0"/>
        <v>100</v>
      </c>
      <c r="T8" s="701" t="s">
        <v>14</v>
      </c>
      <c r="U8" s="702">
        <f t="shared" si="1"/>
        <v>100</v>
      </c>
      <c r="V8" s="701" t="s">
        <v>14</v>
      </c>
      <c r="W8" s="702">
        <f t="shared" si="2"/>
        <v>100</v>
      </c>
      <c r="X8" s="703"/>
      <c r="Y8" s="3676" t="s">
        <v>1683</v>
      </c>
      <c r="Z8" s="367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09" t="s">
        <v>1686</v>
      </c>
      <c r="Q9" s="1343"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09"/>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09"/>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09"/>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09"/>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6.75">
      <c r="A14" s="391" t="s">
        <v>1690</v>
      </c>
      <c r="B14" s="61" t="s">
        <v>1833</v>
      </c>
      <c r="C14" s="1971" t="str">
        <f>IF(B1="工业",估价对象房地状况!G4,估价对象房地状况!C6)</f>
        <v>估价对象周边有兴33路、X101路、X103路、946路、957路等多条公共线路，距地铁大兴机场线（大兴新城站）约500米，地面可停车，综合评价交通便捷度一般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11" t="s">
        <v>1691</v>
      </c>
      <c r="Q14" s="1352" t="str">
        <f t="shared" si="6"/>
        <v>交通便捷度</v>
      </c>
      <c r="R14" s="705" t="s">
        <v>14</v>
      </c>
      <c r="S14" s="706">
        <f t="shared" si="0"/>
        <v>100</v>
      </c>
      <c r="T14" s="705" t="s">
        <v>14</v>
      </c>
      <c r="U14" s="706">
        <f t="shared" si="1"/>
        <v>100</v>
      </c>
      <c r="V14" s="705" t="s">
        <v>14</v>
      </c>
      <c r="W14" s="706">
        <f t="shared" si="2"/>
        <v>100</v>
      </c>
      <c r="X14" s="1355"/>
      <c r="Y14" s="371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12"/>
      <c r="Q15" s="1352"/>
      <c r="R15" s="705"/>
      <c r="S15" s="706"/>
      <c r="T15" s="705"/>
      <c r="U15" s="706"/>
      <c r="V15" s="705"/>
      <c r="W15" s="706"/>
      <c r="X15" s="1355"/>
      <c r="Y15" s="3712"/>
      <c r="Z15" s="1356"/>
      <c r="AA15" s="1353">
        <v>1</v>
      </c>
      <c r="AB15" s="1353">
        <v>1</v>
      </c>
      <c r="AC15" s="1353">
        <v>1</v>
      </c>
    </row>
    <row r="16" spans="1:29" ht="42.75">
      <c r="A16" s="379"/>
      <c r="B16" s="402" t="s">
        <v>1812</v>
      </c>
      <c r="C16" s="1900" t="str">
        <f>IF(B1="工业",估价对象房地状况!G5,估价对象房地状况!C7)</f>
        <v>估价对象所在区域公共配套设施齐备</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12"/>
      <c r="Q16" s="1352" t="str">
        <f>B16</f>
        <v>公共配套设施</v>
      </c>
      <c r="R16" s="705" t="s">
        <v>14</v>
      </c>
      <c r="S16" s="706">
        <f>F16</f>
        <v>100</v>
      </c>
      <c r="T16" s="705" t="s">
        <v>14</v>
      </c>
      <c r="U16" s="706">
        <f>H16</f>
        <v>100</v>
      </c>
      <c r="V16" s="705" t="s">
        <v>14</v>
      </c>
      <c r="W16" s="706">
        <f>J16</f>
        <v>100</v>
      </c>
      <c r="X16" s="1355"/>
      <c r="Y16" s="371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712"/>
      <c r="Q17" s="1352"/>
      <c r="R17" s="705"/>
      <c r="S17" s="706"/>
      <c r="T17" s="705"/>
      <c r="U17" s="706"/>
      <c r="V17" s="705"/>
      <c r="W17" s="706"/>
      <c r="X17" s="1355"/>
      <c r="Y17" s="3712"/>
      <c r="Z17" s="1356"/>
      <c r="AA17" s="1353">
        <v>1</v>
      </c>
      <c r="AB17" s="1353">
        <v>1</v>
      </c>
      <c r="AC17" s="1353">
        <v>1</v>
      </c>
    </row>
    <row r="18" spans="1:29" ht="42.75">
      <c r="A18" s="379"/>
      <c r="B18" s="1131" t="s">
        <v>1813</v>
      </c>
      <c r="C18" s="1900" t="str">
        <f>IF(B1="工业",估价对象房地状况!G6,估价对象房地状况!C8)</f>
        <v>估价对象所在区域基础设施水平达七通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12"/>
      <c r="Q18" s="1352" t="str">
        <f>B18</f>
        <v>基础设施水平</v>
      </c>
      <c r="R18" s="705" t="s">
        <v>14</v>
      </c>
      <c r="S18" s="706">
        <f>F18</f>
        <v>100</v>
      </c>
      <c r="T18" s="705" t="s">
        <v>14</v>
      </c>
      <c r="U18" s="706">
        <f>H18</f>
        <v>100</v>
      </c>
      <c r="V18" s="705" t="s">
        <v>14</v>
      </c>
      <c r="W18" s="706">
        <f>J18</f>
        <v>100</v>
      </c>
      <c r="X18" s="1355"/>
      <c r="Y18" s="371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712"/>
      <c r="Q19" s="1352"/>
      <c r="R19" s="705"/>
      <c r="S19" s="706"/>
      <c r="T19" s="705"/>
      <c r="U19" s="706"/>
      <c r="V19" s="705"/>
      <c r="W19" s="706"/>
      <c r="X19" s="1355"/>
      <c r="Y19" s="3712"/>
      <c r="Z19" s="1356"/>
      <c r="AA19" s="1353">
        <v>1</v>
      </c>
      <c r="AB19" s="1353">
        <v>1</v>
      </c>
      <c r="AC19" s="1353">
        <v>1</v>
      </c>
    </row>
    <row r="20" spans="1:29" ht="85.5">
      <c r="A20" s="379"/>
      <c r="B20" s="402" t="s">
        <v>1834</v>
      </c>
      <c r="C20" s="1900" t="str">
        <f>IF(B1="工业",估价对象房地状况!G7,估价对象房地状况!C9)</f>
        <v>区域自然环境：凤河、新凤河；人文环境：团河行宫遗址公园等；综合评价环境状况一般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12"/>
      <c r="Q20" s="1352" t="str">
        <f>B20</f>
        <v>自然及人文环境</v>
      </c>
      <c r="R20" s="705" t="s">
        <v>14</v>
      </c>
      <c r="S20" s="706">
        <f>F20</f>
        <v>100</v>
      </c>
      <c r="T20" s="705" t="s">
        <v>14</v>
      </c>
      <c r="U20" s="706">
        <f>H20</f>
        <v>100</v>
      </c>
      <c r="V20" s="705" t="s">
        <v>14</v>
      </c>
      <c r="W20" s="706">
        <f>J20</f>
        <v>100</v>
      </c>
      <c r="X20" s="1355"/>
      <c r="Y20" s="371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12"/>
      <c r="Q21" s="1352"/>
      <c r="R21" s="705"/>
      <c r="S21" s="706"/>
      <c r="T21" s="705"/>
      <c r="U21" s="706"/>
      <c r="V21" s="705"/>
      <c r="W21" s="706"/>
      <c r="X21" s="1355"/>
      <c r="Y21" s="371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12"/>
      <c r="Q22" s="1352" t="str">
        <f>B22</f>
        <v>楼层</v>
      </c>
      <c r="R22" s="705" t="s">
        <v>14</v>
      </c>
      <c r="S22" s="706">
        <f>F22</f>
        <v>100</v>
      </c>
      <c r="T22" s="705" t="s">
        <v>14</v>
      </c>
      <c r="U22" s="706">
        <f>H22</f>
        <v>100</v>
      </c>
      <c r="V22" s="705" t="s">
        <v>14</v>
      </c>
      <c r="W22" s="706">
        <f>J22</f>
        <v>100</v>
      </c>
      <c r="X22" s="1355"/>
      <c r="Y22" s="371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12"/>
      <c r="Q23" s="1352">
        <f>B23</f>
        <v>111</v>
      </c>
      <c r="R23" s="705" t="s">
        <v>14</v>
      </c>
      <c r="S23" s="706">
        <f>F23</f>
        <v>100</v>
      </c>
      <c r="T23" s="705" t="s">
        <v>14</v>
      </c>
      <c r="U23" s="706">
        <f>H23</f>
        <v>100</v>
      </c>
      <c r="V23" s="705" t="s">
        <v>14</v>
      </c>
      <c r="W23" s="706">
        <f>J23</f>
        <v>100</v>
      </c>
      <c r="X23" s="1355"/>
      <c r="Y23" s="371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12"/>
      <c r="Q24" s="1352">
        <f t="shared" ref="Q24:Q34" si="11">B24</f>
        <v>111</v>
      </c>
      <c r="R24" s="705" t="s">
        <v>14</v>
      </c>
      <c r="S24" s="706">
        <f>F24</f>
        <v>100</v>
      </c>
      <c r="T24" s="705" t="s">
        <v>14</v>
      </c>
      <c r="U24" s="706">
        <f>H24</f>
        <v>100</v>
      </c>
      <c r="V24" s="705" t="s">
        <v>14</v>
      </c>
      <c r="W24" s="706">
        <f>J24</f>
        <v>100</v>
      </c>
      <c r="X24" s="1355"/>
      <c r="Y24" s="371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712"/>
      <c r="Q25" s="1343">
        <f t="shared" si="11"/>
        <v>111</v>
      </c>
      <c r="R25" s="701" t="s">
        <v>14</v>
      </c>
      <c r="S25" s="702">
        <f>F25</f>
        <v>100</v>
      </c>
      <c r="T25" s="701" t="s">
        <v>14</v>
      </c>
      <c r="U25" s="702">
        <f>H25</f>
        <v>100</v>
      </c>
      <c r="V25" s="701" t="s">
        <v>14</v>
      </c>
      <c r="W25" s="702">
        <f>J25</f>
        <v>100</v>
      </c>
      <c r="X25" s="703"/>
      <c r="Y25" s="3712"/>
      <c r="Z25" s="52">
        <f>Q25</f>
        <v>111</v>
      </c>
      <c r="AA25" s="1353">
        <f>D25/F25</f>
        <v>1</v>
      </c>
      <c r="AB25" s="1353">
        <f>D25/H25</f>
        <v>1</v>
      </c>
      <c r="AC25" s="1353">
        <f>D25/J25</f>
        <v>1</v>
      </c>
    </row>
    <row r="26" spans="1:29" ht="29.2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3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16"/>
      <c r="Q27" s="707" t="str">
        <f t="shared" si="11"/>
        <v>成新率</v>
      </c>
      <c r="R27" s="708" t="s">
        <v>14</v>
      </c>
      <c r="S27" s="709" t="e">
        <f t="shared" si="12"/>
        <v>#N/A</v>
      </c>
      <c r="T27" s="708" t="s">
        <v>14</v>
      </c>
      <c r="U27" s="709" t="e">
        <f t="shared" si="13"/>
        <v>#N/A</v>
      </c>
      <c r="V27" s="708" t="s">
        <v>14</v>
      </c>
      <c r="W27" s="709" t="e">
        <f t="shared" si="14"/>
        <v>#N/A</v>
      </c>
      <c r="X27" s="710"/>
      <c r="Y27" s="371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16"/>
      <c r="Q28" s="1352" t="str">
        <f t="shared" si="11"/>
        <v>物业等级</v>
      </c>
      <c r="R28" s="705" t="s">
        <v>14</v>
      </c>
      <c r="S28" s="706">
        <f t="shared" si="12"/>
        <v>100</v>
      </c>
      <c r="T28" s="705" t="s">
        <v>14</v>
      </c>
      <c r="U28" s="706">
        <f t="shared" si="13"/>
        <v>100</v>
      </c>
      <c r="V28" s="705" t="s">
        <v>14</v>
      </c>
      <c r="W28" s="706">
        <f t="shared" si="14"/>
        <v>100</v>
      </c>
      <c r="X28" s="1355"/>
      <c r="Y28" s="371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16"/>
      <c r="Q29" s="1352" t="str">
        <f t="shared" si="11"/>
        <v>有无电梯</v>
      </c>
      <c r="R29" s="705" t="s">
        <v>14</v>
      </c>
      <c r="S29" s="706">
        <f t="shared" si="12"/>
        <v>100</v>
      </c>
      <c r="T29" s="705" t="s">
        <v>14</v>
      </c>
      <c r="U29" s="706">
        <f t="shared" si="13"/>
        <v>100</v>
      </c>
      <c r="V29" s="705" t="s">
        <v>14</v>
      </c>
      <c r="W29" s="706">
        <f t="shared" si="14"/>
        <v>100</v>
      </c>
      <c r="X29" s="1355"/>
      <c r="Y29" s="371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16"/>
      <c r="Q30" s="1352" t="str">
        <f t="shared" si="11"/>
        <v>建筑面积</v>
      </c>
      <c r="R30" s="705" t="s">
        <v>14</v>
      </c>
      <c r="S30" s="706" t="e">
        <f t="shared" si="12"/>
        <v>#N/A</v>
      </c>
      <c r="T30" s="705" t="s">
        <v>14</v>
      </c>
      <c r="U30" s="706" t="e">
        <f t="shared" si="13"/>
        <v>#N/A</v>
      </c>
      <c r="V30" s="705" t="s">
        <v>14</v>
      </c>
      <c r="W30" s="706" t="e">
        <f t="shared" si="14"/>
        <v>#N/A</v>
      </c>
      <c r="X30" s="1355"/>
      <c r="Y30" s="371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16"/>
      <c r="Q31" s="1343" t="str">
        <f t="shared" si="11"/>
        <v>是否封闭</v>
      </c>
      <c r="R31" s="701" t="s">
        <v>14</v>
      </c>
      <c r="S31" s="702">
        <f t="shared" si="12"/>
        <v>100</v>
      </c>
      <c r="T31" s="701" t="s">
        <v>14</v>
      </c>
      <c r="U31" s="702">
        <f t="shared" si="13"/>
        <v>100</v>
      </c>
      <c r="V31" s="701" t="s">
        <v>14</v>
      </c>
      <c r="W31" s="702">
        <f t="shared" si="14"/>
        <v>100</v>
      </c>
      <c r="X31" s="703"/>
      <c r="Y31" s="371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16" t="s">
        <v>1696</v>
      </c>
      <c r="Q32" s="1352">
        <f t="shared" si="11"/>
        <v>111</v>
      </c>
      <c r="R32" s="705" t="s">
        <v>14</v>
      </c>
      <c r="S32" s="706">
        <f t="shared" si="12"/>
        <v>100</v>
      </c>
      <c r="T32" s="705" t="s">
        <v>14</v>
      </c>
      <c r="U32" s="706">
        <f t="shared" si="13"/>
        <v>100</v>
      </c>
      <c r="V32" s="705" t="s">
        <v>14</v>
      </c>
      <c r="W32" s="706">
        <f t="shared" si="14"/>
        <v>100</v>
      </c>
      <c r="X32" s="1355"/>
      <c r="Y32" s="371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16"/>
      <c r="Q33" s="1352">
        <f t="shared" si="11"/>
        <v>111</v>
      </c>
      <c r="R33" s="705" t="s">
        <v>14</v>
      </c>
      <c r="S33" s="706">
        <f t="shared" si="12"/>
        <v>100</v>
      </c>
      <c r="T33" s="705" t="s">
        <v>14</v>
      </c>
      <c r="U33" s="706">
        <f t="shared" si="13"/>
        <v>100</v>
      </c>
      <c r="V33" s="705" t="s">
        <v>14</v>
      </c>
      <c r="W33" s="706">
        <f t="shared" si="14"/>
        <v>100</v>
      </c>
      <c r="X33" s="1355"/>
      <c r="Y33" s="371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16"/>
      <c r="Q34" s="1352">
        <f t="shared" si="11"/>
        <v>111</v>
      </c>
      <c r="R34" s="705" t="s">
        <v>14</v>
      </c>
      <c r="S34" s="706">
        <f t="shared" si="12"/>
        <v>100</v>
      </c>
      <c r="T34" s="705" t="s">
        <v>14</v>
      </c>
      <c r="U34" s="706">
        <f t="shared" si="13"/>
        <v>100</v>
      </c>
      <c r="V34" s="705" t="s">
        <v>14</v>
      </c>
      <c r="W34" s="706">
        <f t="shared" si="14"/>
        <v>100</v>
      </c>
      <c r="X34" s="1355"/>
      <c r="Y34" s="371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709" t="str">
        <f>A35</f>
        <v>成交单价（元/平方米）</v>
      </c>
      <c r="Q35" s="3709"/>
      <c r="R35" s="3710">
        <f>E35</f>
        <v>0</v>
      </c>
      <c r="S35" s="3710"/>
      <c r="T35" s="3710">
        <f>G35</f>
        <v>0</v>
      </c>
      <c r="U35" s="3710"/>
      <c r="V35" s="3710">
        <f>I35</f>
        <v>0</v>
      </c>
      <c r="W35" s="3710"/>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709" t="str">
        <f>A36</f>
        <v>比较价值（元/平方米）</v>
      </c>
      <c r="Q36" s="3709"/>
      <c r="R36" s="3710" t="e">
        <f>IF(F1="售价",ROUND(PRODUCT(R35,AA7:AA34),0),ROUND(PRODUCT(R35,AA7:AA34),1))</f>
        <v>#DIV/0!</v>
      </c>
      <c r="S36" s="3710"/>
      <c r="T36" s="3710" t="e">
        <f>IF(F1="售价",ROUND(PRODUCT(T35,AB7:AB34),0),ROUND(PRODUCT(T35,AB7:AB34),1))</f>
        <v>#DIV/0!</v>
      </c>
      <c r="U36" s="3710"/>
      <c r="V36" s="3710" t="e">
        <f>IF(F1="售价",ROUND(PRODUCT(V35,AC7:AC34),0),ROUND(PRODUCT(V35,AC7:AC34),1))</f>
        <v>#DIV/0!</v>
      </c>
      <c r="W36" s="371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706" t="str">
        <f>A37</f>
        <v>估价对象XX用房的比较价值（楼面单价，元/平方米）</v>
      </c>
      <c r="Q37" s="3707"/>
      <c r="R37" s="3737" t="e">
        <f>IF(F1="售价",ROUND(IF(D36="简单平均",AVERAGE(R36:W36),R36*F36+T36*H36+V36*J36),0),ROUND(IF(D36="简单平均",AVERAGE(R36:V36),R36*F36+T36*H36+V36*J36),1))</f>
        <v>#DIV/0!</v>
      </c>
      <c r="S37" s="3737"/>
      <c r="T37" s="3737"/>
      <c r="U37" s="3737"/>
      <c r="V37" s="3737"/>
      <c r="W37" s="3737"/>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92" t="s">
        <v>1770</v>
      </c>
      <c r="D4" s="3693"/>
      <c r="E4" s="3694" t="s">
        <v>1771</v>
      </c>
      <c r="F4" s="3695"/>
      <c r="G4" s="3692" t="s">
        <v>1772</v>
      </c>
      <c r="H4" s="3693"/>
      <c r="I4" s="3692" t="s">
        <v>1773</v>
      </c>
      <c r="J4" s="3693"/>
      <c r="K4" s="559" t="s">
        <v>1774</v>
      </c>
      <c r="L4" s="2713"/>
      <c r="M4" s="2714"/>
      <c r="N4" s="2714"/>
      <c r="O4" s="2714"/>
      <c r="P4" s="3696" t="s">
        <v>1775</v>
      </c>
      <c r="Q4" s="3697"/>
      <c r="R4" s="3678" t="s">
        <v>1771</v>
      </c>
      <c r="S4" s="3679"/>
      <c r="T4" s="3678" t="s">
        <v>1772</v>
      </c>
      <c r="U4" s="3679"/>
      <c r="V4" s="3704" t="s">
        <v>1773</v>
      </c>
      <c r="W4" s="3704"/>
      <c r="X4" s="1355"/>
      <c r="Y4" s="3678" t="s">
        <v>1775</v>
      </c>
      <c r="Z4" s="3679"/>
      <c r="AA4" s="3673" t="s">
        <v>1771</v>
      </c>
      <c r="AB4" s="3674" t="s">
        <v>1772</v>
      </c>
      <c r="AC4" s="3673" t="s">
        <v>1773</v>
      </c>
    </row>
    <row r="5" spans="1:30" ht="15">
      <c r="A5" s="358"/>
      <c r="B5" s="359"/>
      <c r="C5" s="3688" t="s">
        <v>1673</v>
      </c>
      <c r="D5" s="3685"/>
      <c r="E5" s="3682" t="s">
        <v>1674</v>
      </c>
      <c r="F5" s="3683"/>
      <c r="G5" s="3688" t="s">
        <v>1675</v>
      </c>
      <c r="H5" s="3685"/>
      <c r="I5" s="3688" t="s">
        <v>1676</v>
      </c>
      <c r="J5" s="3685"/>
      <c r="K5" s="559"/>
      <c r="L5" s="2713"/>
      <c r="M5" s="2714"/>
      <c r="N5" s="2714"/>
      <c r="O5" s="2714"/>
      <c r="P5" s="3698"/>
      <c r="Q5" s="3699"/>
      <c r="R5" s="3680"/>
      <c r="S5" s="3681"/>
      <c r="T5" s="3680"/>
      <c r="U5" s="3681"/>
      <c r="V5" s="3704"/>
      <c r="W5" s="3704"/>
      <c r="X5" s="1355"/>
      <c r="Y5" s="3680"/>
      <c r="Z5" s="3681"/>
      <c r="AA5" s="3674"/>
      <c r="AB5" s="3674"/>
      <c r="AC5" s="3674"/>
    </row>
    <row r="6" spans="1:30" ht="15.75" thickBot="1">
      <c r="A6" s="360"/>
      <c r="B6" s="361"/>
      <c r="C6" s="3686" t="s">
        <v>1677</v>
      </c>
      <c r="D6" s="3687"/>
      <c r="E6" s="3689" t="s">
        <v>1677</v>
      </c>
      <c r="F6" s="3690"/>
      <c r="G6" s="3686" t="s">
        <v>1677</v>
      </c>
      <c r="H6" s="3687"/>
      <c r="I6" s="3686" t="s">
        <v>1677</v>
      </c>
      <c r="J6" s="3687"/>
      <c r="K6" s="559" t="s">
        <v>1678</v>
      </c>
      <c r="L6" s="2713"/>
      <c r="M6" s="2714"/>
      <c r="N6" s="2714"/>
      <c r="O6" s="2714"/>
      <c r="P6" s="3700"/>
      <c r="Q6" s="3701"/>
      <c r="R6" s="3680"/>
      <c r="S6" s="3681"/>
      <c r="T6" s="3702"/>
      <c r="U6" s="3703"/>
      <c r="V6" s="3704"/>
      <c r="W6" s="3704"/>
      <c r="X6" s="1355"/>
      <c r="Y6" s="3702"/>
      <c r="Z6" s="3703"/>
      <c r="AA6" s="3675"/>
      <c r="AB6" s="3675"/>
      <c r="AC6" s="3675"/>
    </row>
    <row r="7" spans="1:30" s="108" customFormat="1" ht="15.75" thickBot="1">
      <c r="A7" s="362" t="s">
        <v>1679</v>
      </c>
      <c r="B7" s="363"/>
      <c r="C7" s="364">
        <f>'数据-取费表'!B2</f>
        <v>45253</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76" t="s">
        <v>1683</v>
      </c>
      <c r="Q8" s="3677"/>
      <c r="R8" s="701" t="s">
        <v>14</v>
      </c>
      <c r="S8" s="702">
        <f t="shared" si="0"/>
        <v>0</v>
      </c>
      <c r="T8" s="701" t="s">
        <v>14</v>
      </c>
      <c r="U8" s="702">
        <f t="shared" si="1"/>
        <v>0</v>
      </c>
      <c r="V8" s="701" t="s">
        <v>14</v>
      </c>
      <c r="W8" s="702">
        <f t="shared" si="2"/>
        <v>0</v>
      </c>
      <c r="X8" s="703"/>
      <c r="Y8" s="3676" t="s">
        <v>1683</v>
      </c>
      <c r="Z8" s="367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09"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7"/>
      <c r="M10" s="2718"/>
      <c r="N10" s="2718"/>
      <c r="O10" s="2771"/>
      <c r="P10" s="3709"/>
      <c r="Q10" s="1343" t="str">
        <f t="shared" si="6"/>
        <v>土地使用年限（年）</v>
      </c>
      <c r="R10" s="701" t="s">
        <v>14</v>
      </c>
      <c r="S10" s="702" t="e">
        <f t="shared" si="0"/>
        <v>#DIV/0!</v>
      </c>
      <c r="T10" s="701" t="s">
        <v>14</v>
      </c>
      <c r="U10" s="702" t="e">
        <f t="shared" si="1"/>
        <v>#DIV/0!</v>
      </c>
      <c r="V10" s="701" t="s">
        <v>14</v>
      </c>
      <c r="W10" s="702" t="e">
        <f t="shared" si="2"/>
        <v>#DIV/0!</v>
      </c>
      <c r="X10" s="703"/>
      <c r="Y10" s="3620"/>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09"/>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09"/>
      <c r="Q12" s="1343" t="str">
        <f t="shared" si="6"/>
        <v>配建</v>
      </c>
      <c r="R12" s="701" t="s">
        <v>14</v>
      </c>
      <c r="S12" s="702">
        <f t="shared" si="0"/>
        <v>100</v>
      </c>
      <c r="T12" s="701" t="s">
        <v>14</v>
      </c>
      <c r="U12" s="702">
        <f t="shared" si="1"/>
        <v>100</v>
      </c>
      <c r="V12" s="701" t="s">
        <v>14</v>
      </c>
      <c r="W12" s="702">
        <f t="shared" si="2"/>
        <v>100</v>
      </c>
      <c r="X12" s="703"/>
      <c r="Y12" s="362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09"/>
      <c r="Q13" s="1343">
        <f t="shared" si="6"/>
        <v>111</v>
      </c>
      <c r="R13" s="701" t="s">
        <v>14</v>
      </c>
      <c r="S13" s="702">
        <f t="shared" si="0"/>
        <v>100</v>
      </c>
      <c r="T13" s="701" t="s">
        <v>14</v>
      </c>
      <c r="U13" s="702">
        <f t="shared" si="1"/>
        <v>100</v>
      </c>
      <c r="V13" s="701" t="s">
        <v>14</v>
      </c>
      <c r="W13" s="702">
        <f t="shared" si="2"/>
        <v>100</v>
      </c>
      <c r="X13" s="703"/>
      <c r="Y13" s="362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09"/>
      <c r="Q14" s="1343">
        <f t="shared" si="6"/>
        <v>111</v>
      </c>
      <c r="R14" s="701" t="s">
        <v>14</v>
      </c>
      <c r="S14" s="702">
        <f t="shared" si="0"/>
        <v>100</v>
      </c>
      <c r="T14" s="701" t="s">
        <v>14</v>
      </c>
      <c r="U14" s="702">
        <f t="shared" si="1"/>
        <v>100</v>
      </c>
      <c r="V14" s="701" t="s">
        <v>14</v>
      </c>
      <c r="W14" s="702">
        <f t="shared" si="2"/>
        <v>100</v>
      </c>
      <c r="X14" s="703"/>
      <c r="Y14" s="3620"/>
      <c r="Z14" s="52">
        <f t="shared" si="7"/>
        <v>111</v>
      </c>
      <c r="AA14" s="704">
        <f>D14/F14</f>
        <v>1</v>
      </c>
      <c r="AB14" s="704">
        <f>D14/H14</f>
        <v>1</v>
      </c>
      <c r="AC14" s="704">
        <f>D14/J14</f>
        <v>1</v>
      </c>
    </row>
    <row r="15" spans="1:30" ht="85.5">
      <c r="A15" s="391" t="s">
        <v>1690</v>
      </c>
      <c r="B15" s="61" t="s">
        <v>1257</v>
      </c>
      <c r="C15" s="1896" t="str">
        <f>估价对象房地状况!C15</f>
        <v>估价对象周边有团河苑小区、首座御园、新居里等社区，综合评价居住社区成熟度较好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11" t="s">
        <v>1691</v>
      </c>
      <c r="Q15" s="1352" t="str">
        <f t="shared" si="6"/>
        <v>居住社区成熟度</v>
      </c>
      <c r="R15" s="705" t="s">
        <v>14</v>
      </c>
      <c r="S15" s="706">
        <f t="shared" si="0"/>
        <v>100</v>
      </c>
      <c r="T15" s="705" t="s">
        <v>14</v>
      </c>
      <c r="U15" s="706">
        <f t="shared" si="1"/>
        <v>100</v>
      </c>
      <c r="V15" s="705" t="s">
        <v>14</v>
      </c>
      <c r="W15" s="706">
        <f t="shared" si="2"/>
        <v>100</v>
      </c>
      <c r="X15" s="1355"/>
      <c r="Y15" s="371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712"/>
      <c r="Q16" s="1352"/>
      <c r="R16" s="705"/>
      <c r="S16" s="706"/>
      <c r="T16" s="705"/>
      <c r="U16" s="706"/>
      <c r="V16" s="705"/>
      <c r="W16" s="706"/>
      <c r="X16" s="1355"/>
      <c r="Y16" s="371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12"/>
      <c r="Q17" s="1352" t="str">
        <f>B17</f>
        <v>商业繁华度</v>
      </c>
      <c r="R17" s="705" t="s">
        <v>14</v>
      </c>
      <c r="S17" s="706">
        <f>F17</f>
        <v>100</v>
      </c>
      <c r="T17" s="705" t="s">
        <v>14</v>
      </c>
      <c r="U17" s="706">
        <f>H17</f>
        <v>100</v>
      </c>
      <c r="V17" s="705" t="s">
        <v>14</v>
      </c>
      <c r="W17" s="706">
        <f>J17</f>
        <v>100</v>
      </c>
      <c r="X17" s="1355"/>
      <c r="Y17" s="371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712"/>
      <c r="Q18" s="1352"/>
      <c r="R18" s="705"/>
      <c r="S18" s="706"/>
      <c r="T18" s="705"/>
      <c r="U18" s="706"/>
      <c r="V18" s="705"/>
      <c r="W18" s="706"/>
      <c r="X18" s="1355"/>
      <c r="Y18" s="371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12"/>
      <c r="Q19" s="1352" t="str">
        <f>B19</f>
        <v>办公集聚程度</v>
      </c>
      <c r="R19" s="705" t="s">
        <v>14</v>
      </c>
      <c r="S19" s="706">
        <f>F19</f>
        <v>100</v>
      </c>
      <c r="T19" s="705" t="s">
        <v>14</v>
      </c>
      <c r="U19" s="706">
        <f>H19</f>
        <v>100</v>
      </c>
      <c r="V19" s="705" t="s">
        <v>14</v>
      </c>
      <c r="W19" s="706">
        <f>J19</f>
        <v>100</v>
      </c>
      <c r="X19" s="1355"/>
      <c r="Y19" s="371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712"/>
      <c r="Q20" s="1352"/>
      <c r="R20" s="705"/>
      <c r="S20" s="706"/>
      <c r="T20" s="705"/>
      <c r="U20" s="706"/>
      <c r="V20" s="705"/>
      <c r="W20" s="706"/>
      <c r="X20" s="1355"/>
      <c r="Y20" s="3712"/>
      <c r="Z20" s="1356"/>
      <c r="AA20" s="1353">
        <v>1</v>
      </c>
      <c r="AB20" s="1353">
        <v>1</v>
      </c>
      <c r="AC20" s="1353">
        <v>1</v>
      </c>
    </row>
    <row r="21" spans="1:29" ht="156.75">
      <c r="A21" s="379"/>
      <c r="B21" s="402" t="s">
        <v>1833</v>
      </c>
      <c r="C21" s="1900" t="str">
        <f>估价对象房地状况!C18</f>
        <v>估价对象周边有兴33路、X101路、X103路、946路、957路等多条公共线路，距地铁大兴机场线（大兴新城站）约500米，地面可停车，综合评价交通便捷度一般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12"/>
      <c r="Q21" s="1352" t="str">
        <f>B21</f>
        <v>交通便捷度</v>
      </c>
      <c r="R21" s="705" t="s">
        <v>14</v>
      </c>
      <c r="S21" s="706">
        <f>F21</f>
        <v>100</v>
      </c>
      <c r="T21" s="705" t="s">
        <v>14</v>
      </c>
      <c r="U21" s="706">
        <f>H21</f>
        <v>100</v>
      </c>
      <c r="V21" s="705" t="s">
        <v>14</v>
      </c>
      <c r="W21" s="706">
        <f>J21</f>
        <v>100</v>
      </c>
      <c r="X21" s="1355"/>
      <c r="Y21" s="371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712"/>
      <c r="Q22" s="1352"/>
      <c r="R22" s="705"/>
      <c r="S22" s="706"/>
      <c r="T22" s="705"/>
      <c r="U22" s="706"/>
      <c r="V22" s="705"/>
      <c r="W22" s="706"/>
      <c r="X22" s="1355"/>
      <c r="Y22" s="371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12"/>
      <c r="Q23" s="1352" t="str">
        <f t="shared" ref="Q23:Q37" si="8">B23</f>
        <v>区域土地利用方向</v>
      </c>
      <c r="R23" s="705" t="s">
        <v>14</v>
      </c>
      <c r="S23" s="706">
        <f>F23</f>
        <v>100</v>
      </c>
      <c r="T23" s="705" t="s">
        <v>14</v>
      </c>
      <c r="U23" s="706">
        <f>H23</f>
        <v>100</v>
      </c>
      <c r="V23" s="705" t="s">
        <v>14</v>
      </c>
      <c r="W23" s="706">
        <f>J23</f>
        <v>100</v>
      </c>
      <c r="X23" s="1355"/>
      <c r="Y23" s="371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712"/>
      <c r="Q24" s="1352"/>
      <c r="R24" s="705"/>
      <c r="S24" s="706"/>
      <c r="T24" s="705"/>
      <c r="U24" s="706"/>
      <c r="V24" s="705"/>
      <c r="W24" s="706"/>
      <c r="X24" s="1355"/>
      <c r="Y24" s="3712"/>
      <c r="Z24" s="1356"/>
      <c r="AA24" s="1353"/>
      <c r="AB24" s="1353"/>
      <c r="AC24" s="1353"/>
    </row>
    <row r="25" spans="1:29" ht="85.5">
      <c r="A25" s="358"/>
      <c r="B25" s="1131" t="s">
        <v>1872</v>
      </c>
      <c r="C25" s="1955" t="str">
        <f>估价对象房地状况!C20</f>
        <v>区域自然环境：凤河、新凤河；人文环境：团河行宫遗址公园等；综合评价环境状况一般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12"/>
      <c r="Q25" s="1352" t="str">
        <f t="shared" si="8"/>
        <v>自然及人文环境状况</v>
      </c>
      <c r="R25" s="705" t="s">
        <v>14</v>
      </c>
      <c r="S25" s="706">
        <f>F25</f>
        <v>100</v>
      </c>
      <c r="T25" s="705" t="s">
        <v>14</v>
      </c>
      <c r="U25" s="706">
        <f>H25</f>
        <v>100</v>
      </c>
      <c r="V25" s="705" t="s">
        <v>14</v>
      </c>
      <c r="W25" s="706">
        <f>J25</f>
        <v>100</v>
      </c>
      <c r="X25" s="1355"/>
      <c r="Y25" s="371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712"/>
      <c r="Q26" s="1352"/>
      <c r="R26" s="705"/>
      <c r="S26" s="706"/>
      <c r="T26" s="705"/>
      <c r="U26" s="706"/>
      <c r="V26" s="705"/>
      <c r="W26" s="706"/>
      <c r="X26" s="1355"/>
      <c r="Y26" s="3712"/>
      <c r="Z26" s="1356"/>
      <c r="AA26" s="1353">
        <v>1</v>
      </c>
      <c r="AB26" s="1353">
        <v>1</v>
      </c>
      <c r="AC26" s="1353">
        <v>1</v>
      </c>
    </row>
    <row r="27" spans="1:29" s="108" customFormat="1" ht="42.75">
      <c r="A27" s="597"/>
      <c r="B27" s="1131" t="s">
        <v>1778</v>
      </c>
      <c r="C27" s="1900" t="str">
        <f>估价对象房地状况!C21</f>
        <v>估价对象所在区域公共配套设施齐备</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12"/>
      <c r="Q27" s="1343" t="str">
        <f t="shared" si="8"/>
        <v>公共配套设施</v>
      </c>
      <c r="R27" s="701" t="s">
        <v>14</v>
      </c>
      <c r="S27" s="702">
        <f>F27</f>
        <v>100</v>
      </c>
      <c r="T27" s="701" t="s">
        <v>14</v>
      </c>
      <c r="U27" s="702">
        <f>H27</f>
        <v>100</v>
      </c>
      <c r="V27" s="701" t="s">
        <v>14</v>
      </c>
      <c r="W27" s="702">
        <f>J27</f>
        <v>100</v>
      </c>
      <c r="X27" s="703"/>
      <c r="Y27" s="371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712"/>
      <c r="Q28" s="1343"/>
      <c r="R28" s="701"/>
      <c r="S28" s="702"/>
      <c r="T28" s="701"/>
      <c r="U28" s="702"/>
      <c r="V28" s="701"/>
      <c r="W28" s="702"/>
      <c r="X28" s="703"/>
      <c r="Y28" s="3712"/>
      <c r="Z28" s="52"/>
      <c r="AA28" s="1353">
        <v>1</v>
      </c>
      <c r="AB28" s="1353">
        <v>1</v>
      </c>
      <c r="AC28" s="1353">
        <v>1</v>
      </c>
    </row>
    <row r="29" spans="1:29" s="108" customFormat="1" ht="42.75">
      <c r="A29" s="597"/>
      <c r="B29" s="1131" t="s">
        <v>1779</v>
      </c>
      <c r="C29" s="1900" t="str">
        <f>估价对象房地状况!C22</f>
        <v>估价对象所在区域基础设施水平达七通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12"/>
      <c r="Q29" s="1343" t="str">
        <f t="shared" ref="Q29" si="9">B29</f>
        <v>基础设施水平</v>
      </c>
      <c r="R29" s="701" t="s">
        <v>14</v>
      </c>
      <c r="S29" s="702">
        <f>F29</f>
        <v>100</v>
      </c>
      <c r="T29" s="701" t="s">
        <v>14</v>
      </c>
      <c r="U29" s="702">
        <f>H29</f>
        <v>100</v>
      </c>
      <c r="V29" s="701" t="s">
        <v>14</v>
      </c>
      <c r="W29" s="702">
        <f>J29</f>
        <v>100</v>
      </c>
      <c r="X29" s="703"/>
      <c r="Y29" s="371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712"/>
      <c r="Q30" s="1343"/>
      <c r="R30" s="701"/>
      <c r="S30" s="702"/>
      <c r="T30" s="701"/>
      <c r="U30" s="702"/>
      <c r="V30" s="701"/>
      <c r="W30" s="702"/>
      <c r="X30" s="703"/>
      <c r="Y30" s="371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1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12"/>
      <c r="Q32" s="1352" t="str">
        <f t="shared" si="8"/>
        <v>毗邻道路的类型与等级</v>
      </c>
      <c r="R32" s="705" t="s">
        <v>14</v>
      </c>
      <c r="S32" s="706">
        <f t="shared" si="10"/>
        <v>100</v>
      </c>
      <c r="T32" s="705" t="s">
        <v>14</v>
      </c>
      <c r="U32" s="706">
        <f t="shared" si="11"/>
        <v>100</v>
      </c>
      <c r="V32" s="705" t="s">
        <v>14</v>
      </c>
      <c r="W32" s="706">
        <f t="shared" si="12"/>
        <v>100</v>
      </c>
      <c r="X32" s="1355"/>
      <c r="Y32" s="371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712"/>
      <c r="Q33" s="1352"/>
      <c r="R33" s="705"/>
      <c r="S33" s="706"/>
      <c r="T33" s="705"/>
      <c r="U33" s="706"/>
      <c r="V33" s="705"/>
      <c r="W33" s="706"/>
      <c r="X33" s="1355"/>
      <c r="Y33" s="371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12"/>
      <c r="Q34" s="1352" t="str">
        <f t="shared" si="8"/>
        <v>土地级别</v>
      </c>
      <c r="R34" s="705" t="s">
        <v>14</v>
      </c>
      <c r="S34" s="706">
        <f t="shared" si="10"/>
        <v>100</v>
      </c>
      <c r="T34" s="705" t="s">
        <v>14</v>
      </c>
      <c r="U34" s="706">
        <f t="shared" si="11"/>
        <v>100</v>
      </c>
      <c r="V34" s="705" t="s">
        <v>14</v>
      </c>
      <c r="W34" s="706">
        <f t="shared" si="12"/>
        <v>100</v>
      </c>
      <c r="X34" s="1355"/>
      <c r="Y34" s="371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12"/>
      <c r="Q35" s="1352">
        <f t="shared" si="8"/>
        <v>111</v>
      </c>
      <c r="R35" s="705" t="s">
        <v>14</v>
      </c>
      <c r="S35" s="706">
        <f t="shared" si="10"/>
        <v>100</v>
      </c>
      <c r="T35" s="705" t="s">
        <v>14</v>
      </c>
      <c r="U35" s="706">
        <f t="shared" si="11"/>
        <v>100</v>
      </c>
      <c r="V35" s="705" t="s">
        <v>14</v>
      </c>
      <c r="W35" s="706">
        <f t="shared" si="12"/>
        <v>100</v>
      </c>
      <c r="X35" s="1355"/>
      <c r="Y35" s="371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6" t="s">
        <v>1696</v>
      </c>
      <c r="Q36" s="1352">
        <f t="shared" si="8"/>
        <v>111</v>
      </c>
      <c r="R36" s="705" t="s">
        <v>14</v>
      </c>
      <c r="S36" s="706">
        <f t="shared" si="10"/>
        <v>100</v>
      </c>
      <c r="T36" s="705" t="s">
        <v>14</v>
      </c>
      <c r="U36" s="706">
        <f t="shared" si="11"/>
        <v>100</v>
      </c>
      <c r="V36" s="705" t="s">
        <v>14</v>
      </c>
      <c r="W36" s="706">
        <f t="shared" si="12"/>
        <v>100</v>
      </c>
      <c r="X36" s="1355"/>
      <c r="Y36" s="371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16"/>
      <c r="Q37" s="1352">
        <f t="shared" si="8"/>
        <v>111</v>
      </c>
      <c r="R37" s="708" t="s">
        <v>14</v>
      </c>
      <c r="S37" s="709">
        <f t="shared" si="10"/>
        <v>100</v>
      </c>
      <c r="T37" s="708" t="s">
        <v>14</v>
      </c>
      <c r="U37" s="709">
        <f t="shared" si="11"/>
        <v>100</v>
      </c>
      <c r="V37" s="708" t="s">
        <v>14</v>
      </c>
      <c r="W37" s="709">
        <f t="shared" si="12"/>
        <v>100</v>
      </c>
      <c r="X37" s="710"/>
      <c r="Y37" s="371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16"/>
      <c r="Q38" s="1352" t="str">
        <f>B38</f>
        <v>宗地面积</v>
      </c>
      <c r="R38" s="705" t="s">
        <v>14</v>
      </c>
      <c r="S38" s="706" t="e">
        <f t="shared" si="10"/>
        <v>#N/A</v>
      </c>
      <c r="T38" s="705" t="s">
        <v>14</v>
      </c>
      <c r="U38" s="706" t="e">
        <f t="shared" si="11"/>
        <v>#N/A</v>
      </c>
      <c r="V38" s="705" t="s">
        <v>14</v>
      </c>
      <c r="W38" s="706" t="e">
        <f t="shared" si="12"/>
        <v>#N/A</v>
      </c>
      <c r="X38" s="1355"/>
      <c r="Y38" s="371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16"/>
      <c r="Q39" s="1352" t="str">
        <f t="shared" ref="Q39:Q45" si="14">B39</f>
        <v>宗地形状</v>
      </c>
      <c r="R39" s="705" t="s">
        <v>14</v>
      </c>
      <c r="S39" s="706">
        <f t="shared" si="10"/>
        <v>100</v>
      </c>
      <c r="T39" s="705" t="s">
        <v>14</v>
      </c>
      <c r="U39" s="706">
        <f t="shared" si="11"/>
        <v>100</v>
      </c>
      <c r="V39" s="705" t="s">
        <v>14</v>
      </c>
      <c r="W39" s="706">
        <f t="shared" si="12"/>
        <v>100</v>
      </c>
      <c r="X39" s="1355"/>
      <c r="Y39" s="371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16"/>
      <c r="Q40" s="1352" t="str">
        <f t="shared" si="14"/>
        <v>临街宽度及深度</v>
      </c>
      <c r="R40" s="705" t="s">
        <v>14</v>
      </c>
      <c r="S40" s="706">
        <f t="shared" si="10"/>
        <v>100</v>
      </c>
      <c r="T40" s="705" t="s">
        <v>14</v>
      </c>
      <c r="U40" s="706">
        <f t="shared" si="11"/>
        <v>100</v>
      </c>
      <c r="V40" s="705" t="s">
        <v>14</v>
      </c>
      <c r="W40" s="706">
        <f t="shared" si="12"/>
        <v>100</v>
      </c>
      <c r="X40" s="1355"/>
      <c r="Y40" s="371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16"/>
      <c r="Q41" s="1352" t="str">
        <f t="shared" si="14"/>
        <v>宗地开发程度</v>
      </c>
      <c r="R41" s="701" t="s">
        <v>14</v>
      </c>
      <c r="S41" s="702">
        <f t="shared" si="10"/>
        <v>100</v>
      </c>
      <c r="T41" s="701" t="s">
        <v>14</v>
      </c>
      <c r="U41" s="702">
        <f t="shared" si="11"/>
        <v>100</v>
      </c>
      <c r="V41" s="701" t="s">
        <v>14</v>
      </c>
      <c r="W41" s="702">
        <f t="shared" si="12"/>
        <v>100</v>
      </c>
      <c r="X41" s="703"/>
      <c r="Y41" s="371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16" t="s">
        <v>1696</v>
      </c>
      <c r="Q42" s="1352" t="str">
        <f t="shared" si="14"/>
        <v>工程地质条件</v>
      </c>
      <c r="R42" s="705" t="s">
        <v>14</v>
      </c>
      <c r="S42" s="706">
        <f t="shared" si="10"/>
        <v>100</v>
      </c>
      <c r="T42" s="705" t="s">
        <v>14</v>
      </c>
      <c r="U42" s="706">
        <f t="shared" si="11"/>
        <v>100</v>
      </c>
      <c r="V42" s="705" t="s">
        <v>14</v>
      </c>
      <c r="W42" s="706">
        <f t="shared" si="12"/>
        <v>100</v>
      </c>
      <c r="X42" s="1355"/>
      <c r="Y42" s="371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16"/>
      <c r="Q43" s="1352">
        <f t="shared" si="14"/>
        <v>111</v>
      </c>
      <c r="R43" s="705" t="s">
        <v>14</v>
      </c>
      <c r="S43" s="706">
        <f t="shared" si="10"/>
        <v>100</v>
      </c>
      <c r="T43" s="705" t="s">
        <v>14</v>
      </c>
      <c r="U43" s="706">
        <f t="shared" si="11"/>
        <v>100</v>
      </c>
      <c r="V43" s="705" t="s">
        <v>14</v>
      </c>
      <c r="W43" s="706">
        <f t="shared" si="12"/>
        <v>100</v>
      </c>
      <c r="X43" s="1355"/>
      <c r="Y43" s="371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16"/>
      <c r="Q44" s="1352">
        <f t="shared" si="14"/>
        <v>111</v>
      </c>
      <c r="R44" s="705" t="s">
        <v>14</v>
      </c>
      <c r="S44" s="706">
        <f t="shared" si="10"/>
        <v>100</v>
      </c>
      <c r="T44" s="705" t="s">
        <v>14</v>
      </c>
      <c r="U44" s="706">
        <f t="shared" si="11"/>
        <v>100</v>
      </c>
      <c r="V44" s="705" t="s">
        <v>14</v>
      </c>
      <c r="W44" s="706">
        <f t="shared" si="12"/>
        <v>100</v>
      </c>
      <c r="X44" s="1355"/>
      <c r="Y44" s="371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16"/>
      <c r="Q45" s="1352">
        <f t="shared" si="14"/>
        <v>111</v>
      </c>
      <c r="R45" s="708" t="s">
        <v>14</v>
      </c>
      <c r="S45" s="709">
        <f t="shared" si="10"/>
        <v>100</v>
      </c>
      <c r="T45" s="708" t="s">
        <v>14</v>
      </c>
      <c r="U45" s="709">
        <f t="shared" si="11"/>
        <v>100</v>
      </c>
      <c r="V45" s="708" t="s">
        <v>14</v>
      </c>
      <c r="W45" s="709">
        <f t="shared" si="12"/>
        <v>100</v>
      </c>
      <c r="X45" s="710"/>
      <c r="Y45" s="371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709" t="str">
        <f>A46</f>
        <v>成交单价</v>
      </c>
      <c r="Q46" s="3709"/>
      <c r="R46" s="3704">
        <f>E46</f>
        <v>0</v>
      </c>
      <c r="S46" s="3704"/>
      <c r="T46" s="3704">
        <f>G46</f>
        <v>0</v>
      </c>
      <c r="U46" s="3704"/>
      <c r="V46" s="3704">
        <f>I46</f>
        <v>0</v>
      </c>
      <c r="W46" s="370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709" t="str">
        <f>A47</f>
        <v>比较价值（元/平方米）</v>
      </c>
      <c r="Q47" s="3709"/>
      <c r="R47" s="3738" t="e">
        <f>ROUND(PRODUCT(R46,AA7:AA45),0)</f>
        <v>#DIV/0!</v>
      </c>
      <c r="S47" s="3738"/>
      <c r="T47" s="3738" t="e">
        <f>ROUND(PRODUCT(T46,AB7:AB45),0)</f>
        <v>#DIV/0!</v>
      </c>
      <c r="U47" s="3738"/>
      <c r="V47" s="3738" t="e">
        <f>ROUND(PRODUCT(V46,AC7:AC45),0)</f>
        <v>#DIV/0!</v>
      </c>
      <c r="W47" s="373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706" t="str">
        <f>A48</f>
        <v>估价对象XX用房的比较价值（楼面单价，元/平方米）</v>
      </c>
      <c r="Q48" s="3707"/>
      <c r="R48" s="3739" t="e">
        <f>ROUND(IF(D47="简单平均",AVERAGE(R47:W47),R47*F47+T47*H47+V47*J47),0)</f>
        <v>#DIV/0!</v>
      </c>
      <c r="S48" s="3739"/>
      <c r="T48" s="3739"/>
      <c r="U48" s="3739"/>
      <c r="V48" s="3739"/>
      <c r="W48" s="3739"/>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92" t="s">
        <v>1887</v>
      </c>
      <c r="H55" s="3740"/>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10000</v>
      </c>
      <c r="F56" s="886" t="e">
        <f t="shared" ref="F56:F64" si="15">ROUND(B56*E56/10000,0)</f>
        <v>#DIV/0!</v>
      </c>
      <c r="G56" s="3691"/>
      <c r="H56" s="3709"/>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10000</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3"/>
      <c r="M4" s="2714"/>
      <c r="N4" s="2714"/>
      <c r="O4" s="2714"/>
      <c r="P4" s="3696" t="s">
        <v>1775</v>
      </c>
      <c r="Q4" s="3697"/>
      <c r="R4" s="3678" t="s">
        <v>1771</v>
      </c>
      <c r="S4" s="3679"/>
      <c r="T4" s="3678" t="s">
        <v>1772</v>
      </c>
      <c r="U4" s="3679"/>
      <c r="V4" s="3704" t="s">
        <v>1773</v>
      </c>
      <c r="W4" s="3704"/>
      <c r="X4" s="1355"/>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2713"/>
      <c r="M5" s="2714"/>
      <c r="N5" s="2714"/>
      <c r="O5" s="2714"/>
      <c r="P5" s="3698"/>
      <c r="Q5" s="3699"/>
      <c r="R5" s="3680"/>
      <c r="S5" s="3681"/>
      <c r="T5" s="3680"/>
      <c r="U5" s="3681"/>
      <c r="V5" s="3704"/>
      <c r="W5" s="3704"/>
      <c r="X5" s="1355"/>
      <c r="Y5" s="3680"/>
      <c r="Z5" s="3681"/>
      <c r="AA5" s="3674"/>
      <c r="AB5" s="3674"/>
      <c r="AC5" s="3674"/>
    </row>
    <row r="6" spans="1:29" ht="15.75" thickBot="1">
      <c r="A6" s="360"/>
      <c r="B6" s="361"/>
      <c r="C6" s="3741" t="s">
        <v>1919</v>
      </c>
      <c r="D6" s="3742"/>
      <c r="E6" s="3743" t="s">
        <v>1919</v>
      </c>
      <c r="F6" s="3744"/>
      <c r="G6" s="3741" t="s">
        <v>1919</v>
      </c>
      <c r="H6" s="3742"/>
      <c r="I6" s="3741" t="s">
        <v>1919</v>
      </c>
      <c r="J6" s="3742"/>
      <c r="K6" s="559" t="s">
        <v>1678</v>
      </c>
      <c r="L6" s="2713"/>
      <c r="M6" s="2714"/>
      <c r="N6" s="2714"/>
      <c r="O6" s="2714"/>
      <c r="P6" s="3700"/>
      <c r="Q6" s="3701"/>
      <c r="R6" s="3680"/>
      <c r="S6" s="3681"/>
      <c r="T6" s="3702"/>
      <c r="U6" s="3703"/>
      <c r="V6" s="3704"/>
      <c r="W6" s="3704"/>
      <c r="X6" s="1355"/>
      <c r="Y6" s="3702"/>
      <c r="Z6" s="3703"/>
      <c r="AA6" s="3675"/>
      <c r="AB6" s="3675"/>
      <c r="AC6" s="3675"/>
    </row>
    <row r="7" spans="1:29" s="108" customFormat="1" ht="15.75" thickBot="1">
      <c r="A7" s="362" t="s">
        <v>1679</v>
      </c>
      <c r="B7" s="363"/>
      <c r="C7" s="364">
        <f>'数据-取费表'!B2</f>
        <v>45253</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76" t="s">
        <v>1683</v>
      </c>
      <c r="Q8" s="3677"/>
      <c r="R8" s="701" t="s">
        <v>14</v>
      </c>
      <c r="S8" s="702">
        <f t="shared" si="0"/>
        <v>0</v>
      </c>
      <c r="T8" s="701" t="s">
        <v>14</v>
      </c>
      <c r="U8" s="702">
        <f t="shared" si="1"/>
        <v>0</v>
      </c>
      <c r="V8" s="701" t="s">
        <v>14</v>
      </c>
      <c r="W8" s="702">
        <f t="shared" si="2"/>
        <v>0</v>
      </c>
      <c r="X8" s="703"/>
      <c r="Y8" s="3676" t="s">
        <v>1683</v>
      </c>
      <c r="Z8" s="367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09"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7"/>
      <c r="M10" s="2718"/>
      <c r="N10" s="2718"/>
      <c r="O10" s="2771"/>
      <c r="P10" s="3709"/>
      <c r="Q10" s="1343" t="str">
        <f t="shared" si="6"/>
        <v>土地使用年限（年）</v>
      </c>
      <c r="R10" s="701" t="s">
        <v>14</v>
      </c>
      <c r="S10" s="702" t="e">
        <f t="shared" si="0"/>
        <v>#DIV/0!</v>
      </c>
      <c r="T10" s="701" t="s">
        <v>14</v>
      </c>
      <c r="U10" s="702" t="e">
        <f t="shared" si="1"/>
        <v>#DIV/0!</v>
      </c>
      <c r="V10" s="701" t="s">
        <v>14</v>
      </c>
      <c r="W10" s="702" t="e">
        <f t="shared" si="2"/>
        <v>#DIV/0!</v>
      </c>
      <c r="X10" s="703"/>
      <c r="Y10" s="3620"/>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09"/>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09"/>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09"/>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09"/>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11" t="s">
        <v>1691</v>
      </c>
      <c r="Q15" s="1352" t="str">
        <f t="shared" si="6"/>
        <v>产业集聚程度</v>
      </c>
      <c r="R15" s="705" t="s">
        <v>14</v>
      </c>
      <c r="S15" s="706">
        <f t="shared" si="0"/>
        <v>100</v>
      </c>
      <c r="T15" s="705" t="s">
        <v>14</v>
      </c>
      <c r="U15" s="706">
        <f t="shared" si="1"/>
        <v>100</v>
      </c>
      <c r="V15" s="705" t="s">
        <v>14</v>
      </c>
      <c r="W15" s="706">
        <f t="shared" si="2"/>
        <v>100</v>
      </c>
      <c r="X15" s="1355"/>
      <c r="Y15" s="371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712"/>
      <c r="Q16" s="1352"/>
      <c r="R16" s="705"/>
      <c r="S16" s="706"/>
      <c r="T16" s="705"/>
      <c r="U16" s="706"/>
      <c r="V16" s="705"/>
      <c r="W16" s="706"/>
      <c r="X16" s="1355"/>
      <c r="Y16" s="371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12"/>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712"/>
      <c r="Q18" s="1352"/>
      <c r="R18" s="705"/>
      <c r="S18" s="706"/>
      <c r="T18" s="705"/>
      <c r="U18" s="706"/>
      <c r="V18" s="705"/>
      <c r="W18" s="706"/>
      <c r="X18" s="1355"/>
      <c r="Y18" s="371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12"/>
      <c r="Q19" s="1352" t="str">
        <f t="shared" ref="Q19:Q33" si="8">B19</f>
        <v>区域土地利用方向</v>
      </c>
      <c r="R19" s="705" t="s">
        <v>14</v>
      </c>
      <c r="S19" s="706">
        <f>F19</f>
        <v>100</v>
      </c>
      <c r="T19" s="705" t="s">
        <v>14</v>
      </c>
      <c r="U19" s="706">
        <f>H19</f>
        <v>100</v>
      </c>
      <c r="V19" s="705" t="s">
        <v>14</v>
      </c>
      <c r="W19" s="706">
        <f>J19</f>
        <v>100</v>
      </c>
      <c r="X19" s="1355"/>
      <c r="Y19" s="371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712"/>
      <c r="Q20" s="1352"/>
      <c r="R20" s="705"/>
      <c r="S20" s="706"/>
      <c r="T20" s="705"/>
      <c r="U20" s="706"/>
      <c r="V20" s="705"/>
      <c r="W20" s="706"/>
      <c r="X20" s="1355"/>
      <c r="Y20" s="371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12"/>
      <c r="Q21" s="1352" t="str">
        <f t="shared" si="8"/>
        <v>环境状况</v>
      </c>
      <c r="R21" s="705" t="s">
        <v>14</v>
      </c>
      <c r="S21" s="706">
        <f>F21</f>
        <v>100</v>
      </c>
      <c r="T21" s="705" t="s">
        <v>14</v>
      </c>
      <c r="U21" s="706">
        <f>H21</f>
        <v>100</v>
      </c>
      <c r="V21" s="705" t="s">
        <v>14</v>
      </c>
      <c r="W21" s="706">
        <f>J21</f>
        <v>100</v>
      </c>
      <c r="X21" s="1355"/>
      <c r="Y21" s="371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712"/>
      <c r="Q22" s="1352"/>
      <c r="R22" s="705"/>
      <c r="S22" s="706"/>
      <c r="T22" s="705"/>
      <c r="U22" s="706"/>
      <c r="V22" s="705"/>
      <c r="W22" s="706"/>
      <c r="X22" s="1355"/>
      <c r="Y22" s="371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12"/>
      <c r="Q23" s="1343" t="str">
        <f t="shared" si="8"/>
        <v>公共配套设施</v>
      </c>
      <c r="R23" s="701" t="s">
        <v>14</v>
      </c>
      <c r="S23" s="702">
        <f>F23</f>
        <v>100</v>
      </c>
      <c r="T23" s="701" t="s">
        <v>14</v>
      </c>
      <c r="U23" s="702">
        <f>H23</f>
        <v>100</v>
      </c>
      <c r="V23" s="701" t="s">
        <v>14</v>
      </c>
      <c r="W23" s="702">
        <f>J23</f>
        <v>100</v>
      </c>
      <c r="X23" s="703"/>
      <c r="Y23" s="371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712"/>
      <c r="Q24" s="1343"/>
      <c r="R24" s="701"/>
      <c r="S24" s="702"/>
      <c r="T24" s="701"/>
      <c r="U24" s="702"/>
      <c r="V24" s="701"/>
      <c r="W24" s="702"/>
      <c r="X24" s="703"/>
      <c r="Y24" s="371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12"/>
      <c r="Q25" s="1343" t="str">
        <f t="shared" ref="Q25" si="9">B25</f>
        <v>基础设施水平</v>
      </c>
      <c r="R25" s="701" t="s">
        <v>14</v>
      </c>
      <c r="S25" s="702">
        <f>F25</f>
        <v>100</v>
      </c>
      <c r="T25" s="701" t="s">
        <v>14</v>
      </c>
      <c r="U25" s="702">
        <f>H25</f>
        <v>100</v>
      </c>
      <c r="V25" s="701" t="s">
        <v>14</v>
      </c>
      <c r="W25" s="702">
        <f>J25</f>
        <v>100</v>
      </c>
      <c r="X25" s="703"/>
      <c r="Y25" s="371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712"/>
      <c r="Q26" s="1343"/>
      <c r="R26" s="701"/>
      <c r="S26" s="702"/>
      <c r="T26" s="701"/>
      <c r="U26" s="702"/>
      <c r="V26" s="701"/>
      <c r="W26" s="702"/>
      <c r="X26" s="703"/>
      <c r="Y26" s="371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1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12"/>
      <c r="Q28" s="1352" t="str">
        <f t="shared" si="8"/>
        <v>毗邻道路的类型与等级</v>
      </c>
      <c r="R28" s="705" t="s">
        <v>14</v>
      </c>
      <c r="S28" s="706">
        <f t="shared" si="10"/>
        <v>100</v>
      </c>
      <c r="T28" s="705" t="s">
        <v>14</v>
      </c>
      <c r="U28" s="706">
        <f t="shared" si="11"/>
        <v>100</v>
      </c>
      <c r="V28" s="705" t="s">
        <v>14</v>
      </c>
      <c r="W28" s="706">
        <f t="shared" si="12"/>
        <v>100</v>
      </c>
      <c r="X28" s="1355"/>
      <c r="Y28" s="371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712"/>
      <c r="Q29" s="1352"/>
      <c r="R29" s="705"/>
      <c r="S29" s="706"/>
      <c r="T29" s="705"/>
      <c r="U29" s="706"/>
      <c r="V29" s="705"/>
      <c r="W29" s="706"/>
      <c r="X29" s="1355"/>
      <c r="Y29" s="371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12"/>
      <c r="Q30" s="1352" t="str">
        <f t="shared" si="8"/>
        <v>土地级别</v>
      </c>
      <c r="R30" s="705" t="s">
        <v>14</v>
      </c>
      <c r="S30" s="706">
        <f t="shared" si="10"/>
        <v>100</v>
      </c>
      <c r="T30" s="705" t="s">
        <v>14</v>
      </c>
      <c r="U30" s="706">
        <f t="shared" si="11"/>
        <v>100</v>
      </c>
      <c r="V30" s="705" t="s">
        <v>14</v>
      </c>
      <c r="W30" s="706">
        <f t="shared" si="12"/>
        <v>100</v>
      </c>
      <c r="X30" s="1355"/>
      <c r="Y30" s="371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12"/>
      <c r="Q31" s="1352">
        <f t="shared" si="8"/>
        <v>111</v>
      </c>
      <c r="R31" s="705" t="s">
        <v>14</v>
      </c>
      <c r="S31" s="706">
        <f t="shared" si="10"/>
        <v>100</v>
      </c>
      <c r="T31" s="705" t="s">
        <v>14</v>
      </c>
      <c r="U31" s="706">
        <f t="shared" si="11"/>
        <v>100</v>
      </c>
      <c r="V31" s="705" t="s">
        <v>14</v>
      </c>
      <c r="W31" s="706">
        <f t="shared" si="12"/>
        <v>100</v>
      </c>
      <c r="X31" s="1355"/>
      <c r="Y31" s="371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6" t="s">
        <v>1696</v>
      </c>
      <c r="Q32" s="1352">
        <f t="shared" si="8"/>
        <v>111</v>
      </c>
      <c r="R32" s="705" t="s">
        <v>14</v>
      </c>
      <c r="S32" s="706">
        <f t="shared" si="10"/>
        <v>100</v>
      </c>
      <c r="T32" s="705" t="s">
        <v>14</v>
      </c>
      <c r="U32" s="706">
        <f t="shared" si="11"/>
        <v>100</v>
      </c>
      <c r="V32" s="705" t="s">
        <v>14</v>
      </c>
      <c r="W32" s="706">
        <f t="shared" si="12"/>
        <v>100</v>
      </c>
      <c r="X32" s="1355"/>
      <c r="Y32" s="371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16"/>
      <c r="Q33" s="1352">
        <f t="shared" si="8"/>
        <v>111</v>
      </c>
      <c r="R33" s="708" t="s">
        <v>14</v>
      </c>
      <c r="S33" s="709">
        <f t="shared" si="10"/>
        <v>100</v>
      </c>
      <c r="T33" s="708" t="s">
        <v>14</v>
      </c>
      <c r="U33" s="709">
        <f t="shared" si="11"/>
        <v>100</v>
      </c>
      <c r="V33" s="708" t="s">
        <v>14</v>
      </c>
      <c r="W33" s="709">
        <f t="shared" si="12"/>
        <v>100</v>
      </c>
      <c r="X33" s="710"/>
      <c r="Y33" s="371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16"/>
      <c r="Q34" s="1352" t="str">
        <f>B34</f>
        <v>宗地面积</v>
      </c>
      <c r="R34" s="705" t="s">
        <v>14</v>
      </c>
      <c r="S34" s="706" t="e">
        <f t="shared" si="10"/>
        <v>#N/A</v>
      </c>
      <c r="T34" s="705" t="s">
        <v>14</v>
      </c>
      <c r="U34" s="706" t="e">
        <f t="shared" si="11"/>
        <v>#N/A</v>
      </c>
      <c r="V34" s="705" t="s">
        <v>14</v>
      </c>
      <c r="W34" s="706" t="e">
        <f t="shared" si="12"/>
        <v>#N/A</v>
      </c>
      <c r="X34" s="1355"/>
      <c r="Y34" s="371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16"/>
      <c r="Q35" s="1352" t="str">
        <f t="shared" ref="Q35:Q40" si="14">B35</f>
        <v>宗地形状</v>
      </c>
      <c r="R35" s="705" t="s">
        <v>14</v>
      </c>
      <c r="S35" s="706">
        <f t="shared" si="10"/>
        <v>100</v>
      </c>
      <c r="T35" s="705" t="s">
        <v>14</v>
      </c>
      <c r="U35" s="706">
        <f t="shared" si="11"/>
        <v>100</v>
      </c>
      <c r="V35" s="705" t="s">
        <v>14</v>
      </c>
      <c r="W35" s="706">
        <f t="shared" si="12"/>
        <v>100</v>
      </c>
      <c r="X35" s="1355"/>
      <c r="Y35" s="371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16"/>
      <c r="Q36" s="1352" t="str">
        <f t="shared" si="14"/>
        <v>宗地开发程度</v>
      </c>
      <c r="R36" s="701" t="s">
        <v>14</v>
      </c>
      <c r="S36" s="702">
        <f t="shared" si="10"/>
        <v>100</v>
      </c>
      <c r="T36" s="701" t="s">
        <v>14</v>
      </c>
      <c r="U36" s="702">
        <f t="shared" si="11"/>
        <v>100</v>
      </c>
      <c r="V36" s="701" t="s">
        <v>14</v>
      </c>
      <c r="W36" s="702">
        <f t="shared" si="12"/>
        <v>100</v>
      </c>
      <c r="X36" s="703"/>
      <c r="Y36" s="371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16" t="s">
        <v>1696</v>
      </c>
      <c r="Q37" s="1352" t="str">
        <f t="shared" si="14"/>
        <v>工程地质条件</v>
      </c>
      <c r="R37" s="705" t="s">
        <v>14</v>
      </c>
      <c r="S37" s="706">
        <f t="shared" si="10"/>
        <v>100</v>
      </c>
      <c r="T37" s="705" t="s">
        <v>14</v>
      </c>
      <c r="U37" s="706">
        <f t="shared" si="11"/>
        <v>100</v>
      </c>
      <c r="V37" s="705" t="s">
        <v>14</v>
      </c>
      <c r="W37" s="706">
        <f t="shared" si="12"/>
        <v>100</v>
      </c>
      <c r="X37" s="1355"/>
      <c r="Y37" s="371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16"/>
      <c r="Q38" s="1352">
        <f t="shared" si="14"/>
        <v>111</v>
      </c>
      <c r="R38" s="705" t="s">
        <v>14</v>
      </c>
      <c r="S38" s="706">
        <f t="shared" si="10"/>
        <v>100</v>
      </c>
      <c r="T38" s="705" t="s">
        <v>14</v>
      </c>
      <c r="U38" s="706">
        <f t="shared" si="11"/>
        <v>100</v>
      </c>
      <c r="V38" s="705" t="s">
        <v>14</v>
      </c>
      <c r="W38" s="706">
        <f t="shared" si="12"/>
        <v>100</v>
      </c>
      <c r="X38" s="1355"/>
      <c r="Y38" s="371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16"/>
      <c r="Q39" s="1352">
        <f t="shared" si="14"/>
        <v>111</v>
      </c>
      <c r="R39" s="705" t="s">
        <v>14</v>
      </c>
      <c r="S39" s="706">
        <f t="shared" si="10"/>
        <v>100</v>
      </c>
      <c r="T39" s="705" t="s">
        <v>14</v>
      </c>
      <c r="U39" s="706">
        <f t="shared" si="11"/>
        <v>100</v>
      </c>
      <c r="V39" s="705" t="s">
        <v>14</v>
      </c>
      <c r="W39" s="706">
        <f t="shared" si="12"/>
        <v>100</v>
      </c>
      <c r="X39" s="1355"/>
      <c r="Y39" s="371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16"/>
      <c r="Q40" s="1352">
        <f t="shared" si="14"/>
        <v>111</v>
      </c>
      <c r="R40" s="708" t="s">
        <v>14</v>
      </c>
      <c r="S40" s="709">
        <f t="shared" si="10"/>
        <v>100</v>
      </c>
      <c r="T40" s="708" t="s">
        <v>14</v>
      </c>
      <c r="U40" s="709">
        <f t="shared" si="11"/>
        <v>100</v>
      </c>
      <c r="V40" s="708" t="s">
        <v>14</v>
      </c>
      <c r="W40" s="709">
        <f t="shared" si="12"/>
        <v>100</v>
      </c>
      <c r="X40" s="710"/>
      <c r="Y40" s="371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709" t="str">
        <f>A41</f>
        <v>成交单价</v>
      </c>
      <c r="Q41" s="3709"/>
      <c r="R41" s="3704">
        <f>E41</f>
        <v>0</v>
      </c>
      <c r="S41" s="3704"/>
      <c r="T41" s="3704">
        <f>G41</f>
        <v>0</v>
      </c>
      <c r="U41" s="3704"/>
      <c r="V41" s="3704">
        <f>I41</f>
        <v>0</v>
      </c>
      <c r="W41" s="370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709" t="str">
        <f>A42</f>
        <v>比较价值（元/平方米）</v>
      </c>
      <c r="Q42" s="3709"/>
      <c r="R42" s="3738" t="e">
        <f>ROUND(PRODUCT(R41,AA7:AA40),0)</f>
        <v>#DIV/0!</v>
      </c>
      <c r="S42" s="3738"/>
      <c r="T42" s="3738" t="e">
        <f>ROUND(PRODUCT(T41,AB7:AB40),0)</f>
        <v>#DIV/0!</v>
      </c>
      <c r="U42" s="3738"/>
      <c r="V42" s="3738" t="e">
        <f>ROUND(PRODUCT(V41,AC7:AC40),0)</f>
        <v>#DIV/0!</v>
      </c>
      <c r="W42" s="373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706" t="str">
        <f>A43</f>
        <v>估价对象XX用房的比较价值（楼面单价，元/平方米）</v>
      </c>
      <c r="Q43" s="3707"/>
      <c r="R43" s="3739" t="e">
        <f>ROUND(IF(D42="简单平均",AVERAGE(R42:W42),R42*F42+T42*H42+V42*J42),0)</f>
        <v>#DIV/0!</v>
      </c>
      <c r="S43" s="3739"/>
      <c r="T43" s="3739"/>
      <c r="U43" s="3739"/>
      <c r="V43" s="3739"/>
      <c r="W43" s="3739"/>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92" t="s">
        <v>1887</v>
      </c>
      <c r="H50" s="3740"/>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10000</v>
      </c>
      <c r="F51" s="639" t="e">
        <f t="shared" ref="F51:F60" si="15">ROUND(B51*E51/10000,0)</f>
        <v>#DIV/0!</v>
      </c>
      <c r="G51" s="3691"/>
      <c r="H51" s="3709"/>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Q72" sqref="Q72"/>
      <selection pane="bottomLeft" activeCell="X23" sqref="X2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8" t="s">
        <v>2084</v>
      </c>
      <c r="D1" s="3749"/>
      <c r="E1" s="3749"/>
      <c r="F1" s="3749"/>
      <c r="G1" s="3749"/>
      <c r="H1" s="3749"/>
      <c r="I1" s="3749"/>
      <c r="J1" s="3749"/>
      <c r="K1" s="3749"/>
      <c r="L1" s="3749"/>
      <c r="M1" s="3749"/>
      <c r="N1" s="3749"/>
      <c r="O1" s="3749"/>
      <c r="P1" s="3749"/>
      <c r="Q1" s="3749"/>
      <c r="R1" s="3749"/>
      <c r="S1" s="375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5" t="s">
        <v>27</v>
      </c>
      <c r="D22" s="3746"/>
      <c r="E22" s="3746"/>
      <c r="F22" s="3746"/>
      <c r="G22" s="3746"/>
      <c r="H22" s="3746"/>
      <c r="I22" s="3746"/>
      <c r="J22" s="3746"/>
      <c r="K22" s="3746"/>
      <c r="L22" s="3746"/>
      <c r="M22" s="3746"/>
      <c r="N22" s="3746"/>
      <c r="O22" s="3746"/>
      <c r="P22" s="3746"/>
      <c r="Q22" s="374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Q72" sqref="Q7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Q72" sqref="Q7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58"/>
      <c r="B4" s="3759"/>
      <c r="C4" s="3759"/>
      <c r="D4" s="3760"/>
      <c r="E4" s="3760"/>
      <c r="F4" s="3760"/>
      <c r="G4" s="3760"/>
      <c r="H4" s="3760"/>
      <c r="I4" s="3760"/>
      <c r="J4" s="376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55" t="s">
        <v>1960</v>
      </c>
      <c r="X8" s="375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57"/>
      <c r="X9" s="3360" t="s">
        <v>3272</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57"/>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3242</v>
      </c>
      <c r="B12" s="3303" t="s">
        <v>3243</v>
      </c>
      <c r="C12" s="3304"/>
      <c r="D12" s="3305" t="s">
        <v>3244</v>
      </c>
      <c r="E12" s="3306" t="s">
        <v>3245</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3246</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3247</v>
      </c>
      <c r="G14" s="3310" t="s">
        <v>3247</v>
      </c>
      <c r="H14" s="3310" t="s">
        <v>3247</v>
      </c>
      <c r="I14" s="3310" t="s">
        <v>3247</v>
      </c>
      <c r="J14" s="3310" t="s">
        <v>3247</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3248</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3249</v>
      </c>
      <c r="B17" s="3319" t="s">
        <v>3250</v>
      </c>
      <c r="C17" s="3329">
        <f>ROUND(IF(OR(E2="工业",E2="公共服务"),1,IF(AND(E18=0,E19=0),1,IF(AND(E18=J24,E19=G19),0.8,IF(E19=0,1+E17*(-0.2),1+E17*G17*(-0.2))))),4)</f>
        <v>1</v>
      </c>
      <c r="D17" s="3320" t="s">
        <v>3251</v>
      </c>
      <c r="E17" s="3329" t="e">
        <f>ROUND(G18/I18,2)</f>
        <v>#DIV/0!</v>
      </c>
      <c r="F17" s="3320" t="s">
        <v>3254</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3252</v>
      </c>
      <c r="E18" s="3327"/>
      <c r="F18" s="3322" t="s">
        <v>3255</v>
      </c>
      <c r="G18" s="3326">
        <f>ROUND(1-(1/(POWER(1+G24,E18))),4)</f>
        <v>0</v>
      </c>
      <c r="H18" s="3322" t="s">
        <v>3257</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3253</v>
      </c>
      <c r="E19" s="3336"/>
      <c r="F19" s="3337" t="s">
        <v>3256</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2" t="s">
        <v>3258</v>
      </c>
      <c r="B20" s="167" t="s">
        <v>1994</v>
      </c>
      <c r="C20" s="3323" t="e">
        <f>ROUND(IF(F21="与级别开发程度一致",0,(G21-E21)/C21),0)</f>
        <v>#DIV/0!</v>
      </c>
      <c r="D20" s="3339" t="s">
        <v>1998</v>
      </c>
      <c r="E20" s="3340"/>
      <c r="F20" s="3768" t="s">
        <v>1995</v>
      </c>
      <c r="G20" s="3769"/>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3"/>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45253</v>
      </c>
      <c r="H23" s="3341" t="s">
        <v>3260</v>
      </c>
      <c r="I23" s="3342" t="str">
        <f>IF(H23="季度增幅（自定义）",SUMIF(N25:N28,E2,O25:O28),"")</f>
        <v/>
      </c>
      <c r="J23" s="3444" t="s">
        <v>3259</v>
      </c>
      <c r="K23" s="1125"/>
      <c r="L23" s="2055" t="s">
        <v>2004</v>
      </c>
      <c r="M23" s="1328">
        <f>ROUND(SUMIF(地价!B2:G2,E2,地价!B16:G16),0)</f>
        <v>0</v>
      </c>
      <c r="N23" s="2056" t="s">
        <v>2005</v>
      </c>
      <c r="O23" s="763">
        <f>ROUNDDOWN(DATEDIF(E23,G23,"M")/3,0)</f>
        <v>11</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3339</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3261</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3262</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3264</v>
      </c>
      <c r="G33" s="2099"/>
      <c r="H33" s="2099"/>
      <c r="I33" s="2099"/>
      <c r="J33" s="2100"/>
      <c r="K33" s="1119"/>
      <c r="L33" s="3347" t="s">
        <v>3267</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3268</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3269</v>
      </c>
      <c r="L36" s="3445" t="e">
        <f ca="1">'数据-取费表'!B40</f>
        <v>#VALUE!</v>
      </c>
      <c r="M36" s="3356" t="e">
        <f ca="1">ROUND($L$36*(1+M31),3)</f>
        <v>#VALUE!</v>
      </c>
      <c r="N36" s="3356" t="e">
        <f ca="1">ROUND($L$36*(1+N31),3)</f>
        <v>#VALUE!</v>
      </c>
      <c r="O36" s="3356" t="e">
        <f ca="1">ROUND($L$36*(1+O31),3)</f>
        <v>#VALUE!</v>
      </c>
      <c r="P36" s="3356" t="e">
        <f ca="1">ROUND($L$36*(1+P31),3)</f>
        <v>#VALUE!</v>
      </c>
      <c r="Q36" s="3356" t="e">
        <f ca="1">ROUND($L$36*(1+Q31),3)</f>
        <v>#VALUE!</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6"/>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3270</v>
      </c>
      <c r="L37" s="3355" t="e">
        <f ca="1">L36+K38</f>
        <v>#VALUE!</v>
      </c>
      <c r="M37" s="3356" t="e">
        <f ca="1">ROUND($L$37*(1+M31),3)</f>
        <v>#VALUE!</v>
      </c>
      <c r="N37" s="3356" t="e">
        <f t="shared" ref="N37:Q37" ca="1" si="3">ROUND($L$37*(1+N31),3)</f>
        <v>#VALUE!</v>
      </c>
      <c r="O37" s="3356" t="e">
        <f t="shared" ca="1" si="3"/>
        <v>#VALUE!</v>
      </c>
      <c r="P37" s="3356" t="e">
        <f t="shared" ca="1" si="3"/>
        <v>#VALUE!</v>
      </c>
      <c r="Q37" s="3356" t="e">
        <f t="shared" ca="1" si="3"/>
        <v>#VALUE!</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7"/>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67"/>
      <c r="B39" s="2041" t="s">
        <v>3263</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c r="A51" s="2130" t="s">
        <v>2053</v>
      </c>
      <c r="B51" s="2134" t="str">
        <f>估价对象房地状况!C18</f>
        <v>估价对象周边有兴33路、X101路、X103路、946路、957路等多条公共线路，距地铁大兴机场线（大兴新城站）约500米，地面可停车，综合评价交通便捷度一般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3273</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城市支路——沐新路</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估价对象所在区域基础设施水平达七通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51.75" thickBot="1">
      <c r="A58" s="2138" t="s">
        <v>2061</v>
      </c>
      <c r="B58" s="2139" t="str">
        <f>估价对象房地状况!C20</f>
        <v>区域自然环境：凤河、新凤河；人文环境：团河行宫遗址公园等；综合评价环境状况一般</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76.5">
      <c r="A62" s="2130" t="s">
        <v>2053</v>
      </c>
      <c r="B62" s="2134" t="str">
        <f>估价对象房地状况!C18</f>
        <v>估价对象周边有兴33路、X101路、X103路、946路、957路等多条公共线路，距地铁大兴机场线（大兴新城站）约500米，地面可停车，综合评价交通便捷度一般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3273</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城市支路——沐新路</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估价对象所在区域基础设施水平达七通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51.75" thickBot="1">
      <c r="A69" s="2138" t="s">
        <v>2061</v>
      </c>
      <c r="B69" s="2140" t="str">
        <f>估价对象房地状况!C20</f>
        <v>区域自然环境：凤河、新凤河；人文环境：团河行宫遗址公园等；综合评价环境状况一般</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38.25">
      <c r="A72" s="2130" t="s">
        <v>2066</v>
      </c>
      <c r="B72" s="2133" t="str">
        <f>估价对象房地状况!C15</f>
        <v>估价对象周边有团河苑小区、首座御园、新居里等社区，综合评价居住社区成熟度较好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76.5">
      <c r="A73" s="2130" t="s">
        <v>2053</v>
      </c>
      <c r="B73" s="2134" t="str">
        <f>估价对象房地状况!C18</f>
        <v>估价对象周边有兴33路、X101路、X103路、946路、957路等多条公共线路，距地铁大兴机场线（大兴新城站）约500米，地面可停车，综合评价交通便捷度一般</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3273</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城市支路——沐新路</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估价对象所在区域基础设施水平达七通</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51">
      <c r="A79" s="2130" t="s">
        <v>2061</v>
      </c>
      <c r="B79" s="2133" t="str">
        <f>估价对象房地状况!C20</f>
        <v>区域自然环境：凤河、新凤河；人文环境：团河行宫遗址公园等；综合评价环境状况一般</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3274</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2614</v>
      </c>
      <c r="B91" s="3376">
        <f>1+E93</f>
        <v>1</v>
      </c>
      <c r="C91" s="3369"/>
      <c r="D91" s="3370"/>
      <c r="E91" s="1814"/>
      <c r="F91" s="1814"/>
      <c r="G91" s="3371"/>
      <c r="H91" s="3372"/>
      <c r="I91" s="3373"/>
      <c r="J91" s="3374"/>
      <c r="K91" s="3374"/>
      <c r="L91" s="3374"/>
      <c r="M91" s="3374"/>
      <c r="N91" s="3374"/>
    </row>
    <row r="92" spans="1:37" ht="24.75">
      <c r="A92" s="3377" t="s">
        <v>3275</v>
      </c>
      <c r="B92" s="3364"/>
      <c r="C92" s="3364" t="s">
        <v>3284</v>
      </c>
      <c r="D92" s="3364" t="s">
        <v>3285</v>
      </c>
      <c r="E92" s="3346" t="s">
        <v>3286</v>
      </c>
      <c r="F92" s="3379" t="s">
        <v>3287</v>
      </c>
      <c r="G92" s="3364" t="s">
        <v>3288</v>
      </c>
      <c r="H92" s="3386" t="s">
        <v>3291</v>
      </c>
      <c r="I92" s="3364" t="s">
        <v>3292</v>
      </c>
      <c r="J92" s="3387" t="s">
        <v>3293</v>
      </c>
      <c r="K92" s="3387" t="s">
        <v>3294</v>
      </c>
      <c r="L92" s="3387" t="s">
        <v>3295</v>
      </c>
      <c r="M92" s="3387" t="s">
        <v>3296</v>
      </c>
      <c r="N92" s="3387" t="s">
        <v>3297</v>
      </c>
    </row>
    <row r="93" spans="1:37" ht="24">
      <c r="A93" s="3367" t="s">
        <v>3276</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76.5">
      <c r="A94" s="3377" t="s">
        <v>3277</v>
      </c>
      <c r="B94" s="3368" t="str">
        <f>估价对象房地状况!C18</f>
        <v>估价对象周边有兴33路、X101路、X103路、946路、957路等多条公共线路，距地铁大兴机场线（大兴新城站）约500米，地面可停车，综合评价交通便捷度一般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3273</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3278</v>
      </c>
      <c r="B96" s="3383" t="s">
        <v>3289</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3279</v>
      </c>
      <c r="B97" s="3368" t="str">
        <f>估价对象房地状况!C24</f>
        <v>城市支路——沐新路</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3280</v>
      </c>
      <c r="B98" s="3384" t="s">
        <v>3290</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5.5">
      <c r="A99" s="3377" t="s">
        <v>3281</v>
      </c>
      <c r="B99" s="3368" t="str">
        <f>估价对象房地状况!C21</f>
        <v>估价对象所在区域公共配套设施齐备</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3282</v>
      </c>
      <c r="B100" s="3368" t="str">
        <f>估价对象房地状况!C22</f>
        <v>估价对象所在区域基础设施水平达七通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51.75" thickBot="1">
      <c r="A101" s="3378" t="s">
        <v>3283</v>
      </c>
      <c r="B101" s="3385" t="str">
        <f>估价对象房地状况!C20</f>
        <v>区域自然环境：凤河、新凤河；人文环境：团河行宫遗址公园等；综合评价环境状况一般</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4" t="s">
        <v>3298</v>
      </c>
      <c r="B103" s="3764"/>
      <c r="C103" s="3764"/>
      <c r="D103" s="3764"/>
      <c r="E103" s="3764"/>
      <c r="F103" s="3764"/>
      <c r="G103" s="3764"/>
      <c r="H103" s="3764"/>
      <c r="I103" s="3764"/>
      <c r="J103" s="3764"/>
      <c r="K103" s="3388"/>
      <c r="L103" s="3388"/>
      <c r="M103" s="3388"/>
      <c r="N103" s="3388"/>
    </row>
    <row r="104" spans="1:14">
      <c r="A104" s="3765" t="s">
        <v>3299</v>
      </c>
      <c r="B104" s="3765" t="s">
        <v>3300</v>
      </c>
      <c r="C104" s="3389" t="s">
        <v>3301</v>
      </c>
      <c r="D104" s="3390"/>
      <c r="E104" s="3390"/>
      <c r="F104" s="3390"/>
      <c r="G104" s="3390"/>
      <c r="H104" s="3390"/>
      <c r="I104" s="3390"/>
      <c r="J104" s="3391"/>
      <c r="K104" s="3392"/>
      <c r="L104" s="3392"/>
      <c r="M104" s="3392"/>
      <c r="N104" s="3392"/>
    </row>
    <row r="105" spans="1:14">
      <c r="A105" s="3765"/>
      <c r="B105" s="3765"/>
      <c r="C105" s="3393" t="s">
        <v>3302</v>
      </c>
      <c r="D105" s="3393" t="s">
        <v>3303</v>
      </c>
      <c r="E105" s="3393" t="s">
        <v>3304</v>
      </c>
      <c r="F105" s="3393" t="s">
        <v>3305</v>
      </c>
      <c r="G105" s="3393" t="s">
        <v>3306</v>
      </c>
      <c r="H105" s="3393" t="s">
        <v>3307</v>
      </c>
      <c r="I105" s="3393" t="s">
        <v>3308</v>
      </c>
      <c r="J105" s="3393" t="s">
        <v>3309</v>
      </c>
      <c r="K105" s="3393" t="s">
        <v>3310</v>
      </c>
      <c r="L105" s="3393" t="s">
        <v>3311</v>
      </c>
      <c r="M105" s="3393" t="s">
        <v>3312</v>
      </c>
      <c r="N105" s="3393" t="s">
        <v>3313</v>
      </c>
    </row>
    <row r="106" spans="1:14">
      <c r="A106" s="3751" t="s">
        <v>3314</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2"/>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2"/>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2"/>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2"/>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2"/>
      <c r="B111" s="3393" t="s">
        <v>3272</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3"/>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4" t="s">
        <v>3315</v>
      </c>
      <c r="B113" s="3754"/>
      <c r="C113" s="3754"/>
      <c r="D113" s="3754"/>
      <c r="E113" s="3754"/>
      <c r="F113" s="3754"/>
      <c r="G113" s="3754"/>
      <c r="H113" s="3754"/>
      <c r="I113" s="3754"/>
      <c r="J113" s="3754"/>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3316</v>
      </c>
      <c r="B116" s="3414">
        <f>G3</f>
        <v>0</v>
      </c>
      <c r="C116" s="3398" t="s">
        <v>3317</v>
      </c>
      <c r="D116" s="3399">
        <f>SUMPRODUCT((A118:A122=F116)*(B117:M117=H116)*B118:M122)</f>
        <v>0</v>
      </c>
      <c r="E116" s="2000" t="s">
        <v>3318</v>
      </c>
      <c r="F116" s="3400">
        <f>E2</f>
        <v>0</v>
      </c>
      <c r="G116" s="2000" t="s">
        <v>3319</v>
      </c>
      <c r="H116" s="3400">
        <f>G2</f>
        <v>0</v>
      </c>
      <c r="I116" s="2000"/>
      <c r="J116" s="3401"/>
      <c r="K116" s="3401"/>
      <c r="L116" s="3401"/>
      <c r="M116" s="3401"/>
      <c r="N116" s="3396"/>
    </row>
    <row r="117" spans="1:14">
      <c r="A117" s="3402"/>
      <c r="B117" s="3403" t="s">
        <v>3320</v>
      </c>
      <c r="C117" s="3403" t="s">
        <v>3321</v>
      </c>
      <c r="D117" s="3403" t="s">
        <v>3322</v>
      </c>
      <c r="E117" s="3404" t="s">
        <v>3323</v>
      </c>
      <c r="F117" s="3404" t="s">
        <v>3324</v>
      </c>
      <c r="G117" s="3404" t="s">
        <v>3325</v>
      </c>
      <c r="H117" s="3405" t="s">
        <v>3326</v>
      </c>
      <c r="I117" s="3405" t="s">
        <v>3327</v>
      </c>
      <c r="J117" s="3406" t="s">
        <v>3328</v>
      </c>
      <c r="K117" s="3406" t="s">
        <v>3329</v>
      </c>
      <c r="L117" s="3406" t="s">
        <v>3330</v>
      </c>
      <c r="M117" s="3407" t="s">
        <v>3331</v>
      </c>
      <c r="N117" s="3396"/>
    </row>
    <row r="118" spans="1:14">
      <c r="A118" s="3408" t="s">
        <v>3332</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3333</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3334</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3335</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2614</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2596</v>
      </c>
      <c r="B1" s="3070" t="s">
        <v>2597</v>
      </c>
      <c r="C1" s="3070" t="s">
        <v>2598</v>
      </c>
      <c r="D1" s="3070" t="s">
        <v>2599</v>
      </c>
      <c r="E1" s="3070" t="s">
        <v>2600</v>
      </c>
      <c r="F1" s="3070" t="s">
        <v>2601</v>
      </c>
      <c r="G1" s="3070" t="s">
        <v>2602</v>
      </c>
      <c r="H1" s="3070" t="s">
        <v>2603</v>
      </c>
      <c r="I1" s="3070" t="s">
        <v>2604</v>
      </c>
      <c r="J1" s="3070" t="s">
        <v>2605</v>
      </c>
      <c r="K1" s="3070" t="s">
        <v>2606</v>
      </c>
      <c r="L1" s="3070" t="s">
        <v>2607</v>
      </c>
      <c r="M1" s="3071" t="s">
        <v>2608</v>
      </c>
    </row>
    <row r="2" spans="1:13" ht="19.5" customHeight="1">
      <c r="A2" s="3073" t="s">
        <v>2609</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2610</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2611</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2612</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2613</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2614</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2615</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2616</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2617</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2618</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2619</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2620</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2621</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2622</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2623</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2624</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2625</v>
      </c>
      <c r="B18" s="3095"/>
      <c r="C18" s="3096"/>
      <c r="D18" s="3096"/>
      <c r="E18" s="3095"/>
      <c r="F18" s="3096"/>
      <c r="G18" s="3096"/>
    </row>
    <row r="19" spans="1:13" ht="19.5" customHeight="1" thickBot="1">
      <c r="A19" s="3093" t="s">
        <v>2626</v>
      </c>
      <c r="B19" s="3098" t="s">
        <v>2627</v>
      </c>
      <c r="C19" s="3098" t="s">
        <v>2628</v>
      </c>
      <c r="D19" s="3099"/>
      <c r="E19" s="3093" t="s">
        <v>2629</v>
      </c>
      <c r="F19" s="3100"/>
      <c r="G19" s="3100"/>
    </row>
    <row r="20" spans="1:13" ht="19.5" customHeight="1">
      <c r="A20" s="3777" t="s">
        <v>2609</v>
      </c>
      <c r="B20" s="3770" t="s">
        <v>2630</v>
      </c>
      <c r="C20" s="3101" t="s">
        <v>2441</v>
      </c>
      <c r="D20" s="3102"/>
      <c r="E20" s="3103">
        <v>1</v>
      </c>
      <c r="F20" s="3104" t="s">
        <v>2442</v>
      </c>
      <c r="G20" s="3104"/>
    </row>
    <row r="21" spans="1:13" ht="19.5" customHeight="1">
      <c r="A21" s="3778"/>
      <c r="B21" s="3771"/>
      <c r="C21" s="3105" t="s">
        <v>2443</v>
      </c>
      <c r="D21" s="3106"/>
      <c r="E21" s="3107">
        <v>1</v>
      </c>
      <c r="F21" s="3104" t="s">
        <v>2444</v>
      </c>
      <c r="G21" s="3104"/>
    </row>
    <row r="22" spans="1:13" ht="19.5" customHeight="1">
      <c r="A22" s="3778"/>
      <c r="B22" s="3771"/>
      <c r="C22" s="3105" t="s">
        <v>2445</v>
      </c>
      <c r="D22" s="3106"/>
      <c r="E22" s="3107">
        <v>0.9</v>
      </c>
      <c r="F22" s="3104" t="s">
        <v>2446</v>
      </c>
      <c r="G22" s="3104"/>
    </row>
    <row r="23" spans="1:13" ht="19.5" customHeight="1">
      <c r="A23" s="3778"/>
      <c r="B23" s="3771"/>
      <c r="C23" s="3105" t="s">
        <v>2447</v>
      </c>
      <c r="D23" s="3106"/>
      <c r="E23" s="3107">
        <v>0.9</v>
      </c>
      <c r="F23" s="3104" t="s">
        <v>2448</v>
      </c>
      <c r="G23" s="3104"/>
    </row>
    <row r="24" spans="1:13" ht="19.5" customHeight="1">
      <c r="A24" s="3778"/>
      <c r="B24" s="3771"/>
      <c r="C24" s="3105" t="s">
        <v>2449</v>
      </c>
      <c r="D24" s="3106"/>
      <c r="E24" s="3107">
        <v>0.8</v>
      </c>
      <c r="F24" s="3104" t="s">
        <v>2450</v>
      </c>
      <c r="G24" s="3104"/>
    </row>
    <row r="25" spans="1:13" ht="19.5" customHeight="1" thickBot="1">
      <c r="A25" s="3779"/>
      <c r="B25" s="3772"/>
      <c r="C25" s="3108" t="s">
        <v>2451</v>
      </c>
      <c r="D25" s="3109"/>
      <c r="E25" s="3110">
        <v>0.8</v>
      </c>
      <c r="F25" s="3104" t="s">
        <v>2452</v>
      </c>
      <c r="G25" s="3104"/>
    </row>
    <row r="26" spans="1:13" ht="19.5" customHeight="1" thickBot="1">
      <c r="A26" s="3111" t="s">
        <v>2631</v>
      </c>
      <c r="B26" s="3112" t="s">
        <v>2630</v>
      </c>
      <c r="C26" s="3113" t="s">
        <v>2632</v>
      </c>
      <c r="D26" s="3114"/>
      <c r="E26" s="3115">
        <v>1</v>
      </c>
      <c r="F26" s="3104" t="s">
        <v>2453</v>
      </c>
      <c r="G26" s="3104"/>
    </row>
    <row r="27" spans="1:13" ht="19.5" customHeight="1">
      <c r="A27" s="3773" t="s">
        <v>2633</v>
      </c>
      <c r="B27" s="3770" t="s">
        <v>2614</v>
      </c>
      <c r="C27" s="3101" t="s">
        <v>2454</v>
      </c>
      <c r="D27" s="3102"/>
      <c r="E27" s="3103">
        <v>1</v>
      </c>
      <c r="F27" s="3104" t="s">
        <v>2455</v>
      </c>
      <c r="G27" s="3104"/>
    </row>
    <row r="28" spans="1:13" ht="19.5" customHeight="1">
      <c r="A28" s="3774"/>
      <c r="B28" s="3771"/>
      <c r="C28" s="3105" t="s">
        <v>2456</v>
      </c>
      <c r="D28" s="3106"/>
      <c r="E28" s="3107">
        <v>1</v>
      </c>
      <c r="F28" s="3104" t="s">
        <v>2457</v>
      </c>
      <c r="G28" s="3104"/>
    </row>
    <row r="29" spans="1:13" ht="19.5" customHeight="1">
      <c r="A29" s="3774"/>
      <c r="B29" s="3771"/>
      <c r="C29" s="3105" t="s">
        <v>2458</v>
      </c>
      <c r="D29" s="3106"/>
      <c r="E29" s="3107">
        <v>0.8</v>
      </c>
      <c r="F29" s="3104" t="s">
        <v>2459</v>
      </c>
      <c r="G29" s="3104"/>
    </row>
    <row r="30" spans="1:13" ht="19.5" customHeight="1">
      <c r="A30" s="3774"/>
      <c r="B30" s="3771"/>
      <c r="C30" s="3105" t="s">
        <v>2460</v>
      </c>
      <c r="D30" s="3106"/>
      <c r="E30" s="3107">
        <v>0.8</v>
      </c>
      <c r="F30" s="3104" t="s">
        <v>2461</v>
      </c>
      <c r="G30" s="3104"/>
    </row>
    <row r="31" spans="1:13" ht="19.5" customHeight="1">
      <c r="A31" s="3774"/>
      <c r="B31" s="3771"/>
      <c r="C31" s="3105" t="s">
        <v>2462</v>
      </c>
      <c r="D31" s="3106"/>
      <c r="E31" s="3107">
        <v>0.8</v>
      </c>
      <c r="F31" s="3104" t="s">
        <v>2463</v>
      </c>
      <c r="G31" s="3104"/>
    </row>
    <row r="32" spans="1:13" ht="19.5" customHeight="1">
      <c r="A32" s="3774"/>
      <c r="B32" s="3771"/>
      <c r="C32" s="3105" t="s">
        <v>2464</v>
      </c>
      <c r="D32" s="3106"/>
      <c r="E32" s="3107">
        <v>0.7</v>
      </c>
      <c r="F32" s="3104" t="s">
        <v>2465</v>
      </c>
      <c r="G32" s="3104"/>
    </row>
    <row r="33" spans="1:7" ht="19.5" customHeight="1">
      <c r="A33" s="3774"/>
      <c r="B33" s="3771"/>
      <c r="C33" s="3105" t="s">
        <v>2466</v>
      </c>
      <c r="D33" s="3106"/>
      <c r="E33" s="3107">
        <v>0.8</v>
      </c>
      <c r="F33" s="3104" t="s">
        <v>2467</v>
      </c>
      <c r="G33" s="3104"/>
    </row>
    <row r="34" spans="1:7" ht="19.5" customHeight="1">
      <c r="A34" s="3774"/>
      <c r="B34" s="3771"/>
      <c r="C34" s="3105" t="s">
        <v>2468</v>
      </c>
      <c r="D34" s="3106"/>
      <c r="E34" s="3107">
        <v>0.6</v>
      </c>
      <c r="F34" s="3104" t="s">
        <v>2469</v>
      </c>
      <c r="G34" s="3104"/>
    </row>
    <row r="35" spans="1:7" ht="19.5" customHeight="1">
      <c r="A35" s="3774"/>
      <c r="B35" s="3771"/>
      <c r="C35" s="3105" t="s">
        <v>2470</v>
      </c>
      <c r="D35" s="3106"/>
      <c r="E35" s="3107">
        <v>0.2</v>
      </c>
      <c r="F35" s="3104" t="s">
        <v>2471</v>
      </c>
      <c r="G35" s="3104"/>
    </row>
    <row r="36" spans="1:7" ht="19.5" customHeight="1">
      <c r="A36" s="3774"/>
      <c r="B36" s="3771"/>
      <c r="C36" s="3105" t="s">
        <v>2472</v>
      </c>
      <c r="D36" s="3106"/>
      <c r="E36" s="3107">
        <v>0.2</v>
      </c>
      <c r="F36" s="3104" t="s">
        <v>2473</v>
      </c>
      <c r="G36" s="3104"/>
    </row>
    <row r="37" spans="1:7" ht="19.5" customHeight="1">
      <c r="A37" s="3774"/>
      <c r="B37" s="3776" t="s">
        <v>2634</v>
      </c>
      <c r="C37" s="3105" t="s">
        <v>2474</v>
      </c>
      <c r="D37" s="3106"/>
      <c r="E37" s="3107">
        <v>0.6</v>
      </c>
      <c r="F37" s="3104" t="s">
        <v>2475</v>
      </c>
      <c r="G37" s="3104"/>
    </row>
    <row r="38" spans="1:7" ht="19.5" customHeight="1">
      <c r="A38" s="3774"/>
      <c r="B38" s="3771"/>
      <c r="C38" s="3105" t="s">
        <v>2476</v>
      </c>
      <c r="D38" s="3106"/>
      <c r="E38" s="3107">
        <v>0.6</v>
      </c>
      <c r="F38" s="3104" t="s">
        <v>2477</v>
      </c>
      <c r="G38" s="3104"/>
    </row>
    <row r="39" spans="1:7" ht="19.5" customHeight="1" thickBot="1">
      <c r="A39" s="3775"/>
      <c r="B39" s="3772"/>
      <c r="C39" s="3108" t="s">
        <v>2478</v>
      </c>
      <c r="D39" s="3109"/>
      <c r="E39" s="3110">
        <v>0.6</v>
      </c>
      <c r="F39" s="3104" t="s">
        <v>2479</v>
      </c>
      <c r="G39" s="3104"/>
    </row>
    <row r="40" spans="1:7" ht="19.5" customHeight="1" thickBot="1">
      <c r="A40" s="3111" t="s">
        <v>2611</v>
      </c>
      <c r="B40" s="3112" t="s">
        <v>2611</v>
      </c>
      <c r="C40" s="3113" t="s">
        <v>2635</v>
      </c>
      <c r="D40" s="3114"/>
      <c r="E40" s="3115">
        <v>1</v>
      </c>
      <c r="F40" s="3104" t="s">
        <v>2480</v>
      </c>
      <c r="G40" s="3104"/>
    </row>
    <row r="41" spans="1:7" ht="19.5" customHeight="1">
      <c r="A41" s="3777" t="s">
        <v>2612</v>
      </c>
      <c r="B41" s="3770" t="s">
        <v>2636</v>
      </c>
      <c r="C41" s="3101" t="s">
        <v>2481</v>
      </c>
      <c r="D41" s="3102"/>
      <c r="E41" s="3103">
        <v>1</v>
      </c>
      <c r="F41" s="3104" t="s">
        <v>2482</v>
      </c>
      <c r="G41" s="3104"/>
    </row>
    <row r="42" spans="1:7" ht="19.5" customHeight="1">
      <c r="A42" s="3778"/>
      <c r="B42" s="3771"/>
      <c r="C42" s="3105" t="s">
        <v>2483</v>
      </c>
      <c r="D42" s="3106"/>
      <c r="E42" s="3107">
        <v>1</v>
      </c>
      <c r="F42" s="3104" t="s">
        <v>2484</v>
      </c>
      <c r="G42" s="3104"/>
    </row>
    <row r="43" spans="1:7" ht="19.5" customHeight="1">
      <c r="A43" s="3778"/>
      <c r="B43" s="3780"/>
      <c r="C43" s="3105" t="s">
        <v>2485</v>
      </c>
      <c r="D43" s="3106"/>
      <c r="E43" s="3107">
        <v>1.5</v>
      </c>
      <c r="F43" s="3104" t="s">
        <v>2486</v>
      </c>
      <c r="G43" s="3104"/>
    </row>
    <row r="44" spans="1:7" ht="19.5" customHeight="1">
      <c r="A44" s="3778"/>
      <c r="B44" s="3116" t="s">
        <v>2637</v>
      </c>
      <c r="C44" s="3105" t="s">
        <v>2638</v>
      </c>
      <c r="D44" s="3106"/>
      <c r="E44" s="3107">
        <v>2</v>
      </c>
      <c r="F44" s="3104" t="s">
        <v>2487</v>
      </c>
      <c r="G44" s="3104"/>
    </row>
    <row r="45" spans="1:7" ht="19.5" customHeight="1">
      <c r="A45" s="3778"/>
      <c r="B45" s="3776" t="s">
        <v>2639</v>
      </c>
      <c r="C45" s="3105" t="s">
        <v>2488</v>
      </c>
      <c r="D45" s="3106"/>
      <c r="E45" s="3107">
        <v>1</v>
      </c>
      <c r="F45" s="3104" t="s">
        <v>2489</v>
      </c>
      <c r="G45" s="3104"/>
    </row>
    <row r="46" spans="1:7" ht="19.5" customHeight="1">
      <c r="A46" s="3778"/>
      <c r="B46" s="3771"/>
      <c r="C46" s="3105" t="s">
        <v>2490</v>
      </c>
      <c r="D46" s="3106"/>
      <c r="E46" s="3107">
        <v>1</v>
      </c>
      <c r="F46" s="3104" t="s">
        <v>2491</v>
      </c>
      <c r="G46" s="3104"/>
    </row>
    <row r="47" spans="1:7" ht="19.5" customHeight="1">
      <c r="A47" s="3778"/>
      <c r="B47" s="3771"/>
      <c r="C47" s="3105" t="s">
        <v>2492</v>
      </c>
      <c r="D47" s="3106"/>
      <c r="E47" s="3107">
        <v>1</v>
      </c>
      <c r="F47" s="3104" t="s">
        <v>2493</v>
      </c>
      <c r="G47" s="3104"/>
    </row>
    <row r="48" spans="1:7" ht="19.5" customHeight="1">
      <c r="A48" s="3778"/>
      <c r="B48" s="3771"/>
      <c r="C48" s="3105" t="s">
        <v>2494</v>
      </c>
      <c r="D48" s="3106"/>
      <c r="E48" s="3107">
        <v>1</v>
      </c>
      <c r="F48" s="3104" t="s">
        <v>2495</v>
      </c>
      <c r="G48" s="3104"/>
    </row>
    <row r="49" spans="1:7" ht="19.5" customHeight="1">
      <c r="A49" s="3778"/>
      <c r="B49" s="3771"/>
      <c r="C49" s="3105" t="s">
        <v>2496</v>
      </c>
      <c r="D49" s="3106"/>
      <c r="E49" s="3107">
        <v>1</v>
      </c>
      <c r="F49" s="3104" t="s">
        <v>2497</v>
      </c>
      <c r="G49" s="3104"/>
    </row>
    <row r="50" spans="1:7" ht="19.5" customHeight="1">
      <c r="A50" s="3778"/>
      <c r="B50" s="3771"/>
      <c r="C50" s="3105" t="s">
        <v>2498</v>
      </c>
      <c r="D50" s="3106"/>
      <c r="E50" s="3107">
        <v>1</v>
      </c>
      <c r="F50" s="3104" t="s">
        <v>2499</v>
      </c>
      <c r="G50" s="3104"/>
    </row>
    <row r="51" spans="1:7" ht="19.5" customHeight="1" thickBot="1">
      <c r="A51" s="3779"/>
      <c r="B51" s="3772"/>
      <c r="C51" s="3108" t="s">
        <v>2500</v>
      </c>
      <c r="D51" s="3109"/>
      <c r="E51" s="3110">
        <v>1</v>
      </c>
      <c r="F51" s="3104" t="s">
        <v>2501</v>
      </c>
      <c r="G51" s="3104"/>
    </row>
    <row r="52" spans="1:7" ht="19.5" customHeight="1">
      <c r="A52" s="3117"/>
      <c r="B52" s="3117"/>
      <c r="C52" s="3117"/>
      <c r="D52" s="3117"/>
      <c r="E52" s="3117"/>
      <c r="F52" s="3117"/>
      <c r="G52" s="3117"/>
    </row>
    <row r="54" spans="1:7" ht="19.5" customHeight="1">
      <c r="A54" s="3118"/>
      <c r="B54" s="3090" t="s">
        <v>2640</v>
      </c>
      <c r="C54" s="3090" t="s">
        <v>2640</v>
      </c>
      <c r="D54" s="3090" t="s">
        <v>2640</v>
      </c>
      <c r="E54" s="3093" t="s">
        <v>2640</v>
      </c>
      <c r="F54" s="3093" t="s">
        <v>2641</v>
      </c>
      <c r="G54" s="3093" t="s">
        <v>2642</v>
      </c>
    </row>
    <row r="55" spans="1:7" ht="19.5" customHeight="1">
      <c r="A55" s="3119"/>
      <c r="B55" s="3093" t="s">
        <v>2609</v>
      </c>
      <c r="C55" s="3093" t="s">
        <v>2609</v>
      </c>
      <c r="D55" s="3093" t="s">
        <v>2609</v>
      </c>
      <c r="E55" s="3090" t="s">
        <v>2610</v>
      </c>
      <c r="F55" s="3090" t="s">
        <v>2612</v>
      </c>
      <c r="G55" s="3090" t="s">
        <v>2643</v>
      </c>
    </row>
    <row r="56" spans="1:7" ht="19.5" customHeight="1">
      <c r="A56" s="3120"/>
      <c r="B56" s="3090">
        <v>1</v>
      </c>
      <c r="C56" s="3090">
        <v>2</v>
      </c>
      <c r="D56" s="3090">
        <v>3</v>
      </c>
      <c r="E56" s="3121" t="s">
        <v>2644</v>
      </c>
      <c r="F56" s="3121" t="s">
        <v>2644</v>
      </c>
      <c r="G56" s="3121" t="s">
        <v>2644</v>
      </c>
    </row>
    <row r="57" spans="1:7" ht="19.5" customHeight="1">
      <c r="A57" s="3122" t="s">
        <v>2597</v>
      </c>
      <c r="B57" s="3090">
        <v>0.7</v>
      </c>
      <c r="C57" s="3090">
        <v>0.4</v>
      </c>
      <c r="D57" s="3090">
        <v>0.3</v>
      </c>
      <c r="E57" s="3121">
        <v>0.3</v>
      </c>
      <c r="F57" s="3090">
        <v>0.3</v>
      </c>
      <c r="G57" s="3090">
        <v>0.2</v>
      </c>
    </row>
    <row r="58" spans="1:7" ht="19.5" customHeight="1">
      <c r="A58" s="3122" t="s">
        <v>2598</v>
      </c>
      <c r="B58" s="3090">
        <v>0.7</v>
      </c>
      <c r="C58" s="3090">
        <v>0.4</v>
      </c>
      <c r="D58" s="3090">
        <v>0.3</v>
      </c>
      <c r="E58" s="3090">
        <v>0.3</v>
      </c>
      <c r="F58" s="3090">
        <v>0.3</v>
      </c>
      <c r="G58" s="3090">
        <v>0.2</v>
      </c>
    </row>
    <row r="59" spans="1:7" ht="19.5" customHeight="1">
      <c r="A59" s="3122" t="s">
        <v>2599</v>
      </c>
      <c r="B59" s="3090">
        <v>0.6</v>
      </c>
      <c r="C59" s="3090">
        <v>0.3</v>
      </c>
      <c r="D59" s="3090">
        <v>0.25</v>
      </c>
      <c r="E59" s="3090">
        <v>0.25</v>
      </c>
      <c r="F59" s="3090">
        <v>0.25</v>
      </c>
      <c r="G59" s="3090">
        <v>0.15</v>
      </c>
    </row>
    <row r="60" spans="1:7" ht="19.5" customHeight="1">
      <c r="A60" s="3122" t="s">
        <v>2600</v>
      </c>
      <c r="B60" s="3090">
        <v>0.6</v>
      </c>
      <c r="C60" s="3090">
        <v>0.3</v>
      </c>
      <c r="D60" s="3090">
        <v>0.25</v>
      </c>
      <c r="E60" s="3090">
        <v>0.25</v>
      </c>
      <c r="F60" s="3090">
        <v>0.25</v>
      </c>
      <c r="G60" s="3090">
        <v>0.15</v>
      </c>
    </row>
    <row r="61" spans="1:7" ht="19.5" customHeight="1">
      <c r="A61" s="3122" t="s">
        <v>2601</v>
      </c>
      <c r="B61" s="3090">
        <v>0.6</v>
      </c>
      <c r="C61" s="3090">
        <v>0.3</v>
      </c>
      <c r="D61" s="3090">
        <v>0.25</v>
      </c>
      <c r="E61" s="3090">
        <v>0.25</v>
      </c>
      <c r="F61" s="3090">
        <v>0.25</v>
      </c>
      <c r="G61" s="3090">
        <v>0.15</v>
      </c>
    </row>
    <row r="62" spans="1:7" ht="19.5" customHeight="1">
      <c r="A62" s="3122" t="s">
        <v>2602</v>
      </c>
      <c r="B62" s="3090">
        <v>0.6</v>
      </c>
      <c r="C62" s="3090">
        <v>0.3</v>
      </c>
      <c r="D62" s="3090">
        <v>0.25</v>
      </c>
      <c r="E62" s="3090">
        <v>0.25</v>
      </c>
      <c r="F62" s="3090">
        <v>0.25</v>
      </c>
      <c r="G62" s="3090">
        <v>0.15</v>
      </c>
    </row>
    <row r="63" spans="1:7" ht="19.5" customHeight="1">
      <c r="A63" s="3122" t="s">
        <v>2603</v>
      </c>
      <c r="B63" s="3090">
        <v>0.6</v>
      </c>
      <c r="C63" s="3090">
        <v>0.3</v>
      </c>
      <c r="D63" s="3090">
        <v>0.25</v>
      </c>
      <c r="E63" s="3090">
        <v>0.25</v>
      </c>
      <c r="F63" s="3090">
        <v>0.25</v>
      </c>
      <c r="G63" s="3090">
        <v>0.15</v>
      </c>
    </row>
    <row r="64" spans="1:7" ht="19.5" customHeight="1">
      <c r="A64" s="3122" t="s">
        <v>2604</v>
      </c>
      <c r="B64" s="3090">
        <v>0.5</v>
      </c>
      <c r="C64" s="3090">
        <v>0.2</v>
      </c>
      <c r="D64" s="3090">
        <v>0.2</v>
      </c>
      <c r="E64" s="3090">
        <v>0.2</v>
      </c>
      <c r="F64" s="3090">
        <v>0.2</v>
      </c>
      <c r="G64" s="3090">
        <v>0.1</v>
      </c>
    </row>
    <row r="65" spans="1:7" ht="19.5" customHeight="1">
      <c r="A65" s="3122" t="s">
        <v>2605</v>
      </c>
      <c r="B65" s="3090">
        <v>0.5</v>
      </c>
      <c r="C65" s="3090">
        <v>0.2</v>
      </c>
      <c r="D65" s="3090">
        <v>0.2</v>
      </c>
      <c r="E65" s="3090">
        <v>0.2</v>
      </c>
      <c r="F65" s="3090">
        <v>0.2</v>
      </c>
      <c r="G65" s="3090">
        <v>0.1</v>
      </c>
    </row>
    <row r="66" spans="1:7" ht="19.5" customHeight="1">
      <c r="A66" s="3122" t="s">
        <v>2606</v>
      </c>
      <c r="B66" s="3090">
        <v>0.5</v>
      </c>
      <c r="C66" s="3090">
        <v>0.2</v>
      </c>
      <c r="D66" s="3090">
        <v>0.2</v>
      </c>
      <c r="E66" s="3090">
        <v>0.2</v>
      </c>
      <c r="F66" s="3090">
        <v>0.2</v>
      </c>
      <c r="G66" s="3090">
        <v>0.1</v>
      </c>
    </row>
    <row r="67" spans="1:7" ht="19.5" customHeight="1">
      <c r="A67" s="3122" t="s">
        <v>2607</v>
      </c>
      <c r="B67" s="3090">
        <v>0.5</v>
      </c>
      <c r="C67" s="3090">
        <v>0.2</v>
      </c>
      <c r="D67" s="3090">
        <v>0.2</v>
      </c>
      <c r="E67" s="3090">
        <v>0.2</v>
      </c>
      <c r="F67" s="3090">
        <v>0.2</v>
      </c>
      <c r="G67" s="3090">
        <v>0.1</v>
      </c>
    </row>
    <row r="68" spans="1:7" ht="19.5" customHeight="1">
      <c r="A68" s="3122" t="s">
        <v>2608</v>
      </c>
      <c r="B68" s="3090">
        <v>0.5</v>
      </c>
      <c r="C68" s="3090">
        <v>0.2</v>
      </c>
      <c r="D68" s="3090">
        <v>0.2</v>
      </c>
      <c r="E68" s="3090">
        <v>0.2</v>
      </c>
      <c r="F68" s="3090">
        <v>0.2</v>
      </c>
      <c r="G68" s="3090">
        <v>0.1</v>
      </c>
    </row>
    <row r="70" spans="1:7" ht="19.5" customHeight="1">
      <c r="A70" s="3123"/>
      <c r="B70" s="3124"/>
      <c r="C70" s="3124"/>
      <c r="D70" s="3124" t="s">
        <v>2645</v>
      </c>
      <c r="E70" s="3124"/>
      <c r="F70" s="3124"/>
    </row>
    <row r="71" spans="1:7" ht="19.5" customHeight="1">
      <c r="A71" s="3116" t="s">
        <v>2646</v>
      </c>
      <c r="B71" s="3116" t="s">
        <v>2647</v>
      </c>
      <c r="C71" s="3116" t="s">
        <v>2648</v>
      </c>
      <c r="D71" s="3116" t="s">
        <v>2649</v>
      </c>
      <c r="E71" s="3116" t="s">
        <v>2650</v>
      </c>
      <c r="F71" s="3116" t="s">
        <v>2651</v>
      </c>
    </row>
    <row r="72" spans="1:7" ht="13.5">
      <c r="A72" s="3116"/>
      <c r="B72" s="3116"/>
      <c r="C72" s="3116" t="s">
        <v>2652</v>
      </c>
      <c r="D72" s="3116"/>
      <c r="E72" s="3116" t="s">
        <v>2623</v>
      </c>
      <c r="F72" s="3116" t="s">
        <v>2623</v>
      </c>
    </row>
    <row r="73" spans="1:7" ht="13.5">
      <c r="A73" s="3116">
        <v>1</v>
      </c>
      <c r="B73" s="3776" t="s">
        <v>2653</v>
      </c>
      <c r="C73" s="3090" t="s">
        <v>2654</v>
      </c>
      <c r="D73" s="3090" t="s">
        <v>2655</v>
      </c>
      <c r="E73" s="3116">
        <v>0.2</v>
      </c>
      <c r="F73" s="3116">
        <v>25</v>
      </c>
    </row>
    <row r="74" spans="1:7" ht="24">
      <c r="A74" s="3116">
        <v>2</v>
      </c>
      <c r="B74" s="3771"/>
      <c r="C74" s="3090" t="s">
        <v>2656</v>
      </c>
      <c r="D74" s="3090" t="s">
        <v>2657</v>
      </c>
      <c r="E74" s="3116">
        <v>0.2</v>
      </c>
      <c r="F74" s="3116">
        <v>25</v>
      </c>
    </row>
    <row r="75" spans="1:7" ht="24">
      <c r="A75" s="3116">
        <v>3</v>
      </c>
      <c r="B75" s="3771"/>
      <c r="C75" s="3090" t="s">
        <v>2658</v>
      </c>
      <c r="D75" s="3090" t="s">
        <v>2659</v>
      </c>
      <c r="E75" s="3116">
        <v>0.2</v>
      </c>
      <c r="F75" s="3116">
        <v>25</v>
      </c>
    </row>
    <row r="76" spans="1:7" ht="13.5">
      <c r="A76" s="3116">
        <v>4</v>
      </c>
      <c r="B76" s="3771"/>
      <c r="C76" s="3090" t="s">
        <v>2660</v>
      </c>
      <c r="D76" s="3090" t="s">
        <v>2661</v>
      </c>
      <c r="E76" s="3116">
        <v>0.15</v>
      </c>
      <c r="F76" s="3116">
        <v>20</v>
      </c>
    </row>
    <row r="77" spans="1:7" ht="24">
      <c r="A77" s="3116">
        <v>5</v>
      </c>
      <c r="B77" s="3771"/>
      <c r="C77" s="3090" t="s">
        <v>2662</v>
      </c>
      <c r="D77" s="3090" t="s">
        <v>2663</v>
      </c>
      <c r="E77" s="3116">
        <v>0.15</v>
      </c>
      <c r="F77" s="3116">
        <v>20</v>
      </c>
    </row>
    <row r="78" spans="1:7" ht="24">
      <c r="A78" s="3116">
        <v>6</v>
      </c>
      <c r="B78" s="3771"/>
      <c r="C78" s="3090" t="s">
        <v>2664</v>
      </c>
      <c r="D78" s="3090" t="s">
        <v>2665</v>
      </c>
      <c r="E78" s="3116">
        <v>0.15</v>
      </c>
      <c r="F78" s="3116">
        <v>20</v>
      </c>
    </row>
    <row r="79" spans="1:7" ht="24">
      <c r="A79" s="3116">
        <v>7</v>
      </c>
      <c r="B79" s="3771"/>
      <c r="C79" s="3090" t="s">
        <v>2666</v>
      </c>
      <c r="D79" s="3090" t="s">
        <v>2667</v>
      </c>
      <c r="E79" s="3116">
        <v>0.15</v>
      </c>
      <c r="F79" s="3116">
        <v>20</v>
      </c>
    </row>
    <row r="80" spans="1:7" ht="24">
      <c r="A80" s="3116">
        <v>8</v>
      </c>
      <c r="B80" s="3771"/>
      <c r="C80" s="3090" t="s">
        <v>2668</v>
      </c>
      <c r="D80" s="3090" t="s">
        <v>2669</v>
      </c>
      <c r="E80" s="3116">
        <v>0.1</v>
      </c>
      <c r="F80" s="3116">
        <v>15</v>
      </c>
    </row>
    <row r="81" spans="1:6" ht="24">
      <c r="A81" s="3116">
        <v>9</v>
      </c>
      <c r="B81" s="3771"/>
      <c r="C81" s="3090" t="s">
        <v>2670</v>
      </c>
      <c r="D81" s="3090" t="s">
        <v>2671</v>
      </c>
      <c r="E81" s="3116">
        <v>0.1</v>
      </c>
      <c r="F81" s="3116">
        <v>15</v>
      </c>
    </row>
    <row r="82" spans="1:6" ht="24">
      <c r="A82" s="3116">
        <v>10</v>
      </c>
      <c r="B82" s="3771"/>
      <c r="C82" s="3090" t="s">
        <v>2672</v>
      </c>
      <c r="D82" s="3090" t="s">
        <v>2673</v>
      </c>
      <c r="E82" s="3116">
        <v>0.1</v>
      </c>
      <c r="F82" s="3116">
        <v>15</v>
      </c>
    </row>
    <row r="83" spans="1:6" ht="24">
      <c r="A83" s="3116">
        <v>11</v>
      </c>
      <c r="B83" s="3771"/>
      <c r="C83" s="3090" t="s">
        <v>2674</v>
      </c>
      <c r="D83" s="3090" t="s">
        <v>2675</v>
      </c>
      <c r="E83" s="3116">
        <v>0.1</v>
      </c>
      <c r="F83" s="3116">
        <v>15</v>
      </c>
    </row>
    <row r="84" spans="1:6" ht="24">
      <c r="A84" s="3116">
        <v>12</v>
      </c>
      <c r="B84" s="3771"/>
      <c r="C84" s="3090" t="s">
        <v>2676</v>
      </c>
      <c r="D84" s="3090" t="s">
        <v>2677</v>
      </c>
      <c r="E84" s="3116">
        <v>0.1</v>
      </c>
      <c r="F84" s="3116">
        <v>15</v>
      </c>
    </row>
    <row r="85" spans="1:6" ht="13.5">
      <c r="A85" s="3116">
        <v>13</v>
      </c>
      <c r="B85" s="3771"/>
      <c r="C85" s="3090" t="s">
        <v>2678</v>
      </c>
      <c r="D85" s="3090" t="s">
        <v>2679</v>
      </c>
      <c r="E85" s="3116">
        <v>0.1</v>
      </c>
      <c r="F85" s="3116">
        <v>15</v>
      </c>
    </row>
    <row r="86" spans="1:6" ht="13.5">
      <c r="A86" s="3116">
        <v>14</v>
      </c>
      <c r="B86" s="3771"/>
      <c r="C86" s="3090" t="s">
        <v>2680</v>
      </c>
      <c r="D86" s="3090" t="s">
        <v>2681</v>
      </c>
      <c r="E86" s="3116">
        <v>0.1</v>
      </c>
      <c r="F86" s="3116">
        <v>15</v>
      </c>
    </row>
    <row r="87" spans="1:6" ht="13.5">
      <c r="A87" s="3116">
        <v>15</v>
      </c>
      <c r="B87" s="3771"/>
      <c r="C87" s="3090" t="s">
        <v>2682</v>
      </c>
      <c r="D87" s="3090" t="s">
        <v>2683</v>
      </c>
      <c r="E87" s="3116">
        <v>0.1</v>
      </c>
      <c r="F87" s="3116">
        <v>15</v>
      </c>
    </row>
    <row r="88" spans="1:6" ht="24">
      <c r="A88" s="3116">
        <v>16</v>
      </c>
      <c r="B88" s="3771"/>
      <c r="C88" s="3090" t="s">
        <v>2684</v>
      </c>
      <c r="D88" s="3090" t="s">
        <v>2685</v>
      </c>
      <c r="E88" s="3116">
        <v>0.1</v>
      </c>
      <c r="F88" s="3116">
        <v>15</v>
      </c>
    </row>
    <row r="89" spans="1:6" ht="24">
      <c r="A89" s="3116">
        <v>17</v>
      </c>
      <c r="B89" s="3780"/>
      <c r="C89" s="3090" t="s">
        <v>2686</v>
      </c>
      <c r="D89" s="3090" t="s">
        <v>2687</v>
      </c>
      <c r="E89" s="3116">
        <v>0.1</v>
      </c>
      <c r="F89" s="3116">
        <v>15</v>
      </c>
    </row>
    <row r="90" spans="1:6" ht="13.5">
      <c r="A90" s="3116">
        <v>18</v>
      </c>
      <c r="B90" s="3776" t="s">
        <v>2688</v>
      </c>
      <c r="C90" s="3090" t="s">
        <v>2689</v>
      </c>
      <c r="D90" s="3090" t="s">
        <v>2690</v>
      </c>
      <c r="E90" s="3116">
        <v>0.2</v>
      </c>
      <c r="F90" s="3116">
        <v>25</v>
      </c>
    </row>
    <row r="91" spans="1:6" ht="24">
      <c r="A91" s="3116">
        <v>19</v>
      </c>
      <c r="B91" s="3771"/>
      <c r="C91" s="3090" t="s">
        <v>2691</v>
      </c>
      <c r="D91" s="3090" t="s">
        <v>2692</v>
      </c>
      <c r="E91" s="3116">
        <v>0.2</v>
      </c>
      <c r="F91" s="3116">
        <v>25</v>
      </c>
    </row>
    <row r="92" spans="1:6" ht="13.5">
      <c r="A92" s="3116">
        <v>20</v>
      </c>
      <c r="B92" s="3771"/>
      <c r="C92" s="3090" t="s">
        <v>2693</v>
      </c>
      <c r="D92" s="3090" t="s">
        <v>2694</v>
      </c>
      <c r="E92" s="3116">
        <v>0.15</v>
      </c>
      <c r="F92" s="3116">
        <v>20</v>
      </c>
    </row>
    <row r="93" spans="1:6" ht="13.5">
      <c r="A93" s="3116">
        <v>21</v>
      </c>
      <c r="B93" s="3771"/>
      <c r="C93" s="3090" t="s">
        <v>2695</v>
      </c>
      <c r="D93" s="3090" t="s">
        <v>2696</v>
      </c>
      <c r="E93" s="3116">
        <v>0.15</v>
      </c>
      <c r="F93" s="3116">
        <v>20</v>
      </c>
    </row>
    <row r="94" spans="1:6" ht="13.5">
      <c r="A94" s="3116">
        <v>22</v>
      </c>
      <c r="B94" s="3771"/>
      <c r="C94" s="3090" t="s">
        <v>2697</v>
      </c>
      <c r="D94" s="3090" t="s">
        <v>2698</v>
      </c>
      <c r="E94" s="3116">
        <v>0.15</v>
      </c>
      <c r="F94" s="3116">
        <v>20</v>
      </c>
    </row>
    <row r="95" spans="1:6" ht="36">
      <c r="A95" s="3116">
        <v>23</v>
      </c>
      <c r="B95" s="3771"/>
      <c r="C95" s="3090" t="s">
        <v>2699</v>
      </c>
      <c r="D95" s="3090" t="s">
        <v>2700</v>
      </c>
      <c r="E95" s="3116">
        <v>0.15</v>
      </c>
      <c r="F95" s="3116">
        <v>20</v>
      </c>
    </row>
    <row r="96" spans="1:6" ht="13.5">
      <c r="A96" s="3116">
        <v>24</v>
      </c>
      <c r="B96" s="3771"/>
      <c r="C96" s="3090" t="s">
        <v>2701</v>
      </c>
      <c r="D96" s="3090" t="s">
        <v>2702</v>
      </c>
      <c r="E96" s="3116">
        <v>0.1</v>
      </c>
      <c r="F96" s="3116">
        <v>15</v>
      </c>
    </row>
    <row r="97" spans="1:6" ht="13.5">
      <c r="A97" s="3116">
        <v>25</v>
      </c>
      <c r="B97" s="3771"/>
      <c r="C97" s="3090" t="s">
        <v>2703</v>
      </c>
      <c r="D97" s="3090" t="s">
        <v>2704</v>
      </c>
      <c r="E97" s="3116">
        <v>0.1</v>
      </c>
      <c r="F97" s="3116">
        <v>15</v>
      </c>
    </row>
    <row r="98" spans="1:6" ht="24">
      <c r="A98" s="3116">
        <v>26</v>
      </c>
      <c r="B98" s="3771"/>
      <c r="C98" s="3090" t="s">
        <v>2705</v>
      </c>
      <c r="D98" s="3090" t="s">
        <v>2706</v>
      </c>
      <c r="E98" s="3116">
        <v>0.1</v>
      </c>
      <c r="F98" s="3116">
        <v>15</v>
      </c>
    </row>
    <row r="99" spans="1:6" ht="24">
      <c r="A99" s="3116">
        <v>27</v>
      </c>
      <c r="B99" s="3771"/>
      <c r="C99" s="3090" t="s">
        <v>2707</v>
      </c>
      <c r="D99" s="3090" t="s">
        <v>2708</v>
      </c>
      <c r="E99" s="3116">
        <v>0.1</v>
      </c>
      <c r="F99" s="3116">
        <v>15</v>
      </c>
    </row>
    <row r="100" spans="1:6" ht="13.5">
      <c r="A100" s="3116">
        <v>28</v>
      </c>
      <c r="B100" s="3771"/>
      <c r="C100" s="3090" t="s">
        <v>2709</v>
      </c>
      <c r="D100" s="3090" t="s">
        <v>2710</v>
      </c>
      <c r="E100" s="3116">
        <v>0.1</v>
      </c>
      <c r="F100" s="3116">
        <v>15</v>
      </c>
    </row>
    <row r="101" spans="1:6" ht="13.5">
      <c r="A101" s="3116">
        <v>29</v>
      </c>
      <c r="B101" s="3771"/>
      <c r="C101" s="3090" t="s">
        <v>2711</v>
      </c>
      <c r="D101" s="3090" t="s">
        <v>2712</v>
      </c>
      <c r="E101" s="3116">
        <v>0.1</v>
      </c>
      <c r="F101" s="3116">
        <v>15</v>
      </c>
    </row>
    <row r="102" spans="1:6" ht="13.5">
      <c r="A102" s="3116">
        <v>30</v>
      </c>
      <c r="B102" s="3771"/>
      <c r="C102" s="3090" t="s">
        <v>2713</v>
      </c>
      <c r="D102" s="3090" t="s">
        <v>2714</v>
      </c>
      <c r="E102" s="3116">
        <v>0.1</v>
      </c>
      <c r="F102" s="3116">
        <v>15</v>
      </c>
    </row>
    <row r="103" spans="1:6" ht="24">
      <c r="A103" s="3116">
        <v>31</v>
      </c>
      <c r="B103" s="3771"/>
      <c r="C103" s="3090" t="s">
        <v>2715</v>
      </c>
      <c r="D103" s="3090" t="s">
        <v>2716</v>
      </c>
      <c r="E103" s="3116">
        <v>0.1</v>
      </c>
      <c r="F103" s="3116">
        <v>15</v>
      </c>
    </row>
    <row r="104" spans="1:6" ht="24">
      <c r="A104" s="3116">
        <v>32</v>
      </c>
      <c r="B104" s="3771"/>
      <c r="C104" s="3090" t="s">
        <v>2717</v>
      </c>
      <c r="D104" s="3090" t="s">
        <v>2718</v>
      </c>
      <c r="E104" s="3116">
        <v>0.1</v>
      </c>
      <c r="F104" s="3116">
        <v>15</v>
      </c>
    </row>
    <row r="105" spans="1:6" ht="24">
      <c r="A105" s="3116">
        <v>33</v>
      </c>
      <c r="B105" s="3771"/>
      <c r="C105" s="3090" t="s">
        <v>2719</v>
      </c>
      <c r="D105" s="3090" t="s">
        <v>2720</v>
      </c>
      <c r="E105" s="3116">
        <v>0.1</v>
      </c>
      <c r="F105" s="3116">
        <v>15</v>
      </c>
    </row>
    <row r="106" spans="1:6" ht="24">
      <c r="A106" s="3116">
        <v>34</v>
      </c>
      <c r="B106" s="3780"/>
      <c r="C106" s="3090" t="s">
        <v>2721</v>
      </c>
      <c r="D106" s="3090" t="s">
        <v>2722</v>
      </c>
      <c r="E106" s="3116">
        <v>0.1</v>
      </c>
      <c r="F106" s="3116">
        <v>15</v>
      </c>
    </row>
    <row r="107" spans="1:6" ht="24">
      <c r="A107" s="3116">
        <v>35</v>
      </c>
      <c r="B107" s="3776" t="s">
        <v>2723</v>
      </c>
      <c r="C107" s="3116" t="s">
        <v>2724</v>
      </c>
      <c r="D107" s="3090" t="s">
        <v>2725</v>
      </c>
      <c r="E107" s="3116">
        <v>0.15</v>
      </c>
      <c r="F107" s="3116">
        <v>20</v>
      </c>
    </row>
    <row r="108" spans="1:6" ht="13.5">
      <c r="A108" s="3116">
        <v>36</v>
      </c>
      <c r="B108" s="3771"/>
      <c r="C108" s="3116" t="s">
        <v>2726</v>
      </c>
      <c r="D108" s="3090" t="s">
        <v>2727</v>
      </c>
      <c r="E108" s="3116">
        <v>0.15</v>
      </c>
      <c r="F108" s="3116">
        <v>20</v>
      </c>
    </row>
    <row r="109" spans="1:6" ht="13.5">
      <c r="A109" s="3116">
        <v>37</v>
      </c>
      <c r="B109" s="3771"/>
      <c r="C109" s="3116" t="s">
        <v>2728</v>
      </c>
      <c r="D109" s="3090" t="s">
        <v>2729</v>
      </c>
      <c r="E109" s="3116">
        <v>0.15</v>
      </c>
      <c r="F109" s="3116">
        <v>20</v>
      </c>
    </row>
    <row r="110" spans="1:6" ht="13.5">
      <c r="A110" s="3116">
        <v>38</v>
      </c>
      <c r="B110" s="3771"/>
      <c r="C110" s="3116" t="s">
        <v>2730</v>
      </c>
      <c r="D110" s="3090" t="s">
        <v>2731</v>
      </c>
      <c r="E110" s="3116">
        <v>0.1</v>
      </c>
      <c r="F110" s="3116">
        <v>15</v>
      </c>
    </row>
    <row r="111" spans="1:6" ht="24">
      <c r="A111" s="3116">
        <v>39</v>
      </c>
      <c r="B111" s="3771"/>
      <c r="C111" s="3116" t="s">
        <v>2732</v>
      </c>
      <c r="D111" s="3090" t="s">
        <v>2733</v>
      </c>
      <c r="E111" s="3116">
        <v>0.1</v>
      </c>
      <c r="F111" s="3116">
        <v>15</v>
      </c>
    </row>
    <row r="112" spans="1:6" ht="24">
      <c r="A112" s="3116">
        <v>40</v>
      </c>
      <c r="B112" s="3780"/>
      <c r="C112" s="3116" t="s">
        <v>2734</v>
      </c>
      <c r="D112" s="3090" t="s">
        <v>2735</v>
      </c>
      <c r="E112" s="3116">
        <v>0.1</v>
      </c>
      <c r="F112" s="3116">
        <v>15</v>
      </c>
    </row>
    <row r="113" spans="1:6" ht="13.5">
      <c r="A113" s="3116">
        <v>41</v>
      </c>
      <c r="B113" s="3781" t="s">
        <v>2736</v>
      </c>
      <c r="C113" s="3116" t="s">
        <v>2737</v>
      </c>
      <c r="D113" s="3090" t="s">
        <v>2738</v>
      </c>
      <c r="E113" s="3116">
        <v>0.1</v>
      </c>
      <c r="F113" s="3116">
        <v>15</v>
      </c>
    </row>
    <row r="114" spans="1:6" ht="13.5">
      <c r="A114" s="3116">
        <v>42</v>
      </c>
      <c r="B114" s="3781"/>
      <c r="C114" s="3116" t="s">
        <v>2739</v>
      </c>
      <c r="D114" s="3090" t="s">
        <v>2740</v>
      </c>
      <c r="E114" s="3116">
        <v>0.1</v>
      </c>
      <c r="F114" s="3116">
        <v>15</v>
      </c>
    </row>
    <row r="115" spans="1:6" ht="24">
      <c r="A115" s="3116">
        <v>43</v>
      </c>
      <c r="B115" s="3781"/>
      <c r="C115" s="3116" t="s">
        <v>2741</v>
      </c>
      <c r="D115" s="3090" t="s">
        <v>2742</v>
      </c>
      <c r="E115" s="3116">
        <v>0.1</v>
      </c>
      <c r="F115" s="3116">
        <v>15</v>
      </c>
    </row>
    <row r="116" spans="1:6" ht="13.5">
      <c r="A116" s="3116">
        <v>44</v>
      </c>
      <c r="B116" s="3776" t="s">
        <v>2743</v>
      </c>
      <c r="C116" s="3116" t="s">
        <v>2744</v>
      </c>
      <c r="D116" s="3090" t="s">
        <v>2745</v>
      </c>
      <c r="E116" s="3116">
        <v>0.1</v>
      </c>
      <c r="F116" s="3116">
        <v>15</v>
      </c>
    </row>
    <row r="117" spans="1:6" ht="24">
      <c r="A117" s="3116">
        <v>45</v>
      </c>
      <c r="B117" s="3780"/>
      <c r="C117" s="3090" t="s">
        <v>2746</v>
      </c>
      <c r="D117" s="3090" t="s">
        <v>2747</v>
      </c>
      <c r="E117" s="3116">
        <v>0.1</v>
      </c>
      <c r="F117" s="3116">
        <v>15</v>
      </c>
    </row>
    <row r="118" spans="1:6" ht="24">
      <c r="A118" s="3116">
        <v>46</v>
      </c>
      <c r="B118" s="3776" t="s">
        <v>2748</v>
      </c>
      <c r="C118" s="3116" t="s">
        <v>2749</v>
      </c>
      <c r="D118" s="3090" t="s">
        <v>2750</v>
      </c>
      <c r="E118" s="3116">
        <v>0.1</v>
      </c>
      <c r="F118" s="3116">
        <v>15</v>
      </c>
    </row>
    <row r="119" spans="1:6" ht="24">
      <c r="A119" s="3116">
        <v>47</v>
      </c>
      <c r="B119" s="3780"/>
      <c r="C119" s="3116" t="s">
        <v>2751</v>
      </c>
      <c r="D119" s="3090" t="s">
        <v>2752</v>
      </c>
      <c r="E119" s="3116">
        <v>0.1</v>
      </c>
      <c r="F119" s="3116">
        <v>15</v>
      </c>
    </row>
    <row r="120" spans="1:6" ht="13.5">
      <c r="A120" s="3116">
        <v>48</v>
      </c>
      <c r="B120" s="3776" t="s">
        <v>2753</v>
      </c>
      <c r="C120" s="3116" t="s">
        <v>2754</v>
      </c>
      <c r="D120" s="3090" t="s">
        <v>2755</v>
      </c>
      <c r="E120" s="3116">
        <v>0.1</v>
      </c>
      <c r="F120" s="3116">
        <v>15</v>
      </c>
    </row>
    <row r="121" spans="1:6" ht="13.5">
      <c r="A121" s="3116">
        <v>49</v>
      </c>
      <c r="B121" s="3780"/>
      <c r="C121" s="3116" t="s">
        <v>2756</v>
      </c>
      <c r="D121" s="3090" t="s">
        <v>2757</v>
      </c>
      <c r="E121" s="3116">
        <v>0.1</v>
      </c>
      <c r="F121" s="3116">
        <v>15</v>
      </c>
    </row>
    <row r="122" spans="1:6" ht="24">
      <c r="A122" s="3116">
        <v>50</v>
      </c>
      <c r="B122" s="3781" t="s">
        <v>2758</v>
      </c>
      <c r="C122" s="3116" t="s">
        <v>2759</v>
      </c>
      <c r="D122" s="3090" t="s">
        <v>2760</v>
      </c>
      <c r="E122" s="3116">
        <v>0.1</v>
      </c>
      <c r="F122" s="3116">
        <v>15</v>
      </c>
    </row>
    <row r="123" spans="1:6" ht="24">
      <c r="A123" s="3116">
        <v>51</v>
      </c>
      <c r="B123" s="3781"/>
      <c r="C123" s="3116" t="s">
        <v>2761</v>
      </c>
      <c r="D123" s="3090" t="s">
        <v>2762</v>
      </c>
      <c r="E123" s="3116">
        <v>0.1</v>
      </c>
      <c r="F123" s="3116">
        <v>15</v>
      </c>
    </row>
    <row r="124" spans="1:6" ht="24">
      <c r="A124" s="3116">
        <v>52</v>
      </c>
      <c r="B124" s="3781" t="s">
        <v>2763</v>
      </c>
      <c r="C124" s="3116" t="s">
        <v>2764</v>
      </c>
      <c r="D124" s="3090" t="s">
        <v>2765</v>
      </c>
      <c r="E124" s="3116">
        <v>0.1</v>
      </c>
      <c r="F124" s="3116">
        <v>15</v>
      </c>
    </row>
    <row r="125" spans="1:6" ht="24">
      <c r="A125" s="3116">
        <v>53</v>
      </c>
      <c r="B125" s="3781"/>
      <c r="C125" s="3116" t="s">
        <v>2766</v>
      </c>
      <c r="D125" s="3090" t="s">
        <v>2767</v>
      </c>
      <c r="E125" s="3116">
        <v>0.1</v>
      </c>
      <c r="F125" s="3116">
        <v>15</v>
      </c>
    </row>
    <row r="126" spans="1:6" ht="13.5">
      <c r="A126" s="3116">
        <v>54</v>
      </c>
      <c r="B126" s="3116" t="s">
        <v>2768</v>
      </c>
      <c r="C126" s="3116" t="s">
        <v>2769</v>
      </c>
      <c r="D126" s="3090" t="s">
        <v>2770</v>
      </c>
      <c r="E126" s="3116">
        <v>0.1</v>
      </c>
      <c r="F126" s="3116">
        <v>15</v>
      </c>
    </row>
    <row r="127" spans="1:6" ht="13.5">
      <c r="A127" s="3116">
        <v>55</v>
      </c>
      <c r="B127" s="3781" t="s">
        <v>2771</v>
      </c>
      <c r="C127" s="3116" t="s">
        <v>2772</v>
      </c>
      <c r="D127" s="3090" t="s">
        <v>2773</v>
      </c>
      <c r="E127" s="3116">
        <v>0.1</v>
      </c>
      <c r="F127" s="3116">
        <v>15</v>
      </c>
    </row>
    <row r="128" spans="1:6" ht="13.5">
      <c r="A128" s="3116">
        <v>56</v>
      </c>
      <c r="B128" s="3781"/>
      <c r="C128" s="3116" t="s">
        <v>2774</v>
      </c>
      <c r="D128" s="3090" t="s">
        <v>2775</v>
      </c>
      <c r="E128" s="3116">
        <v>0.1</v>
      </c>
      <c r="F128" s="3116">
        <v>15</v>
      </c>
    </row>
    <row r="129" spans="1:6" ht="24">
      <c r="A129" s="3116">
        <v>57</v>
      </c>
      <c r="B129" s="3781"/>
      <c r="C129" s="3116" t="s">
        <v>2776</v>
      </c>
      <c r="D129" s="3090" t="s">
        <v>2777</v>
      </c>
      <c r="E129" s="3116">
        <v>0.1</v>
      </c>
      <c r="F129" s="3116">
        <v>15</v>
      </c>
    </row>
    <row r="130" spans="1:6" ht="24">
      <c r="A130" s="3116">
        <v>58</v>
      </c>
      <c r="B130" s="3781" t="s">
        <v>2778</v>
      </c>
      <c r="C130" s="3116" t="s">
        <v>2779</v>
      </c>
      <c r="D130" s="3090" t="s">
        <v>2780</v>
      </c>
      <c r="E130" s="3116">
        <v>0.1</v>
      </c>
      <c r="F130" s="3116">
        <v>15</v>
      </c>
    </row>
    <row r="131" spans="1:6" ht="13.5">
      <c r="A131" s="3116">
        <v>59</v>
      </c>
      <c r="B131" s="3781"/>
      <c r="C131" s="3116" t="s">
        <v>2781</v>
      </c>
      <c r="D131" s="3090" t="s">
        <v>2782</v>
      </c>
      <c r="E131" s="3116">
        <v>0.1</v>
      </c>
      <c r="F131" s="3116">
        <v>15</v>
      </c>
    </row>
    <row r="132" spans="1:6" ht="13.5">
      <c r="A132" s="3116">
        <v>60</v>
      </c>
      <c r="B132" s="3776" t="s">
        <v>2783</v>
      </c>
      <c r="C132" s="3116" t="s">
        <v>2784</v>
      </c>
      <c r="D132" s="3090" t="s">
        <v>2785</v>
      </c>
      <c r="E132" s="3116">
        <v>0.1</v>
      </c>
      <c r="F132" s="3116">
        <v>15</v>
      </c>
    </row>
    <row r="133" spans="1:6" ht="13.5">
      <c r="A133" s="3116">
        <v>61</v>
      </c>
      <c r="B133" s="3780"/>
      <c r="C133" s="3116" t="s">
        <v>2786</v>
      </c>
      <c r="D133" s="3090" t="s">
        <v>2787</v>
      </c>
      <c r="E133" s="3116">
        <v>0.1</v>
      </c>
      <c r="F133" s="3116">
        <v>15</v>
      </c>
    </row>
    <row r="134" spans="1:6" ht="24">
      <c r="A134" s="3116">
        <v>62</v>
      </c>
      <c r="B134" s="3116" t="s">
        <v>2788</v>
      </c>
      <c r="C134" s="3116" t="s">
        <v>2789</v>
      </c>
      <c r="D134" s="3090" t="s">
        <v>2790</v>
      </c>
      <c r="E134" s="3116">
        <v>0.1</v>
      </c>
      <c r="F134" s="3116">
        <v>15</v>
      </c>
    </row>
    <row r="135" spans="1:6" ht="13.5">
      <c r="A135" s="3116">
        <v>63</v>
      </c>
      <c r="B135" s="3781" t="s">
        <v>2791</v>
      </c>
      <c r="C135" s="3116" t="s">
        <v>2792</v>
      </c>
      <c r="D135" s="3090" t="s">
        <v>2793</v>
      </c>
      <c r="E135" s="3116">
        <v>0.1</v>
      </c>
      <c r="F135" s="3116">
        <v>15</v>
      </c>
    </row>
    <row r="136" spans="1:6" ht="13.5">
      <c r="A136" s="3116">
        <v>64</v>
      </c>
      <c r="B136" s="3781"/>
      <c r="C136" s="3116" t="s">
        <v>2794</v>
      </c>
      <c r="D136" s="3090" t="s">
        <v>2795</v>
      </c>
      <c r="E136" s="3116">
        <v>0.1</v>
      </c>
      <c r="F136" s="3116">
        <v>15</v>
      </c>
    </row>
    <row r="137" spans="1:6" ht="13.5">
      <c r="A137" s="3116">
        <v>65</v>
      </c>
      <c r="B137" s="3116" t="s">
        <v>2796</v>
      </c>
      <c r="C137" s="3116" t="s">
        <v>2797</v>
      </c>
      <c r="D137" s="3090" t="s">
        <v>2798</v>
      </c>
      <c r="E137" s="3116">
        <v>0.1</v>
      </c>
      <c r="F137" s="3116">
        <v>15</v>
      </c>
    </row>
    <row r="138" spans="1:6" ht="13.5">
      <c r="A138" s="3116"/>
      <c r="B138" s="3116"/>
      <c r="C138" s="3116"/>
      <c r="D138" s="3116"/>
      <c r="E138" s="3116" t="s">
        <v>2799</v>
      </c>
      <c r="F138" s="311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2800</v>
      </c>
      <c r="B1" s="3125"/>
      <c r="C1" s="3125"/>
      <c r="D1" s="3125"/>
      <c r="E1" s="3125"/>
      <c r="F1" s="3125"/>
      <c r="G1" s="3125"/>
      <c r="H1" s="3125"/>
      <c r="I1" s="3125"/>
      <c r="J1" s="3125"/>
      <c r="K1" s="3125"/>
      <c r="L1" s="3125"/>
      <c r="M1" s="3125"/>
      <c r="N1" s="749"/>
    </row>
    <row r="2" spans="1:20">
      <c r="A2" s="3126" t="s">
        <v>2801</v>
      </c>
      <c r="B2" s="3127" t="s">
        <v>2597</v>
      </c>
      <c r="C2" s="3127" t="s">
        <v>2598</v>
      </c>
      <c r="D2" s="3127" t="s">
        <v>2599</v>
      </c>
      <c r="E2" s="3127" t="s">
        <v>2600</v>
      </c>
      <c r="F2" s="3127" t="s">
        <v>2601</v>
      </c>
      <c r="G2" s="3127" t="s">
        <v>2602</v>
      </c>
      <c r="H2" s="3128" t="s">
        <v>2603</v>
      </c>
      <c r="I2" s="3128" t="s">
        <v>2604</v>
      </c>
      <c r="J2" s="3129" t="s">
        <v>2605</v>
      </c>
      <c r="K2" s="3129" t="s">
        <v>2606</v>
      </c>
      <c r="L2" s="3129" t="s">
        <v>2607</v>
      </c>
      <c r="M2" s="3130" t="s">
        <v>2608</v>
      </c>
      <c r="Q2" s="3140" t="s">
        <v>2806</v>
      </c>
      <c r="R2" s="3140" t="s">
        <v>2807</v>
      </c>
      <c r="S2" s="3140" t="s">
        <v>2808</v>
      </c>
      <c r="T2" s="3140" t="s">
        <v>2809</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2802</v>
      </c>
      <c r="B93" s="3125"/>
      <c r="C93" s="3125"/>
      <c r="D93" s="3125"/>
      <c r="E93" s="3125"/>
      <c r="F93" s="3125"/>
      <c r="G93" s="3125"/>
      <c r="H93" s="3125"/>
      <c r="I93" s="3125"/>
      <c r="J93" s="3125"/>
      <c r="K93" s="3125"/>
      <c r="L93" s="3125"/>
      <c r="M93" s="3125"/>
    </row>
    <row r="94" spans="1:20">
      <c r="A94" s="3126" t="s">
        <v>2801</v>
      </c>
      <c r="B94" s="3127" t="s">
        <v>2597</v>
      </c>
      <c r="C94" s="3127" t="s">
        <v>2598</v>
      </c>
      <c r="D94" s="3127" t="s">
        <v>2599</v>
      </c>
      <c r="E94" s="3127" t="s">
        <v>2600</v>
      </c>
      <c r="F94" s="3127" t="s">
        <v>2601</v>
      </c>
      <c r="G94" s="3127" t="s">
        <v>2602</v>
      </c>
      <c r="H94" s="3128" t="s">
        <v>2603</v>
      </c>
      <c r="I94" s="3128" t="s">
        <v>2604</v>
      </c>
      <c r="J94" s="3129" t="s">
        <v>2605</v>
      </c>
      <c r="K94" s="3129" t="s">
        <v>2606</v>
      </c>
      <c r="L94" s="3129" t="s">
        <v>2607</v>
      </c>
      <c r="M94" s="3130" t="s">
        <v>2608</v>
      </c>
      <c r="N94" s="750">
        <f>SUMPRODUCT((A95:A184=ROUNDDOWN(基准地价修正!G3,1))*(B94:M94=基准地价修正!G2)*(B95:M184))</f>
        <v>0</v>
      </c>
      <c r="Q94" s="3140" t="s">
        <v>2806</v>
      </c>
      <c r="R94" s="3140" t="s">
        <v>2807</v>
      </c>
      <c r="S94" s="3140" t="s">
        <v>2808</v>
      </c>
      <c r="T94" s="3140" t="s">
        <v>2809</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2803</v>
      </c>
      <c r="B185" s="3125"/>
      <c r="C185" s="3125"/>
      <c r="D185" s="3125"/>
      <c r="E185" s="3125"/>
      <c r="F185" s="3125"/>
      <c r="G185" s="3125"/>
      <c r="H185" s="3125"/>
      <c r="I185" s="3125"/>
      <c r="J185" s="3125"/>
      <c r="K185" s="3125"/>
      <c r="L185" s="3125"/>
      <c r="M185" s="3125"/>
    </row>
    <row r="186" spans="1:20">
      <c r="A186" s="3126" t="s">
        <v>2801</v>
      </c>
      <c r="B186" s="3127" t="s">
        <v>2597</v>
      </c>
      <c r="C186" s="3127" t="s">
        <v>2598</v>
      </c>
      <c r="D186" s="3127" t="s">
        <v>2599</v>
      </c>
      <c r="E186" s="3127" t="s">
        <v>2600</v>
      </c>
      <c r="F186" s="3127" t="s">
        <v>2601</v>
      </c>
      <c r="G186" s="3127" t="s">
        <v>2602</v>
      </c>
      <c r="H186" s="3128" t="s">
        <v>2603</v>
      </c>
      <c r="I186" s="3128" t="s">
        <v>2604</v>
      </c>
      <c r="J186" s="3129" t="s">
        <v>2605</v>
      </c>
      <c r="K186" s="3129" t="s">
        <v>2606</v>
      </c>
      <c r="L186" s="3129" t="s">
        <v>2607</v>
      </c>
      <c r="M186" s="3130" t="s">
        <v>2608</v>
      </c>
      <c r="Q186" s="3140" t="s">
        <v>2806</v>
      </c>
      <c r="R186" s="3140" t="s">
        <v>2807</v>
      </c>
      <c r="S186" s="3140" t="s">
        <v>2808</v>
      </c>
      <c r="T186" s="3140" t="s">
        <v>2809</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2804</v>
      </c>
      <c r="B277" s="3125"/>
      <c r="C277" s="3125"/>
      <c r="D277" s="3125"/>
      <c r="E277" s="3125"/>
      <c r="F277" s="3125"/>
      <c r="G277" s="3125"/>
      <c r="H277" s="3125"/>
      <c r="I277" s="3125"/>
      <c r="J277" s="3125"/>
      <c r="K277" s="3125"/>
      <c r="L277" s="3125"/>
      <c r="M277" s="3125"/>
    </row>
    <row r="278" spans="1:21">
      <c r="A278" s="3126" t="s">
        <v>2801</v>
      </c>
      <c r="B278" s="3127" t="s">
        <v>2597</v>
      </c>
      <c r="C278" s="3127" t="s">
        <v>2598</v>
      </c>
      <c r="D278" s="3127" t="s">
        <v>2599</v>
      </c>
      <c r="E278" s="3127" t="s">
        <v>2600</v>
      </c>
      <c r="F278" s="3127" t="s">
        <v>2601</v>
      </c>
      <c r="G278" s="3127" t="s">
        <v>2602</v>
      </c>
      <c r="H278" s="3128" t="s">
        <v>2603</v>
      </c>
      <c r="I278" s="3128" t="s">
        <v>2604</v>
      </c>
      <c r="J278" s="3129" t="s">
        <v>2605</v>
      </c>
      <c r="K278" s="3129" t="s">
        <v>2606</v>
      </c>
      <c r="L278" s="3129" t="s">
        <v>2607</v>
      </c>
      <c r="M278" s="3130" t="s">
        <v>2608</v>
      </c>
      <c r="Q278" s="3140" t="s">
        <v>2806</v>
      </c>
      <c r="R278" s="3140" t="s">
        <v>2807</v>
      </c>
      <c r="S278" s="3140" t="s">
        <v>2810</v>
      </c>
      <c r="T278" s="3140" t="s">
        <v>2811</v>
      </c>
      <c r="U278" s="3140" t="s">
        <v>2809</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2805</v>
      </c>
      <c r="B369" s="3138"/>
      <c r="C369" s="3138"/>
      <c r="D369" s="3138"/>
      <c r="E369" s="3138"/>
      <c r="F369" s="3138"/>
      <c r="G369" s="3138"/>
      <c r="H369" s="3138"/>
      <c r="I369" s="3138"/>
      <c r="J369" s="3138"/>
      <c r="K369" s="3138"/>
      <c r="L369" s="3138"/>
      <c r="M369" s="3138"/>
    </row>
    <row r="370" spans="1:20">
      <c r="A370" s="3126" t="s">
        <v>2801</v>
      </c>
      <c r="B370" s="3127" t="s">
        <v>2597</v>
      </c>
      <c r="C370" s="3127" t="s">
        <v>2598</v>
      </c>
      <c r="D370" s="3127" t="s">
        <v>2599</v>
      </c>
      <c r="E370" s="3127" t="s">
        <v>2600</v>
      </c>
      <c r="F370" s="3127" t="s">
        <v>2601</v>
      </c>
      <c r="G370" s="3127" t="s">
        <v>2602</v>
      </c>
      <c r="H370" s="3128" t="s">
        <v>2603</v>
      </c>
      <c r="I370" s="3128" t="s">
        <v>2604</v>
      </c>
      <c r="J370" s="3129" t="s">
        <v>2605</v>
      </c>
      <c r="K370" s="3129" t="s">
        <v>2606</v>
      </c>
      <c r="L370" s="3129" t="s">
        <v>2607</v>
      </c>
      <c r="M370" s="3130" t="s">
        <v>2608</v>
      </c>
      <c r="N370" s="750">
        <f>SUMPRODUCT((A371:A460=ROUNDDOWN(基准地价修正!G3,1))*(B370:M370=基准地价修正!G2)*(B371:M460))</f>
        <v>0</v>
      </c>
      <c r="Q370" s="3140" t="s">
        <v>2806</v>
      </c>
      <c r="R370" s="3140" t="s">
        <v>2807</v>
      </c>
      <c r="S370" s="3140" t="s">
        <v>2808</v>
      </c>
      <c r="T370" s="3140" t="s">
        <v>2809</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0</v>
      </c>
      <c r="D7" s="220"/>
      <c r="E7" s="218"/>
      <c r="F7" s="221">
        <f>'数据-取费表'!B48+'数据-取费表'!B49</f>
        <v>0</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10000</v>
      </c>
      <c r="E9" s="225">
        <f>'数据-取费表'!B27</f>
        <v>0</v>
      </c>
      <c r="F9" s="221"/>
      <c r="G9" s="226"/>
    </row>
    <row r="10" spans="1:7" s="214" customFormat="1" ht="13.5" customHeight="1">
      <c r="A10" s="779" t="s">
        <v>356</v>
      </c>
      <c r="B10" s="224" t="s">
        <v>67</v>
      </c>
      <c r="C10" s="225">
        <f>ROUND(D10*E10/10000,0)</f>
        <v>0</v>
      </c>
      <c r="D10" s="845">
        <f>'数据-汇总表'!E6</f>
        <v>0</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0</v>
      </c>
      <c r="D19" s="849">
        <f>'数据-汇总表'!E3</f>
        <v>10000</v>
      </c>
      <c r="E19" s="211">
        <f>'数据-取费表'!B31</f>
        <v>0</v>
      </c>
      <c r="F19" s="231"/>
      <c r="G19" s="1" t="s">
        <v>436</v>
      </c>
    </row>
    <row r="20" spans="1:7" s="214" customFormat="1" ht="13.5" customHeight="1">
      <c r="A20" s="777" t="s">
        <v>419</v>
      </c>
      <c r="B20" s="210" t="s">
        <v>77</v>
      </c>
      <c r="C20" s="232">
        <f>ROUND((C5+C19)*F20,0)</f>
        <v>0</v>
      </c>
      <c r="D20" s="232"/>
      <c r="E20" s="232"/>
      <c r="F20" s="233">
        <f>'数据-取费表'!B37</f>
        <v>0</v>
      </c>
      <c r="G20" s="1067" t="s">
        <v>430</v>
      </c>
    </row>
    <row r="21" spans="1:7" s="214" customFormat="1" ht="13.5" customHeight="1">
      <c r="A21" s="777" t="s">
        <v>421</v>
      </c>
      <c r="B21" s="210" t="s">
        <v>78</v>
      </c>
      <c r="C21" s="235">
        <f>F21</f>
        <v>0</v>
      </c>
      <c r="D21" s="236" t="s">
        <v>99</v>
      </c>
      <c r="E21" s="232"/>
      <c r="F21" s="233">
        <f>'数据-取费表'!B38</f>
        <v>0</v>
      </c>
      <c r="G21" s="234" t="s">
        <v>79</v>
      </c>
    </row>
    <row r="22" spans="1:7" s="214" customFormat="1" ht="13.5" customHeight="1">
      <c r="A22" s="777" t="s">
        <v>341</v>
      </c>
      <c r="B22" s="210" t="s">
        <v>80</v>
      </c>
      <c r="C22" s="1104" t="e">
        <f ca="1">ROUND(SUM(C23:C25),0)</f>
        <v>#VALUE!</v>
      </c>
      <c r="D22" s="235" t="e">
        <f ca="1">C26</f>
        <v>#VALUE!</v>
      </c>
      <c r="E22" s="236" t="s">
        <v>99</v>
      </c>
      <c r="F22" s="237" t="e">
        <f ca="1">'数据-取费表'!B40</f>
        <v>#VALUE!</v>
      </c>
      <c r="G22" s="1067" t="str">
        <f>IF('数据-取费表'!B22&lt;=1,"单利计息","复利计息")</f>
        <v>单利计息</v>
      </c>
    </row>
    <row r="23" spans="1:7" s="214" customFormat="1" ht="13.5" customHeight="1">
      <c r="A23" s="780" t="s">
        <v>349</v>
      </c>
      <c r="B23" s="215" t="s">
        <v>423</v>
      </c>
      <c r="C23" s="1105" t="e">
        <f ca="1">ROUND(IF('数据-取费表'!B22&lt;=1,C5*F22*'数据-取费表'!B23,C5*(POWER((1+F22),'数据-取费表'!B23)-1)),0)</f>
        <v>#VALUE!</v>
      </c>
      <c r="D23" s="238"/>
      <c r="E23" s="238"/>
      <c r="F23" s="239"/>
      <c r="G23" s="240" t="s">
        <v>81</v>
      </c>
    </row>
    <row r="24" spans="1:7" s="214" customFormat="1" ht="13.5" customHeight="1">
      <c r="A24" s="780" t="s">
        <v>347</v>
      </c>
      <c r="B24" s="215" t="s">
        <v>418</v>
      </c>
      <c r="C24" s="1105" t="e">
        <f ca="1">ROUND(IF('数据-取费表'!B22&lt;=1,C19*F22*('数据-取费表'!B19/2+'数据-取费表'!B21),C19*(POWER((1+F22),('数据-取费表'!B19/2+'数据-取费表'!B21))-1)),0)</f>
        <v>#VALUE!</v>
      </c>
      <c r="D24" s="238"/>
      <c r="E24" s="238"/>
      <c r="F24" s="239"/>
      <c r="G24" s="240" t="s">
        <v>82</v>
      </c>
    </row>
    <row r="25" spans="1:7" s="214" customFormat="1" ht="24">
      <c r="A25" s="780" t="s">
        <v>348</v>
      </c>
      <c r="B25" s="215" t="s">
        <v>420</v>
      </c>
      <c r="C25" s="1105" t="e">
        <f ca="1">ROUND(IF('数据-取费表'!B22&lt;=1,C20*F22*'数据-取费表'!B23/2,C20*(POWER((1+F22),'数据-取费表'!B23/2)-1)),0)</f>
        <v>#VALUE!</v>
      </c>
      <c r="D25" s="238"/>
      <c r="E25" s="241"/>
      <c r="F25" s="239"/>
      <c r="G25" s="242" t="s">
        <v>83</v>
      </c>
    </row>
    <row r="26" spans="1:7" s="214" customFormat="1">
      <c r="A26" s="780" t="s">
        <v>350</v>
      </c>
      <c r="B26" s="215" t="s">
        <v>422</v>
      </c>
      <c r="C26" s="238" t="e">
        <f ca="1">ROUND(IF('数据-取费表'!B22&lt;=1,F21*F22*'数据-取费表'!B23/2,F21*(POWER((1+F22),'数据-取费表'!B23/2)-1)),4)</f>
        <v>#VALUE!</v>
      </c>
      <c r="D26" s="238"/>
      <c r="E26" s="241"/>
      <c r="F26" s="239"/>
      <c r="G26" s="243"/>
    </row>
    <row r="27" spans="1:7" s="214" customFormat="1" ht="24.75">
      <c r="A27" s="777" t="s">
        <v>342</v>
      </c>
      <c r="B27" s="244" t="s">
        <v>85</v>
      </c>
      <c r="C27" s="245" t="e">
        <f>C28</f>
        <v>#DIV/0!</v>
      </c>
      <c r="D27" s="235" t="e">
        <f>C29</f>
        <v>#DIV/0!</v>
      </c>
      <c r="E27" s="236" t="s">
        <v>99</v>
      </c>
      <c r="F27" s="246" t="e">
        <f>'数据-取费表'!Q16</f>
        <v>#DIV/0!</v>
      </c>
      <c r="G27" s="247" t="s">
        <v>431</v>
      </c>
    </row>
    <row r="28" spans="1:7" s="214" customFormat="1" ht="13.5" customHeight="1">
      <c r="A28" s="780" t="s">
        <v>349</v>
      </c>
      <c r="B28" s="248" t="s">
        <v>424</v>
      </c>
      <c r="C28" s="249" t="e">
        <f>ROUND((C5+C19+C20)*F27*'数据-取费表'!B21/'数据-取费表'!B20,0)</f>
        <v>#DIV/0!</v>
      </c>
      <c r="D28" s="235"/>
      <c r="E28" s="236"/>
      <c r="F28" s="246"/>
      <c r="G28" s="247"/>
    </row>
    <row r="29" spans="1:7" s="214" customFormat="1" ht="13.5" customHeight="1">
      <c r="A29" s="780" t="s">
        <v>347</v>
      </c>
      <c r="B29" s="248" t="s">
        <v>425</v>
      </c>
      <c r="C29" s="238" t="e">
        <f>ROUND(C21*F27*'数据-取费表'!B21/'数据-取费表'!B20,4)</f>
        <v>#DIV/0!</v>
      </c>
      <c r="D29" s="235"/>
      <c r="E29" s="236"/>
      <c r="F29" s="246"/>
      <c r="G29" s="247"/>
    </row>
    <row r="30" spans="1:7" s="214" customFormat="1" ht="13.5" customHeight="1">
      <c r="A30" s="777"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0</v>
      </c>
      <c r="D37" s="217">
        <f>'数据-汇总表'!E3</f>
        <v>10000</v>
      </c>
      <c r="E37" s="249">
        <f>'数据-取费表'!B35</f>
        <v>0</v>
      </c>
      <c r="F37" s="259"/>
      <c r="G37" s="261" t="s">
        <v>92</v>
      </c>
    </row>
    <row r="38" spans="1:7" ht="13.5" customHeight="1">
      <c r="A38" s="780" t="s">
        <v>354</v>
      </c>
      <c r="B38" s="215" t="s">
        <v>36</v>
      </c>
      <c r="C38" s="220">
        <f>ROUND(C34*F38,0)</f>
        <v>0</v>
      </c>
      <c r="D38" s="220"/>
      <c r="E38" s="220"/>
      <c r="F38" s="259">
        <f>'数据-取费表'!B36</f>
        <v>0</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v>
      </c>
      <c r="D40" s="236" t="s">
        <v>102</v>
      </c>
      <c r="E40" s="232"/>
      <c r="F40" s="233"/>
      <c r="G40" s="234" t="s">
        <v>93</v>
      </c>
    </row>
    <row r="41" spans="1:7" s="214" customFormat="1" ht="13.5" customHeight="1">
      <c r="A41" s="777" t="s">
        <v>340</v>
      </c>
      <c r="B41" s="210" t="s">
        <v>80</v>
      </c>
      <c r="C41" s="232" t="e">
        <f ca="1">ROUND(SUM(C42:C43),0)</f>
        <v>#VALUE!</v>
      </c>
      <c r="D41" s="235" t="e">
        <f ca="1">C44</f>
        <v>#VALUE!</v>
      </c>
      <c r="E41" s="236" t="s">
        <v>102</v>
      </c>
      <c r="F41" s="237"/>
      <c r="G41" s="1067" t="str">
        <f>IF('数据-取费表'!B22&lt;=1,"单利计息","复利计息")</f>
        <v>单利计息</v>
      </c>
    </row>
    <row r="42" spans="1:7" ht="13.5" customHeight="1">
      <c r="A42" s="780" t="s">
        <v>349</v>
      </c>
      <c r="B42" s="215" t="s">
        <v>423</v>
      </c>
      <c r="C42" s="238" t="e">
        <f ca="1">ROUND(IF('数据-取费表'!B22&lt;=1,C33*F22*'数据-取费表'!B21/2,C33*(POWER((1+F22),'数据-取费表'!B21/2)-1)),0)</f>
        <v>#VALUE!</v>
      </c>
      <c r="D42" s="238"/>
      <c r="E42" s="238"/>
      <c r="F42" s="239"/>
      <c r="G42" s="3644" t="s">
        <v>94</v>
      </c>
    </row>
    <row r="43" spans="1:7" ht="13.5" customHeight="1">
      <c r="A43" s="780" t="s">
        <v>347</v>
      </c>
      <c r="B43" s="215" t="s">
        <v>426</v>
      </c>
      <c r="C43" s="238" t="e">
        <f ca="1">ROUND(IF('数据-取费表'!B22&lt;=1,C39*F22*'数据-取费表'!B21/2,C39*(POWER((1+F22),'数据-取费表'!B21/2)-1)),0)</f>
        <v>#VALUE!</v>
      </c>
      <c r="D43" s="238"/>
      <c r="E43" s="238"/>
      <c r="F43" s="239"/>
      <c r="G43" s="3645"/>
    </row>
    <row r="44" spans="1:7" ht="13.5" customHeight="1">
      <c r="A44" s="780" t="s">
        <v>348</v>
      </c>
      <c r="B44" s="215" t="s">
        <v>428</v>
      </c>
      <c r="C44" s="238" t="e">
        <f ca="1">ROUND(IF('数据-取费表'!B22&lt;=1,C40*F22*'数据-取费表'!B21/2,C40*(POWER((1+F22),'数据-取费表'!B21/2)-1)),4)</f>
        <v>#VALUE!</v>
      </c>
      <c r="D44" s="238"/>
      <c r="E44" s="238"/>
      <c r="F44" s="239"/>
      <c r="G44" s="3646"/>
    </row>
    <row r="45" spans="1:7" s="214" customFormat="1" ht="13.5" customHeight="1">
      <c r="A45" s="777" t="s">
        <v>341</v>
      </c>
      <c r="B45" s="244" t="s">
        <v>85</v>
      </c>
      <c r="C45" s="245" t="e">
        <f>C46</f>
        <v>#DIV/0!</v>
      </c>
      <c r="D45" s="235" t="e">
        <f>C47</f>
        <v>#DIV/0!</v>
      </c>
      <c r="E45" s="236" t="s">
        <v>102</v>
      </c>
      <c r="F45" s="246"/>
      <c r="G45" s="247" t="s">
        <v>434</v>
      </c>
    </row>
    <row r="46" spans="1:7" s="214" customFormat="1" ht="13.5" customHeight="1">
      <c r="A46" s="780" t="s">
        <v>349</v>
      </c>
      <c r="B46" s="248" t="s">
        <v>427</v>
      </c>
      <c r="C46" s="249" t="e">
        <f>ROUND((C33+C39)*F27,0)</f>
        <v>#DIV/0!</v>
      </c>
      <c r="D46" s="263"/>
      <c r="E46" s="236"/>
      <c r="F46" s="246"/>
      <c r="G46" s="247"/>
    </row>
    <row r="47" spans="1:7" s="214" customFormat="1" ht="13.5" customHeight="1">
      <c r="A47" s="780" t="s">
        <v>347</v>
      </c>
      <c r="B47" s="248" t="s">
        <v>429</v>
      </c>
      <c r="C47" s="238" t="e">
        <f>ROUND(C40*F27,4)</f>
        <v>#DIV/0!</v>
      </c>
      <c r="D47" s="263"/>
      <c r="E47" s="236"/>
      <c r="F47" s="246"/>
      <c r="G47" s="247"/>
    </row>
    <row r="48" spans="1:7" s="214" customFormat="1" ht="13.5" customHeight="1">
      <c r="A48" s="777" t="s">
        <v>342</v>
      </c>
      <c r="B48" s="210" t="s">
        <v>95</v>
      </c>
      <c r="C48" s="262">
        <f>F30</f>
        <v>0</v>
      </c>
      <c r="D48" s="236" t="s">
        <v>103</v>
      </c>
      <c r="E48" s="232"/>
      <c r="F48" s="237"/>
      <c r="G48" s="234" t="s">
        <v>96</v>
      </c>
    </row>
    <row r="49" spans="1:7" ht="16.5" customHeight="1">
      <c r="A49" s="777" t="s">
        <v>343</v>
      </c>
      <c r="B49" s="210" t="s">
        <v>104</v>
      </c>
      <c r="C49" s="232" t="e">
        <f ca="1">ROUND((C33+C39+C41+C45)/(1-C40-D41-D45-C48/(1+'数据-取费表'!B42)),0)</f>
        <v>#VALUE!</v>
      </c>
      <c r="D49" s="232"/>
      <c r="E49" s="232"/>
      <c r="F49" s="264"/>
      <c r="G49" s="234" t="s">
        <v>435</v>
      </c>
    </row>
    <row r="50" spans="1:7" s="258" customFormat="1" ht="24">
      <c r="A50" s="777" t="s">
        <v>344</v>
      </c>
      <c r="B50" s="210" t="s">
        <v>97</v>
      </c>
      <c r="C50" s="232"/>
      <c r="D50" s="232"/>
      <c r="E50" s="232"/>
      <c r="F50" s="264" t="e">
        <f>IF('数据-取费表'!B24=0,'数据-取费表'!N16,1)</f>
        <v>#DIV/0!</v>
      </c>
      <c r="G50" s="247" t="s">
        <v>98</v>
      </c>
    </row>
    <row r="51" spans="1:7" ht="16.5" customHeight="1">
      <c r="A51" s="777"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4" t="s">
        <v>2843</v>
      </c>
      <c r="B1" s="3784"/>
      <c r="C1" s="3784"/>
      <c r="D1" s="3784"/>
      <c r="E1" s="3784"/>
      <c r="F1" s="3784"/>
      <c r="G1" s="3785"/>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2"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82" t="s">
        <v>2870</v>
      </c>
      <c r="B3" s="3228"/>
      <c r="C3" s="3229" t="s">
        <v>2813</v>
      </c>
      <c r="D3" s="3229" t="s">
        <v>2871</v>
      </c>
      <c r="E3" s="3229" t="s">
        <v>2815</v>
      </c>
      <c r="F3" s="3229" t="s">
        <v>2872</v>
      </c>
      <c r="G3" s="3229" t="s">
        <v>2633</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2" thickBot="1">
      <c r="A4" s="3783"/>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2"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2"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2"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2"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6" t="s">
        <v>3185</v>
      </c>
      <c r="B1" s="3786"/>
    </row>
    <row r="2" spans="1:7" ht="14.25" thickBot="1">
      <c r="A2" s="3253"/>
      <c r="B2" s="3253"/>
    </row>
    <row r="3" spans="1:7" ht="14.25" thickBot="1">
      <c r="A3" s="3253"/>
      <c r="B3" s="3253"/>
      <c r="C3" s="3254" t="s">
        <v>2813</v>
      </c>
      <c r="D3" s="3254" t="s">
        <v>2871</v>
      </c>
      <c r="E3" s="3254" t="s">
        <v>2815</v>
      </c>
      <c r="F3" s="3254" t="s">
        <v>2872</v>
      </c>
      <c r="G3" s="3254" t="s">
        <v>2633</v>
      </c>
    </row>
    <row r="4" spans="1:7" ht="14.2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4.2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4.2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4.2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4.2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4.2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4.2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4.2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4.2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4.2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4.2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8"/>
  </cols>
  <sheetData>
    <row r="1" spans="1:6">
      <c r="A1" s="3787" t="s">
        <v>3236</v>
      </c>
      <c r="B1" s="3787"/>
      <c r="C1" s="3787"/>
      <c r="D1" s="3787"/>
      <c r="E1" s="3787"/>
      <c r="F1" s="3788"/>
    </row>
    <row r="2" spans="1:6">
      <c r="A2" s="3289" t="s">
        <v>3237</v>
      </c>
      <c r="B2" s="3290"/>
      <c r="C2" s="3290"/>
      <c r="D2" s="3290"/>
      <c r="E2" s="3290"/>
      <c r="F2" s="3290"/>
    </row>
    <row r="3" spans="1:6">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9">
        <f>基准地价修正!G23</f>
        <v>45253</v>
      </c>
      <c r="B1" s="3208" t="s">
        <v>2842</v>
      </c>
      <c r="C1" s="3209"/>
      <c r="D1" s="3209"/>
      <c r="E1" s="3209"/>
      <c r="F1" s="3209"/>
      <c r="G1" s="3209"/>
      <c r="H1" s="3209"/>
      <c r="I1" s="3209"/>
      <c r="J1" s="3163"/>
      <c r="K1" s="3209" t="s">
        <v>454</v>
      </c>
      <c r="L1" s="3209"/>
      <c r="M1" s="3209"/>
      <c r="N1" s="3209"/>
      <c r="O1" s="3209"/>
      <c r="P1" s="3209"/>
      <c r="Q1" s="3163"/>
      <c r="R1" s="3789" t="s">
        <v>456</v>
      </c>
      <c r="S1" s="3790"/>
      <c r="T1" s="3790"/>
      <c r="U1" s="3790"/>
      <c r="V1" s="3790"/>
      <c r="W1" s="3790"/>
      <c r="X1" s="3163"/>
      <c r="Y1" s="3789" t="s">
        <v>457</v>
      </c>
      <c r="Z1" s="3790"/>
      <c r="AA1" s="3790"/>
      <c r="AB1" s="3790"/>
      <c r="AC1" s="3790"/>
      <c r="AD1" s="3790"/>
    </row>
    <row r="2" spans="1:30" s="3141" customFormat="1" ht="14.25" thickBot="1">
      <c r="B2" s="3142"/>
      <c r="C2" s="3143"/>
      <c r="D2" s="3144" t="s">
        <v>2812</v>
      </c>
      <c r="E2" s="3145" t="s">
        <v>2813</v>
      </c>
      <c r="F2" s="3145" t="s">
        <v>2814</v>
      </c>
      <c r="G2" s="3145" t="s">
        <v>2815</v>
      </c>
      <c r="H2" s="3145" t="s">
        <v>2816</v>
      </c>
      <c r="I2" s="3145" t="s">
        <v>2633</v>
      </c>
      <c r="J2" s="3146"/>
      <c r="K2" s="3144" t="s">
        <v>2812</v>
      </c>
      <c r="L2" s="3145" t="s">
        <v>2813</v>
      </c>
      <c r="M2" s="3145" t="s">
        <v>2814</v>
      </c>
      <c r="N2" s="3145" t="s">
        <v>2815</v>
      </c>
      <c r="O2" s="3145" t="s">
        <v>2817</v>
      </c>
      <c r="P2" s="3145" t="s">
        <v>2633</v>
      </c>
      <c r="Q2" s="3146"/>
      <c r="R2" s="3144" t="s">
        <v>2812</v>
      </c>
      <c r="S2" s="3145" t="s">
        <v>2813</v>
      </c>
      <c r="T2" s="3145" t="s">
        <v>2814</v>
      </c>
      <c r="U2" s="3145" t="s">
        <v>2818</v>
      </c>
      <c r="V2" s="3145" t="s">
        <v>2819</v>
      </c>
      <c r="W2" s="3145" t="s">
        <v>2633</v>
      </c>
      <c r="X2" s="3146"/>
      <c r="Y2" s="3144" t="s">
        <v>2812</v>
      </c>
      <c r="Z2" s="3145" t="s">
        <v>2813</v>
      </c>
      <c r="AA2" s="3145" t="s">
        <v>2814</v>
      </c>
      <c r="AB2" s="3145" t="s">
        <v>2820</v>
      </c>
      <c r="AC2" s="3145" t="s">
        <v>2819</v>
      </c>
      <c r="AD2" s="3145" t="s">
        <v>2633</v>
      </c>
    </row>
    <row r="3" spans="1:30" s="3159" customFormat="1" ht="12.75">
      <c r="A3" s="3147" t="s">
        <v>2821</v>
      </c>
      <c r="B3" s="3148"/>
      <c r="C3" s="3149"/>
      <c r="D3" s="3149">
        <f>ROUND(AVERAGEIF(D4:D16,"&lt;&gt;0"),2)</f>
        <v>0.82</v>
      </c>
      <c r="E3" s="3149">
        <f t="shared" ref="E3:H3" si="0">ROUND(AVERAGEIF(E4:E16,"&lt;&gt;0"),2)</f>
        <v>0.38</v>
      </c>
      <c r="F3" s="3149">
        <f t="shared" si="0"/>
        <v>0.2</v>
      </c>
      <c r="G3" s="3149">
        <f t="shared" si="0"/>
        <v>0.89</v>
      </c>
      <c r="H3" s="3149">
        <f t="shared" si="0"/>
        <v>0.64</v>
      </c>
      <c r="I3" s="3149">
        <f>F3</f>
        <v>0.2</v>
      </c>
      <c r="J3" s="3150"/>
      <c r="K3" s="3151">
        <f>ROUND(AVERAGEIF(K4:K16,"&lt;&gt;0"),4)</f>
        <v>8.2000000000000007E-3</v>
      </c>
      <c r="L3" s="3152">
        <f t="shared" ref="L3:O3" si="1">ROUND(AVERAGEIF(L4:L16,"&lt;&gt;0"),4)</f>
        <v>3.8E-3</v>
      </c>
      <c r="M3" s="3152">
        <f t="shared" si="1"/>
        <v>2E-3</v>
      </c>
      <c r="N3" s="3152">
        <f t="shared" si="1"/>
        <v>8.8999999999999999E-3</v>
      </c>
      <c r="O3" s="3152">
        <f t="shared" si="1"/>
        <v>6.4000000000000003E-3</v>
      </c>
      <c r="P3" s="3152">
        <f>M3</f>
        <v>2E-3</v>
      </c>
      <c r="Q3" s="3150"/>
      <c r="R3" s="3153">
        <f>ROUND(SUMPRODUCT(PRODUCT(1+K4:K16)),4)</f>
        <v>1.0763</v>
      </c>
      <c r="S3" s="3154">
        <f t="shared" ref="S3:V3" si="2">ROUND(SUMPRODUCT(PRODUCT(1+L4:L16)),4)</f>
        <v>1.0343</v>
      </c>
      <c r="T3" s="3154">
        <f t="shared" si="2"/>
        <v>1.0177</v>
      </c>
      <c r="U3" s="3154">
        <f t="shared" si="2"/>
        <v>1.0833999999999999</v>
      </c>
      <c r="V3" s="3154">
        <f t="shared" si="2"/>
        <v>1.0592999999999999</v>
      </c>
      <c r="W3" s="3153">
        <f>T3</f>
        <v>1.0177</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3373</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1.0659000000000001</v>
      </c>
      <c r="S5" s="3181">
        <f>ROUND(IF(项目基本情况!$B$8="出让",SUMPRODUCT(PRODUCT(1+L5:$L$16)),SUMPRODUCT(PRODUCT(1+L5:$L$15))),4)</f>
        <v>1.0326</v>
      </c>
      <c r="T5" s="3181">
        <f>ROUND(IF(项目基本情况!$B$8="出让",SUMPRODUCT(PRODUCT(1+M5:$M$16)),SUMPRODUCT(PRODUCT(1+M5:$M$15))),4)</f>
        <v>1.0203</v>
      </c>
      <c r="U5" s="3181">
        <f>ROUND(IF(项目基本情况!$B$8="出让",SUMPRODUCT(PRODUCT(1+N5:$N$16)),SUMPRODUCT(PRODUCT(1+N5:$N$15))),4)</f>
        <v>1.0714999999999999</v>
      </c>
      <c r="V5" s="3181">
        <f>ROUND(IF(项目基本情况!$B$8="出让",SUMPRODUCT(PRODUCT(1+O5:$O$16)),SUMPRODUCT(PRODUCT(1+O5:$O$15))),4)</f>
        <v>1.0555000000000001</v>
      </c>
      <c r="W5" s="3181">
        <f>T5</f>
        <v>1.0203</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3374</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1.0659000000000001</v>
      </c>
      <c r="S6" s="3181">
        <f>ROUND(IF(项目基本情况!$B$8="出让",SUMPRODUCT(PRODUCT(1+L6:$L$16)),SUMPRODUCT(PRODUCT(1+L6:$L$15))),4)</f>
        <v>1.0326</v>
      </c>
      <c r="T6" s="3181">
        <f>ROUND(IF(项目基本情况!$B$8="出让",SUMPRODUCT(PRODUCT(1+M6:$M$16)),SUMPRODUCT(PRODUCT(1+M6:$M$15))),4)</f>
        <v>1.0203</v>
      </c>
      <c r="U6" s="3181">
        <f>ROUND(IF(项目基本情况!$B$8="出让",SUMPRODUCT(PRODUCT(1+N6:$N$16)),SUMPRODUCT(PRODUCT(1+N6:$N$15))),4)</f>
        <v>1.0714999999999999</v>
      </c>
      <c r="V6" s="3181">
        <f>ROUND(IF(项目基本情况!$B$8="出让",SUMPRODUCT(PRODUCT(1+O6:$O$16)),SUMPRODUCT(PRODUCT(1+O6:$O$15))),4)</f>
        <v>1.0555000000000001</v>
      </c>
      <c r="W6" s="3181">
        <f t="shared" ref="W6:W8" si="14">T6</f>
        <v>1.0203</v>
      </c>
      <c r="X6" s="3179"/>
      <c r="Y6" s="3182"/>
      <c r="Z6" s="3182"/>
      <c r="AA6" s="3182"/>
      <c r="AB6" s="3182"/>
      <c r="AC6" s="3182"/>
      <c r="AD6" s="3182"/>
    </row>
    <row r="7" spans="1:30" s="3183" customFormat="1" ht="12.75">
      <c r="A7" s="3174" t="s">
        <v>3372</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1.0659000000000001</v>
      </c>
      <c r="S7" s="3181">
        <f>ROUND(IF(项目基本情况!$B$8="出让",SUMPRODUCT(PRODUCT(1+L7:$L$16)),SUMPRODUCT(PRODUCT(1+L7:$L$15))),4)</f>
        <v>1.0326</v>
      </c>
      <c r="T7" s="3181">
        <f>ROUND(IF(项目基本情况!$B$8="出让",SUMPRODUCT(PRODUCT(1+M7:$M$16)),SUMPRODUCT(PRODUCT(1+M7:$M$15))),4)</f>
        <v>1.0203</v>
      </c>
      <c r="U7" s="3181">
        <f>ROUND(IF(项目基本情况!$B$8="出让",SUMPRODUCT(PRODUCT(1+N7:$N$16)),SUMPRODUCT(PRODUCT(1+N7:$N$15))),4)</f>
        <v>1.0714999999999999</v>
      </c>
      <c r="V7" s="3181">
        <f>ROUND(IF(项目基本情况!$B$8="出让",SUMPRODUCT(PRODUCT(1+O7:$O$16)),SUMPRODUCT(PRODUCT(1+O7:$O$15))),4)</f>
        <v>1.0555000000000001</v>
      </c>
      <c r="W7" s="3181">
        <f t="shared" si="14"/>
        <v>1.0203</v>
      </c>
      <c r="X7" s="3179"/>
      <c r="Y7" s="3182"/>
      <c r="Z7" s="3182"/>
      <c r="AA7" s="3182"/>
      <c r="AB7" s="3182"/>
      <c r="AC7" s="3182"/>
      <c r="AD7" s="3182"/>
    </row>
    <row r="8" spans="1:30" s="3193" customFormat="1" ht="12.75">
      <c r="A8" s="3184" t="s">
        <v>3375</v>
      </c>
      <c r="B8" s="3185">
        <v>2023</v>
      </c>
      <c r="C8" s="3186">
        <v>1</v>
      </c>
      <c r="D8" s="3187">
        <v>0.89</v>
      </c>
      <c r="E8" s="3187">
        <v>0.74</v>
      </c>
      <c r="F8" s="3187">
        <v>0.56999999999999995</v>
      </c>
      <c r="G8" s="3187">
        <v>0.92</v>
      </c>
      <c r="H8" s="3188">
        <v>0.5</v>
      </c>
      <c r="I8" s="3189">
        <f t="shared" si="4"/>
        <v>0.56999999999999995</v>
      </c>
      <c r="J8" s="3190"/>
      <c r="K8" s="3191">
        <f t="shared" si="8"/>
        <v>8.8999999999999999E-3</v>
      </c>
      <c r="L8" s="3192">
        <f t="shared" si="9"/>
        <v>7.4000000000000003E-3</v>
      </c>
      <c r="M8" s="3192">
        <f t="shared" si="10"/>
        <v>5.6999999999999993E-3</v>
      </c>
      <c r="N8" s="3192">
        <f t="shared" si="11"/>
        <v>9.1999999999999998E-3</v>
      </c>
      <c r="O8" s="3192">
        <f t="shared" si="12"/>
        <v>5.0000000000000001E-3</v>
      </c>
      <c r="P8" s="3192">
        <f t="shared" si="13"/>
        <v>5.6999999999999993E-3</v>
      </c>
      <c r="Q8" s="3190"/>
      <c r="R8" s="3190">
        <f>ROUND(IF(项目基本情况!$B$8="出让",SUMPRODUCT(PRODUCT(1+K8:$K$16)),SUMPRODUCT(PRODUCT(1+K8:$K$15))),4)</f>
        <v>1.0659000000000001</v>
      </c>
      <c r="S8" s="3190">
        <f>ROUND(IF(项目基本情况!$B$8="出让",SUMPRODUCT(PRODUCT(1+L8:$L$16)),SUMPRODUCT(PRODUCT(1+L8:$L$15))),4)</f>
        <v>1.0326</v>
      </c>
      <c r="T8" s="3190">
        <f>ROUND(IF(项目基本情况!$B$8="出让",SUMPRODUCT(PRODUCT(1+M8:$M$16)),SUMPRODUCT(PRODUCT(1+M8:$M$15))),4)</f>
        <v>1.0203</v>
      </c>
      <c r="U8" s="3190">
        <f>ROUND(IF(项目基本情况!$B$8="出让",SUMPRODUCT(PRODUCT(1+N8:$N$16)),SUMPRODUCT(PRODUCT(1+N8:$N$15))),4)</f>
        <v>1.0714999999999999</v>
      </c>
      <c r="V8" s="3190">
        <f>ROUND(IF(项目基本情况!$B$8="出让",SUMPRODUCT(PRODUCT(1+O8:$O$16)),SUMPRODUCT(PRODUCT(1+O8:$O$15))),4)</f>
        <v>1.0555000000000001</v>
      </c>
      <c r="W8" s="3190">
        <f t="shared" si="14"/>
        <v>1.0203</v>
      </c>
      <c r="X8" s="3190"/>
      <c r="Y8" s="3192"/>
      <c r="Z8" s="3192"/>
      <c r="AA8" s="3192"/>
      <c r="AB8" s="3192"/>
      <c r="AC8" s="3192"/>
      <c r="AD8" s="3192"/>
    </row>
    <row r="9" spans="1:30" s="3183" customFormat="1" ht="12.75">
      <c r="A9" s="3174" t="s">
        <v>3376</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3368</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3359</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2822</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2823</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2824</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2825</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2826</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3370</v>
      </c>
    </row>
    <row r="19" spans="1:30" s="3007" customFormat="1">
      <c r="I19" s="3206" t="s">
        <v>2827</v>
      </c>
    </row>
    <row r="20" spans="1:30" s="3007" customFormat="1"/>
    <row r="21" spans="1:30" s="3207" customFormat="1" ht="12.75">
      <c r="B21" s="3208" t="s">
        <v>2828</v>
      </c>
      <c r="C21" s="3209"/>
      <c r="D21" s="3209"/>
      <c r="E21" s="3209"/>
      <c r="F21" s="3209"/>
      <c r="G21" s="3209"/>
      <c r="H21" s="3209"/>
      <c r="I21" s="3209"/>
      <c r="J21" s="3163"/>
      <c r="K21" s="3209" t="s">
        <v>2829</v>
      </c>
      <c r="L21" s="3209"/>
      <c r="M21" s="3209"/>
      <c r="N21" s="3209"/>
      <c r="O21" s="3209"/>
      <c r="P21" s="3209"/>
      <c r="Q21" s="3163"/>
      <c r="R21" s="3789" t="s">
        <v>2830</v>
      </c>
      <c r="S21" s="3790"/>
      <c r="T21" s="3790"/>
      <c r="U21" s="3790"/>
      <c r="V21" s="3790"/>
      <c r="W21" s="3790"/>
      <c r="X21" s="3163"/>
      <c r="Y21" s="3789" t="s">
        <v>2831</v>
      </c>
      <c r="Z21" s="3790"/>
      <c r="AA21" s="3790"/>
      <c r="AB21" s="3790"/>
      <c r="AC21" s="3790"/>
      <c r="AD21" s="3790"/>
    </row>
    <row r="22" spans="1:30" s="3141" customFormat="1" ht="14.25" thickBot="1">
      <c r="B22" s="3142"/>
      <c r="C22" s="3143"/>
      <c r="D22" s="3144" t="s">
        <v>2832</v>
      </c>
      <c r="E22" s="3145" t="s">
        <v>2833</v>
      </c>
      <c r="F22" s="3145" t="s">
        <v>2834</v>
      </c>
      <c r="G22" s="3145" t="s">
        <v>2835</v>
      </c>
      <c r="H22" s="3145"/>
      <c r="I22" s="3145" t="s">
        <v>2836</v>
      </c>
      <c r="J22" s="3146"/>
      <c r="K22" s="3144" t="s">
        <v>2832</v>
      </c>
      <c r="L22" s="3145" t="s">
        <v>2833</v>
      </c>
      <c r="M22" s="3145" t="s">
        <v>2834</v>
      </c>
      <c r="N22" s="3145" t="s">
        <v>2835</v>
      </c>
      <c r="O22" s="3145"/>
      <c r="P22" s="3145" t="s">
        <v>2836</v>
      </c>
      <c r="Q22" s="3146"/>
      <c r="R22" s="3144" t="s">
        <v>2832</v>
      </c>
      <c r="S22" s="3145" t="s">
        <v>2833</v>
      </c>
      <c r="T22" s="3145" t="s">
        <v>2834</v>
      </c>
      <c r="U22" s="3145" t="s">
        <v>2835</v>
      </c>
      <c r="V22" s="3145"/>
      <c r="W22" s="3145" t="s">
        <v>2836</v>
      </c>
      <c r="X22" s="3146"/>
      <c r="Y22" s="3144" t="s">
        <v>2832</v>
      </c>
      <c r="Z22" s="3145" t="s">
        <v>2833</v>
      </c>
      <c r="AA22" s="3145" t="s">
        <v>2834</v>
      </c>
      <c r="AB22" s="3145" t="s">
        <v>2835</v>
      </c>
      <c r="AC22" s="3145"/>
      <c r="AD22" s="3145" t="s">
        <v>2836</v>
      </c>
    </row>
    <row r="23" spans="1:30" s="3159" customFormat="1" ht="12.75">
      <c r="A23" s="3147" t="s">
        <v>2837</v>
      </c>
      <c r="B23" s="3148"/>
      <c r="C23" s="3149"/>
      <c r="D23" s="3149"/>
      <c r="E23" s="3149">
        <f t="shared" ref="E23:G23" si="22">ROUND(AVERAGEIF(E24:E36,"&lt;&gt;0"),2)</f>
        <v>0.42</v>
      </c>
      <c r="F23" s="3149">
        <f t="shared" si="22"/>
        <v>0.3</v>
      </c>
      <c r="G23" s="3149">
        <f t="shared" si="22"/>
        <v>0.73</v>
      </c>
      <c r="H23" s="3149"/>
      <c r="I23" s="3149">
        <f>F23</f>
        <v>0.3</v>
      </c>
      <c r="J23" s="3150"/>
      <c r="K23" s="3151"/>
      <c r="L23" s="3152">
        <f t="shared" ref="L23:N23" si="23">ROUND(AVERAGEIF(L24:L36,"&lt;&gt;0"),4)</f>
        <v>4.1999999999999997E-3</v>
      </c>
      <c r="M23" s="3152">
        <f t="shared" si="23"/>
        <v>3.0000000000000001E-3</v>
      </c>
      <c r="N23" s="3152">
        <f t="shared" si="23"/>
        <v>7.3000000000000001E-3</v>
      </c>
      <c r="O23" s="3152"/>
      <c r="P23" s="3152">
        <f>M23</f>
        <v>3.0000000000000001E-3</v>
      </c>
      <c r="Q23" s="3150"/>
      <c r="R23" s="3153"/>
      <c r="S23" s="3154">
        <f>ROUND(SUMPRODUCT(PRODUCT(1+L24:L36)),4)</f>
        <v>1.038</v>
      </c>
      <c r="T23" s="3154">
        <f t="shared" ref="T23:U23" si="24">ROUND(SUMPRODUCT(PRODUCT(1+M24:M36)),4)</f>
        <v>1.0273000000000001</v>
      </c>
      <c r="U23" s="3154">
        <f t="shared" si="24"/>
        <v>1.0677000000000001</v>
      </c>
      <c r="V23" s="3154"/>
      <c r="W23" s="3153">
        <f>T23</f>
        <v>1.0273000000000001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3373</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1.0344</v>
      </c>
      <c r="T25" s="3181">
        <f>ROUND(IF([2]项目基本情况!$B$8="出让",SUMPRODUCT(PRODUCT(1+M25:M$36)),SUMPRODUCT(PRODUCT(1+M25:M$35))),4)</f>
        <v>1.0224</v>
      </c>
      <c r="U25" s="3181">
        <f>ROUND(IF([2]项目基本情况!$B$8="出让",SUMPRODUCT(PRODUCT(1+N25:N$36)),SUMPRODUCT(PRODUCT(1+N25:N$35))),4)</f>
        <v>1.0573999999999999</v>
      </c>
      <c r="V25" s="3181"/>
      <c r="W25" s="3181">
        <f>T25</f>
        <v>1.0224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3374</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1.0344</v>
      </c>
      <c r="T26" s="3181">
        <f>ROUND(IF([2]项目基本情况!$B$8="出让",SUMPRODUCT(PRODUCT(1+M26:M$36)),SUMPRODUCT(PRODUCT(1+M26:M$35))),4)</f>
        <v>1.0224</v>
      </c>
      <c r="U26" s="3181">
        <f>ROUND(IF([2]项目基本情况!$B$8="出让",SUMPRODUCT(PRODUCT(1+N26:N$36)),SUMPRODUCT(PRODUCT(1+N26:N$35))),4)</f>
        <v>1.0573999999999999</v>
      </c>
      <c r="V26" s="3181"/>
      <c r="W26" s="3181">
        <f t="shared" ref="W26:W28" si="32">T26</f>
        <v>1.0224</v>
      </c>
      <c r="X26" s="3179"/>
      <c r="Y26" s="3182"/>
      <c r="Z26" s="3210"/>
      <c r="AA26" s="3447"/>
      <c r="AB26" s="3447"/>
      <c r="AC26" s="3211"/>
      <c r="AD26" s="3182"/>
    </row>
    <row r="27" spans="1:30" s="3183" customFormat="1" ht="12.75">
      <c r="A27" s="3174" t="s">
        <v>3372</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ROUND(IF([2]项目基本情况!$B$8="出让",SUMPRODUCT(PRODUCT(1+L27:L$36)),SUMPRODUCT(PRODUCT(1+L27:L$35))),4)</f>
        <v>1.0344</v>
      </c>
      <c r="T27" s="3181">
        <f>ROUND(IF([2]项目基本情况!$B$8="出让",SUMPRODUCT(PRODUCT(1+M27:M$36)),SUMPRODUCT(PRODUCT(1+M27:M$35))),4)</f>
        <v>1.0224</v>
      </c>
      <c r="U27" s="3181">
        <f>ROUND(IF([2]项目基本情况!$B$8="出让",SUMPRODUCT(PRODUCT(1+N27:N$36)),SUMPRODUCT(PRODUCT(1+N27:N$35))),4)</f>
        <v>1.0573999999999999</v>
      </c>
      <c r="V27" s="3181"/>
      <c r="W27" s="3181">
        <f t="shared" si="32"/>
        <v>1.0224</v>
      </c>
      <c r="X27" s="3179"/>
      <c r="Y27" s="3182"/>
      <c r="Z27" s="3210"/>
      <c r="AA27" s="3447"/>
      <c r="AB27" s="3447"/>
      <c r="AC27" s="3211"/>
      <c r="AD27" s="3182"/>
    </row>
    <row r="28" spans="1:30" s="3193" customFormat="1" ht="12.75">
      <c r="A28" s="3184" t="s">
        <v>3375</v>
      </c>
      <c r="B28" s="3185">
        <v>2023</v>
      </c>
      <c r="C28" s="3186">
        <v>1</v>
      </c>
      <c r="D28" s="3187"/>
      <c r="E28" s="3187">
        <v>0.55000000000000004</v>
      </c>
      <c r="F28" s="3187">
        <v>0.59</v>
      </c>
      <c r="G28" s="3187">
        <v>0.64</v>
      </c>
      <c r="H28" s="3188"/>
      <c r="I28" s="3189">
        <f t="shared" si="26"/>
        <v>0.59</v>
      </c>
      <c r="J28" s="3190"/>
      <c r="K28" s="3191"/>
      <c r="L28" s="3192">
        <f t="shared" si="28"/>
        <v>5.5000000000000005E-3</v>
      </c>
      <c r="M28" s="3192">
        <f t="shared" si="29"/>
        <v>5.8999999999999999E-3</v>
      </c>
      <c r="N28" s="3192">
        <f t="shared" si="30"/>
        <v>6.4000000000000003E-3</v>
      </c>
      <c r="O28" s="3192"/>
      <c r="P28" s="3192">
        <f t="shared" si="31"/>
        <v>5.8999999999999999E-3</v>
      </c>
      <c r="Q28" s="3190"/>
      <c r="R28" s="3190"/>
      <c r="S28" s="3190">
        <f>ROUND(IF([2]项目基本情况!$B$8="出让",SUMPRODUCT(PRODUCT(1+L28:L$36)),SUMPRODUCT(PRODUCT(1+L28:L$35))),4)</f>
        <v>1.0344</v>
      </c>
      <c r="T28" s="3190">
        <f>ROUND(IF([2]项目基本情况!$B$8="出让",SUMPRODUCT(PRODUCT(1+M28:M$36)),SUMPRODUCT(PRODUCT(1+M28:M$35))),4)</f>
        <v>1.0224</v>
      </c>
      <c r="U28" s="3190">
        <f>ROUND(IF([2]项目基本情况!$B$8="出让",SUMPRODUCT(PRODUCT(1+N28:N$36)),SUMPRODUCT(PRODUCT(1+N28:N$35))),4)</f>
        <v>1.0573999999999999</v>
      </c>
      <c r="V28" s="3190"/>
      <c r="W28" s="3190">
        <f t="shared" si="32"/>
        <v>1.0224</v>
      </c>
      <c r="X28" s="3190"/>
      <c r="Y28" s="3192"/>
      <c r="Z28" s="3213"/>
      <c r="AA28" s="3214"/>
      <c r="AB28" s="3192"/>
      <c r="AC28" s="3215"/>
      <c r="AD28" s="3192"/>
    </row>
    <row r="29" spans="1:30" s="3183" customFormat="1" ht="12.75">
      <c r="A29" s="3174" t="s">
        <v>3376</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3369</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3359</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2838</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2839</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2840</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2841</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2826</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6" t="s">
        <v>452</v>
      </c>
      <c r="C1" s="3796"/>
      <c r="D1" s="3796"/>
      <c r="E1" s="3796"/>
      <c r="F1" s="3796"/>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45253</v>
      </c>
      <c r="D1" s="1302" t="s">
        <v>603</v>
      </c>
      <c r="E1" s="1297">
        <f>'数据-取费表'!B22</f>
        <v>0</v>
      </c>
      <c r="F1" s="1302" t="s">
        <v>604</v>
      </c>
      <c r="G1" s="1298" t="e">
        <f ca="1">INDIRECT("d"&amp;$K$1)/100</f>
        <v>#VALUE!</v>
      </c>
      <c r="H1" s="1302" t="s">
        <v>634</v>
      </c>
      <c r="I1" s="1298">
        <f ca="1">F4/100</f>
        <v>1.4999999999999999E-2</v>
      </c>
      <c r="J1" s="1303">
        <f>IF(C1&gt;C13,0,MATCH(C1,C$13:C$109,-1))+IF(SUMIF(C13:C109,C1,D13:D109)=0,13,12)</f>
        <v>13</v>
      </c>
      <c r="K1" s="1303">
        <f ca="1">MATCH(E1,C3:C7,1)+IF(SUMIF(C3:C7,E1,D3:D7)=0,2,1)</f>
        <v>2</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2311</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vt:lpstr>
      <vt:lpstr>Sheet1 (2)</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比较法!Print_Area</vt:lpstr>
      <vt:lpstr>'比较法-办公'!Print_Area</vt:lpstr>
      <vt:lpstr>'比较法-仓储'!Print_Area</vt:lpstr>
      <vt:lpstr>'比较法-车位'!Print_Area</vt:lpstr>
      <vt:lpstr>'比较法-工业'!Print_Area</vt:lpstr>
      <vt:lpstr>'比较法-商业'!Print_Area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2023-11-28T05:20:49Z</dcterms:modified>
</cp:coreProperties>
</file>