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225" windowWidth="11430" windowHeight="1089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情况"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r:id="rId21"/>
    <sheet name="土地案例" sheetId="81" r:id="rId22"/>
    <sheet name="成本法" sheetId="68" r:id="rId23"/>
    <sheet name="成本法 (元)" sheetId="69" state="hidden" r:id="rId24"/>
    <sheet name="假设开发法" sheetId="12" state="hidden" r:id="rId25"/>
    <sheet name="收益法-车库" sheetId="82" r:id="rId26"/>
    <sheet name="收益法" sheetId="15" r:id="rId27"/>
    <sheet name="收益法 (元)" sheetId="67" state="hidden" r:id="rId28"/>
    <sheet name="收益法-酒店模型" sheetId="77" state="hidden" r:id="rId29"/>
    <sheet name="收益法（汇总）" sheetId="70"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5">'收益法-车库'!$A$1:$F$43,'收益法-车库'!$H$3:$M$29,'收益法-车库'!$A$46:$F$71,'收益法-车库'!$I$46:$N$65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 localSheetId="21">[1]修正!$C$19:$C$51</definedName>
    <definedName name="二级分类">修正!$C$19:$C$51</definedName>
    <definedName name="法定最高年限" localSheetId="21">[1]定义!$G$1:$G$4</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判定">[1]定义!$D$1:$D$4</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[1]修正!$C$71:$C$138</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8">'[2]数据-汇总表'!$C$17:$C$26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定义!$F$1:$F$12</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44525" concurrentCalc="0"/>
</workbook>
</file>

<file path=xl/calcChain.xml><?xml version="1.0" encoding="utf-8"?>
<calcChain xmlns="http://schemas.openxmlformats.org/spreadsheetml/2006/main">
  <c r="Y7" i="1" l="1"/>
  <c r="N7" i="1"/>
  <c r="N6" i="1"/>
  <c r="N21" i="1"/>
  <c r="L7" i="1"/>
  <c r="H37" i="6"/>
  <c r="E37" i="6"/>
  <c r="F47" i="6"/>
  <c r="F46" i="6"/>
  <c r="G37" i="6"/>
  <c r="F39" i="6"/>
  <c r="F38" i="6"/>
  <c r="F37" i="6"/>
  <c r="D10" i="68"/>
  <c r="C10" i="68"/>
  <c r="B29" i="1"/>
  <c r="C8" i="68"/>
  <c r="D6" i="73"/>
  <c r="B22" i="1"/>
  <c r="E1" i="73"/>
  <c r="K1" i="73"/>
  <c r="D5" i="73"/>
  <c r="G1" i="73"/>
  <c r="B40" i="1"/>
  <c r="F22" i="68"/>
  <c r="C24" i="68"/>
  <c r="Q16" i="1"/>
  <c r="F27" i="68"/>
  <c r="F21" i="68"/>
  <c r="B23" i="1"/>
  <c r="C26" i="68"/>
  <c r="D22" i="68"/>
  <c r="C21" i="68"/>
  <c r="C29" i="68"/>
  <c r="D27" i="68"/>
  <c r="B24" i="1"/>
  <c r="F34" i="68"/>
  <c r="M6" i="1"/>
  <c r="M7" i="1"/>
  <c r="M16" i="1"/>
  <c r="C34" i="68"/>
  <c r="C35" i="68"/>
  <c r="C36" i="68"/>
  <c r="D9" i="68"/>
  <c r="D19" i="68"/>
  <c r="D37" i="68"/>
  <c r="C37" i="68"/>
  <c r="C38" i="68"/>
  <c r="C33" i="68"/>
  <c r="F20" i="68"/>
  <c r="C39" i="68"/>
  <c r="C42" i="68"/>
  <c r="C43" i="68"/>
  <c r="C41" i="68"/>
  <c r="C46" i="68"/>
  <c r="C45" i="68"/>
  <c r="C40" i="68"/>
  <c r="C44" i="68"/>
  <c r="D41" i="68"/>
  <c r="C47" i="68"/>
  <c r="D45" i="68"/>
  <c r="C49" i="68"/>
  <c r="N16" i="1"/>
  <c r="F50" i="68"/>
  <c r="C51" i="68"/>
  <c r="F6" i="15"/>
  <c r="F8" i="15"/>
  <c r="F7" i="15"/>
  <c r="F9" i="15"/>
  <c r="C6" i="15"/>
  <c r="F4" i="73"/>
  <c r="I1" i="73"/>
  <c r="B39" i="1"/>
  <c r="F11" i="15"/>
  <c r="C10" i="15"/>
  <c r="C5" i="15"/>
  <c r="C32" i="15"/>
  <c r="C33" i="15"/>
  <c r="R6" i="1"/>
  <c r="F35" i="15"/>
  <c r="C34" i="15"/>
  <c r="C31" i="15"/>
  <c r="C14" i="15"/>
  <c r="C15" i="15"/>
  <c r="F16" i="15"/>
  <c r="C16" i="15"/>
  <c r="F43" i="15"/>
  <c r="C17" i="15"/>
  <c r="C18" i="15"/>
  <c r="C19" i="15"/>
  <c r="F20" i="15"/>
  <c r="C20" i="15"/>
  <c r="F24" i="15"/>
  <c r="F23" i="15"/>
  <c r="C23" i="15"/>
  <c r="F26" i="15"/>
  <c r="C26" i="15"/>
  <c r="F21" i="15"/>
  <c r="C24" i="15"/>
  <c r="C27" i="15"/>
  <c r="C29" i="15"/>
  <c r="F36" i="15"/>
  <c r="C36" i="15"/>
  <c r="Y6" i="1"/>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J57" i="15"/>
  <c r="J55" i="15"/>
  <c r="J58" i="15"/>
  <c r="J59" i="15"/>
  <c r="J60" i="15"/>
  <c r="L46" i="15"/>
  <c r="B2" i="15"/>
  <c r="AO6" i="1"/>
  <c r="B6" i="70"/>
  <c r="F6" i="82"/>
  <c r="F8" i="82"/>
  <c r="F7" i="82"/>
  <c r="F9" i="82"/>
  <c r="C6" i="82"/>
  <c r="F11" i="82"/>
  <c r="C10" i="82"/>
  <c r="C5" i="82"/>
  <c r="C32" i="82"/>
  <c r="C33" i="82"/>
  <c r="R7" i="1"/>
  <c r="F35" i="82"/>
  <c r="C34" i="82"/>
  <c r="C31" i="82"/>
  <c r="C14" i="82"/>
  <c r="C15" i="82"/>
  <c r="F16" i="82"/>
  <c r="C16" i="82"/>
  <c r="F43" i="82"/>
  <c r="C17" i="82"/>
  <c r="C18" i="82"/>
  <c r="C19" i="82"/>
  <c r="F20" i="82"/>
  <c r="C20" i="82"/>
  <c r="F24" i="82"/>
  <c r="F23" i="82"/>
  <c r="C23" i="82"/>
  <c r="F26" i="82"/>
  <c r="C26" i="82"/>
  <c r="F21" i="82"/>
  <c r="C24" i="82"/>
  <c r="C27" i="82"/>
  <c r="C29" i="82"/>
  <c r="F36" i="82"/>
  <c r="C36" i="82"/>
  <c r="F13" i="82"/>
  <c r="C13" i="82"/>
  <c r="F37" i="82"/>
  <c r="C37" i="82"/>
  <c r="F38" i="82"/>
  <c r="C38" i="82"/>
  <c r="C30" i="82"/>
  <c r="C39" i="82"/>
  <c r="F42" i="82"/>
  <c r="F40" i="82"/>
  <c r="F7" i="1"/>
  <c r="L48" i="82"/>
  <c r="J53" i="82"/>
  <c r="F1" i="82"/>
  <c r="AE7" i="1"/>
  <c r="F41" i="82"/>
  <c r="C40" i="82"/>
  <c r="M6" i="82"/>
  <c r="M8" i="82"/>
  <c r="M7" i="82"/>
  <c r="M9" i="82"/>
  <c r="J6" i="82"/>
  <c r="M11" i="82"/>
  <c r="J10" i="82"/>
  <c r="J5" i="82"/>
  <c r="J26" i="82"/>
  <c r="J29" i="82"/>
  <c r="J57" i="82"/>
  <c r="J55" i="82"/>
  <c r="J58" i="82"/>
  <c r="J59" i="82"/>
  <c r="J60" i="82"/>
  <c r="L46" i="82"/>
  <c r="B2" i="82"/>
  <c r="AO7" i="1"/>
  <c r="B7" i="70"/>
  <c r="AO8" i="1"/>
  <c r="B8" i="70"/>
  <c r="AO9" i="1"/>
  <c r="B9" i="70"/>
  <c r="AO10" i="1"/>
  <c r="B10" i="70"/>
  <c r="AO11" i="1"/>
  <c r="B11" i="70"/>
  <c r="AO12" i="1"/>
  <c r="B12" i="70"/>
  <c r="AO13" i="1"/>
  <c r="B13" i="70"/>
  <c r="B2" i="70"/>
  <c r="D19" i="9"/>
  <c r="M21" i="80"/>
  <c r="U6" i="1"/>
  <c r="M22" i="80"/>
  <c r="P74" i="82"/>
  <c r="Q72" i="82"/>
  <c r="F62" i="82"/>
  <c r="F61" i="82"/>
  <c r="Q59" i="82"/>
  <c r="K59" i="82"/>
  <c r="P61" i="82"/>
  <c r="F59" i="82"/>
  <c r="Q58" i="82"/>
  <c r="Q51" i="82"/>
  <c r="J51" i="82"/>
  <c r="J50" i="82"/>
  <c r="M47" i="82"/>
  <c r="D46" i="82"/>
  <c r="F34" i="82"/>
  <c r="F33" i="82"/>
  <c r="F32" i="82"/>
  <c r="F60" i="82"/>
  <c r="F31" i="82"/>
  <c r="F28" i="82"/>
  <c r="C28" i="82"/>
  <c r="M20" i="82"/>
  <c r="M19" i="82"/>
  <c r="M18" i="82"/>
  <c r="F18" i="82"/>
  <c r="M17" i="82"/>
  <c r="F17" i="82"/>
  <c r="F15" i="82"/>
  <c r="G1" i="82"/>
  <c r="M20" i="80"/>
  <c r="G19" i="6"/>
  <c r="G20" i="6"/>
  <c r="D23" i="82"/>
  <c r="D22" i="82"/>
  <c r="D24" i="82"/>
  <c r="M28" i="82"/>
  <c r="D7" i="1"/>
  <c r="L47" i="82"/>
  <c r="M23" i="82"/>
  <c r="J15" i="82"/>
  <c r="M22" i="82"/>
  <c r="M27" i="82"/>
  <c r="M29" i="82"/>
  <c r="M24" i="82"/>
  <c r="M26" i="82"/>
  <c r="C76" i="82"/>
  <c r="F64" i="82"/>
  <c r="F68" i="82"/>
  <c r="F71" i="82"/>
  <c r="L57" i="82"/>
  <c r="L56" i="82"/>
  <c r="Q50" i="82"/>
  <c r="L60" i="82"/>
  <c r="I54" i="82"/>
  <c r="F51" i="82"/>
  <c r="F66" i="82"/>
  <c r="F65" i="82"/>
  <c r="N59" i="82"/>
  <c r="L59" i="82"/>
  <c r="L58" i="82"/>
  <c r="F50" i="82"/>
  <c r="Q71" i="82"/>
  <c r="J19" i="82"/>
  <c r="J18" i="82"/>
  <c r="Q60" i="82"/>
  <c r="Q73" i="82"/>
  <c r="Q66" i="82"/>
  <c r="Q57" i="82"/>
  <c r="Q52" i="82"/>
  <c r="Q61" i="82"/>
  <c r="Q74" i="82"/>
  <c r="C49" i="82"/>
  <c r="C61" i="82"/>
  <c r="I46" i="39"/>
  <c r="G46" i="39"/>
  <c r="E46" i="39"/>
  <c r="I38" i="39"/>
  <c r="G38" i="39"/>
  <c r="E38" i="39"/>
  <c r="C38" i="39"/>
  <c r="E79" i="39"/>
  <c r="F79" i="39"/>
  <c r="G79" i="39"/>
  <c r="H79" i="39"/>
  <c r="D79" i="39"/>
  <c r="D70" i="39"/>
  <c r="E70" i="39"/>
  <c r="F70" i="39"/>
  <c r="G70" i="39"/>
  <c r="H70" i="39"/>
  <c r="I70" i="39"/>
  <c r="J70" i="39"/>
  <c r="K70" i="39"/>
  <c r="L70" i="39"/>
  <c r="M70" i="39"/>
  <c r="I7" i="39"/>
  <c r="G7" i="39"/>
  <c r="E7" i="39"/>
  <c r="I5" i="39"/>
  <c r="G5" i="39"/>
  <c r="E5" i="39"/>
  <c r="M19" i="80"/>
  <c r="S7" i="80"/>
  <c r="F19" i="6"/>
  <c r="K13" i="3"/>
  <c r="M13" i="3"/>
  <c r="A3" i="3"/>
  <c r="I13" i="3"/>
  <c r="B29" i="80"/>
  <c r="C28" i="80"/>
  <c r="C29" i="80"/>
  <c r="D21" i="80"/>
  <c r="C21" i="80"/>
  <c r="E20" i="80"/>
  <c r="E19" i="80"/>
  <c r="K18" i="80"/>
  <c r="E18" i="80"/>
  <c r="K17" i="80"/>
  <c r="F17" i="80"/>
  <c r="K16" i="80"/>
  <c r="E17" i="80"/>
  <c r="F16" i="80"/>
  <c r="K15" i="80"/>
  <c r="E16" i="80"/>
  <c r="F15" i="80"/>
  <c r="K14" i="80"/>
  <c r="P11" i="80"/>
  <c r="E15" i="80"/>
  <c r="M14" i="80"/>
  <c r="M15" i="80"/>
  <c r="M16" i="80"/>
  <c r="F14" i="80"/>
  <c r="E14" i="80"/>
  <c r="K13" i="80"/>
  <c r="E13" i="80"/>
  <c r="F13" i="80"/>
  <c r="K12" i="80"/>
  <c r="P12" i="80"/>
  <c r="E12" i="80"/>
  <c r="F12" i="80"/>
  <c r="K11" i="80"/>
  <c r="M11" i="80"/>
  <c r="E11" i="80"/>
  <c r="F11" i="80"/>
  <c r="K10" i="80"/>
  <c r="M10" i="80"/>
  <c r="E10" i="80"/>
  <c r="F9" i="80"/>
  <c r="K9" i="80"/>
  <c r="E9" i="80"/>
  <c r="E22" i="80"/>
  <c r="E8" i="80"/>
  <c r="E21" i="80"/>
  <c r="P10" i="80"/>
  <c r="P16" i="80"/>
  <c r="P17" i="80"/>
  <c r="Q11" i="80"/>
  <c r="L23" i="80"/>
  <c r="F8" i="80"/>
  <c r="P19" i="80"/>
  <c r="Q16" i="80"/>
  <c r="F21" i="80"/>
  <c r="K8" i="80"/>
  <c r="Q10" i="80"/>
  <c r="K19" i="80"/>
  <c r="U9" i="80"/>
  <c r="D3" i="4"/>
  <c r="E8" i="1"/>
  <c r="E9" i="1"/>
  <c r="E10" i="1"/>
  <c r="E11" i="1"/>
  <c r="E12" i="1"/>
  <c r="E13" i="1"/>
  <c r="W26" i="79"/>
  <c r="W27" i="79"/>
  <c r="W28" i="79"/>
  <c r="S26" i="79"/>
  <c r="T26" i="79"/>
  <c r="U26" i="79"/>
  <c r="S27" i="79"/>
  <c r="T27" i="79"/>
  <c r="U27" i="79"/>
  <c r="S28" i="79"/>
  <c r="T28" i="79"/>
  <c r="U28" i="79"/>
  <c r="R6" i="79"/>
  <c r="S6" i="79"/>
  <c r="T6" i="79"/>
  <c r="W6" i="79"/>
  <c r="U6" i="79"/>
  <c r="V6" i="79"/>
  <c r="R7" i="79"/>
  <c r="S7" i="79"/>
  <c r="T7" i="79"/>
  <c r="W7" i="79"/>
  <c r="U7" i="79"/>
  <c r="V7" i="79"/>
  <c r="R8" i="79"/>
  <c r="S8" i="79"/>
  <c r="T8" i="79"/>
  <c r="W8" i="79"/>
  <c r="U8" i="79"/>
  <c r="V8" i="79"/>
  <c r="P26" i="79"/>
  <c r="P27" i="79"/>
  <c r="P28" i="79"/>
  <c r="L26" i="79"/>
  <c r="M26" i="79"/>
  <c r="N26" i="79"/>
  <c r="L27" i="79"/>
  <c r="M27" i="79"/>
  <c r="N27" i="79"/>
  <c r="L28" i="79"/>
  <c r="M28" i="79"/>
  <c r="N28" i="79"/>
  <c r="I26" i="79"/>
  <c r="I27" i="79"/>
  <c r="I28" i="79"/>
  <c r="I6" i="79"/>
  <c r="I7" i="79"/>
  <c r="I8" i="79"/>
  <c r="K6" i="79"/>
  <c r="L6" i="79"/>
  <c r="S5" i="79"/>
  <c r="M6" i="79"/>
  <c r="P6" i="79"/>
  <c r="N6" i="79"/>
  <c r="U5" i="79"/>
  <c r="O6" i="79"/>
  <c r="V5" i="79"/>
  <c r="K7" i="79"/>
  <c r="R5" i="79"/>
  <c r="L7" i="79"/>
  <c r="M7" i="79"/>
  <c r="P7" i="79"/>
  <c r="N7" i="79"/>
  <c r="O7" i="79"/>
  <c r="K8" i="79"/>
  <c r="L8" i="79"/>
  <c r="M8" i="79"/>
  <c r="P8" i="79"/>
  <c r="N8" i="79"/>
  <c r="O8" i="79"/>
  <c r="T5"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5" i="78"/>
  <c r="C6" i="78"/>
  <c r="F13" i="1"/>
  <c r="D13" i="1"/>
  <c r="D12" i="1"/>
  <c r="D11" i="1"/>
  <c r="D10" i="1"/>
  <c r="D9" i="1"/>
  <c r="D8"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7"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V9" i="79"/>
  <c r="N9" i="79"/>
  <c r="U9" i="79"/>
  <c r="M9" i="79"/>
  <c r="P9" i="79"/>
  <c r="L9" i="79"/>
  <c r="S9" i="79"/>
  <c r="K9" i="79"/>
  <c r="I9" i="79"/>
  <c r="AC5" i="79"/>
  <c r="AB5" i="79"/>
  <c r="AA5" i="79"/>
  <c r="AD5" i="79"/>
  <c r="Z5" i="79"/>
  <c r="Y5" i="79"/>
  <c r="P5" i="79"/>
  <c r="O5" i="79"/>
  <c r="N5" i="79"/>
  <c r="M5" i="79"/>
  <c r="W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4" i="62"/>
  <c r="B60" i="72"/>
  <c r="A13" i="62"/>
  <c r="B59" i="72"/>
  <c r="A19" i="62"/>
  <c r="A12" i="62"/>
  <c r="B58" i="72"/>
  <c r="A120" i="9"/>
  <c r="H2" i="52"/>
  <c r="A1" i="52"/>
  <c r="A3" i="53"/>
  <c r="Q26" i="71"/>
  <c r="P26" i="71"/>
  <c r="O26" i="71"/>
  <c r="N26" i="71"/>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c r="B57" i="43"/>
  <c r="C25" i="40"/>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F38" i="68"/>
  <c r="E37" i="68"/>
  <c r="F36" i="68"/>
  <c r="F35" i="68"/>
  <c r="F4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G41" i="69"/>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c r="AP6" i="1"/>
  <c r="E20" i="6"/>
  <c r="E21" i="6"/>
  <c r="K8" i="1"/>
  <c r="M8" i="1"/>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52" i="1"/>
  <c r="M20" i="15"/>
  <c r="T4" i="1"/>
  <c r="F15" i="15"/>
  <c r="F17" i="15"/>
  <c r="F18"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8" i="39"/>
  <c r="H31" i="39"/>
  <c r="AB31" i="39"/>
  <c r="F31" i="39"/>
  <c r="AA31" i="39"/>
  <c r="E100" i="39"/>
  <c r="F100" i="39"/>
  <c r="G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S27" i="39"/>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c r="J25" i="39"/>
  <c r="W25" i="39"/>
  <c r="F25" i="39"/>
  <c r="AA25" i="39"/>
  <c r="F15" i="39"/>
  <c r="AA15" i="39"/>
  <c r="H15" i="39"/>
  <c r="U15" i="39"/>
  <c r="J15" i="39"/>
  <c r="W15" i="39"/>
  <c r="H41" i="39"/>
  <c r="AB41" i="39"/>
  <c r="AB34" i="39"/>
  <c r="U40" i="39"/>
  <c r="S42" i="39"/>
  <c r="W9" i="39"/>
  <c r="W8" i="39"/>
  <c r="J19" i="40"/>
  <c r="AC19" i="40"/>
  <c r="J50" i="40"/>
  <c r="H103" i="9"/>
  <c r="D8" i="53"/>
  <c r="B16" i="53"/>
  <c r="B33" i="72"/>
  <c r="C7" i="37"/>
  <c r="C7" i="34"/>
  <c r="C7" i="36"/>
  <c r="W35" i="40"/>
  <c r="A118" i="9"/>
  <c r="A4" i="52"/>
  <c r="B41" i="72"/>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c r="S13" i="1"/>
  <c r="AR13" i="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U25" i="39"/>
  <c r="U31" i="39"/>
  <c r="J21" i="39"/>
  <c r="W21" i="39"/>
  <c r="F21" i="39"/>
  <c r="AA21" i="39"/>
  <c r="H21" i="39"/>
  <c r="AB21"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BA13" i="3"/>
  <c r="BL17" i="3"/>
  <c r="AZ17" i="3"/>
  <c r="BL13" i="3"/>
  <c r="J56" i="9"/>
  <c r="J57" i="9"/>
  <c r="J59" i="9"/>
  <c r="J61" i="9"/>
  <c r="A24" i="51"/>
  <c r="B18" i="72"/>
  <c r="U29" i="34"/>
  <c r="E5" i="6"/>
  <c r="E32" i="6"/>
  <c r="G1" i="68"/>
  <c r="K1" i="12"/>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H67" i="43"/>
  <c r="L20" i="6"/>
  <c r="B6" i="1"/>
  <c r="E6" i="1"/>
  <c r="K11" i="1"/>
  <c r="M11" i="1"/>
  <c r="O11" i="1"/>
  <c r="B9" i="1"/>
  <c r="K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W17" i="39"/>
  <c r="AC17" i="39"/>
  <c r="W31" i="39"/>
  <c r="AC31" i="39"/>
  <c r="S23"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B11" i="76"/>
  <c r="D3" i="73"/>
  <c r="L48" i="67"/>
  <c r="F5" i="73"/>
  <c r="M28" i="67"/>
  <c r="M24" i="15"/>
  <c r="M23" i="15"/>
  <c r="C76" i="67"/>
  <c r="F26" i="67"/>
  <c r="M22" i="67"/>
  <c r="F43" i="67"/>
  <c r="F16" i="67"/>
  <c r="E9" i="76"/>
  <c r="M28" i="15"/>
  <c r="F37" i="67"/>
  <c r="B12" i="76"/>
  <c r="E8" i="76"/>
  <c r="F7" i="73"/>
  <c r="M22" i="15"/>
  <c r="D4" i="73"/>
  <c r="M6" i="67"/>
  <c r="D7" i="73"/>
  <c r="E7" i="76"/>
  <c r="F6" i="73"/>
  <c r="M26" i="67"/>
  <c r="F40" i="67"/>
  <c r="M29" i="15"/>
  <c r="M29" i="67"/>
  <c r="F20" i="31"/>
  <c r="M26" i="15"/>
  <c r="B8" i="76"/>
  <c r="F3" i="73"/>
  <c r="C76" i="15"/>
  <c r="B7" i="76"/>
  <c r="F38" i="67"/>
  <c r="M8" i="67"/>
  <c r="M9" i="67"/>
  <c r="M23" i="67"/>
  <c r="E2" i="69"/>
  <c r="F8" i="67"/>
  <c r="E2" i="68"/>
  <c r="B10" i="76"/>
  <c r="F42" i="67"/>
  <c r="E12" i="76"/>
  <c r="J15" i="67"/>
  <c r="F9" i="67"/>
  <c r="E11" i="76"/>
  <c r="B13" i="76"/>
  <c r="M24" i="67"/>
  <c r="L47" i="67"/>
  <c r="F36" i="67"/>
  <c r="F7" i="67"/>
  <c r="E13" i="76"/>
  <c r="J15" i="15"/>
  <c r="F13" i="67"/>
  <c r="L47" i="15"/>
  <c r="B9" i="76"/>
  <c r="E10" i="76"/>
  <c r="F6" i="67"/>
  <c r="M59" i="82"/>
  <c r="U38" i="39"/>
  <c r="F106" i="39"/>
  <c r="G106" i="39"/>
  <c r="J32" i="39"/>
  <c r="F32" i="39"/>
  <c r="AA32" i="39"/>
  <c r="AB39" i="39"/>
  <c r="H123" i="39"/>
  <c r="I123" i="39"/>
  <c r="J123" i="39"/>
  <c r="K123" i="39"/>
  <c r="L123" i="39"/>
  <c r="M123" i="39"/>
  <c r="J41" i="39"/>
  <c r="W41" i="39"/>
  <c r="F41" i="39"/>
  <c r="S41" i="39"/>
  <c r="W40" i="39"/>
  <c r="W27" i="39"/>
  <c r="AB27" i="39"/>
  <c r="AC25" i="39"/>
  <c r="S21" i="39"/>
  <c r="U21" i="39"/>
  <c r="C29" i="39"/>
  <c r="B68" i="43"/>
  <c r="B77" i="43"/>
  <c r="B73" i="43"/>
  <c r="B79" i="43"/>
  <c r="B76" i="43"/>
  <c r="W19" i="39"/>
  <c r="S19" i="39"/>
  <c r="S15" i="39"/>
  <c r="S40" i="39"/>
  <c r="U41" i="39"/>
  <c r="AC41" i="39"/>
  <c r="AB8" i="39"/>
  <c r="G5" i="3"/>
  <c r="B3" i="3"/>
  <c r="E13" i="3"/>
  <c r="AZ15" i="3"/>
  <c r="BL15" i="3"/>
  <c r="G6" i="1"/>
  <c r="I24" i="43"/>
  <c r="C40" i="69"/>
  <c r="B41" i="1"/>
  <c r="E240" i="3"/>
  <c r="E57" i="3"/>
  <c r="E520" i="3"/>
  <c r="E500" i="3"/>
  <c r="E416" i="3"/>
  <c r="E421" i="3"/>
  <c r="E312" i="3"/>
  <c r="E148" i="3"/>
  <c r="E539" i="3"/>
  <c r="BA5" i="3"/>
  <c r="BL5" i="3"/>
  <c r="G28" i="6"/>
  <c r="F29" i="6"/>
  <c r="F30" i="6"/>
  <c r="D16" i="53"/>
  <c r="B34" i="72"/>
  <c r="K56" i="9"/>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453" i="3"/>
  <c r="E85" i="3"/>
  <c r="E314" i="3"/>
  <c r="E511" i="3"/>
  <c r="E99" i="3"/>
  <c r="E45" i="3"/>
  <c r="E193" i="3"/>
  <c r="E519" i="3"/>
  <c r="E573" i="3"/>
  <c r="E437" i="3"/>
  <c r="E472" i="3"/>
  <c r="E481" i="3"/>
  <c r="E406" i="3"/>
  <c r="E424" i="3"/>
  <c r="E465" i="3"/>
  <c r="E344" i="3"/>
  <c r="E587" i="3"/>
  <c r="AE6" i="3"/>
  <c r="E577" i="3"/>
  <c r="E429" i="3"/>
  <c r="E468" i="3"/>
  <c r="E496" i="3"/>
  <c r="E454" i="3"/>
  <c r="E55" i="3"/>
  <c r="E106"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0" i="6"/>
  <c r="G31" i="6"/>
  <c r="E28" i="6"/>
  <c r="K14" i="1"/>
  <c r="L19" i="6"/>
  <c r="L27" i="6"/>
  <c r="O6" i="1"/>
  <c r="T13" i="1"/>
  <c r="C58" i="2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F27" i="69"/>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D9" i="11"/>
  <c r="C9" i="11"/>
  <c r="D19" i="12"/>
  <c r="C19" i="12"/>
  <c r="AZ13" i="3"/>
  <c r="AZ5" i="3"/>
  <c r="O9" i="1"/>
  <c r="P9" i="1"/>
  <c r="O12" i="1"/>
  <c r="P12" i="1"/>
  <c r="O8" i="1"/>
  <c r="P8" i="1"/>
  <c r="H73" i="43"/>
  <c r="H90" i="43"/>
  <c r="C23" i="43"/>
  <c r="O23" i="43"/>
  <c r="I18" i="43"/>
  <c r="E17" i="43"/>
  <c r="C17" i="43"/>
  <c r="C24" i="43"/>
  <c r="A1" i="79"/>
  <c r="H55" i="43"/>
  <c r="H86" i="43"/>
  <c r="H87" i="43"/>
  <c r="H89" i="43"/>
  <c r="H88" i="43"/>
  <c r="H84" i="43"/>
  <c r="C69" i="39"/>
  <c r="D67" i="39"/>
  <c r="D69" i="39"/>
  <c r="A19" i="51"/>
  <c r="B14" i="72"/>
  <c r="T35" i="4"/>
  <c r="H110" i="9"/>
  <c r="H52" i="43"/>
  <c r="K5" i="4"/>
  <c r="B47" i="48"/>
  <c r="Y8" i="71"/>
  <c r="Z8" i="71"/>
  <c r="X8" i="71"/>
  <c r="AB8" i="71"/>
  <c r="AA8" i="71"/>
  <c r="B8" i="74"/>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Q71" i="15"/>
  <c r="L56" i="15"/>
  <c r="Q50" i="15"/>
  <c r="I54" i="15"/>
  <c r="B20" i="31"/>
  <c r="B21" i="31"/>
  <c r="F51" i="67"/>
  <c r="F65" i="67"/>
  <c r="J53" i="67"/>
  <c r="J57" i="67"/>
  <c r="J55" i="67"/>
  <c r="J58" i="67"/>
  <c r="Q50" i="67"/>
  <c r="L56" i="67"/>
  <c r="I54" i="67"/>
  <c r="F50" i="15"/>
  <c r="F51" i="15"/>
  <c r="F71" i="15"/>
  <c r="F66" i="67"/>
  <c r="L59" i="15"/>
  <c r="N59" i="15"/>
  <c r="L58" i="15"/>
  <c r="M59" i="15"/>
  <c r="F66" i="15"/>
  <c r="Q71" i="67"/>
  <c r="F64" i="15"/>
  <c r="C27" i="67"/>
  <c r="F71" i="67"/>
  <c r="F65" i="15"/>
  <c r="N59" i="67"/>
  <c r="L59" i="67"/>
  <c r="L58" i="67"/>
  <c r="M59" i="67"/>
  <c r="M7" i="67"/>
  <c r="J6" i="67"/>
  <c r="F50" i="67"/>
  <c r="F68" i="67"/>
  <c r="F64" i="67"/>
  <c r="F68" i="15"/>
  <c r="D9" i="69"/>
  <c r="C36" i="69"/>
  <c r="C16" i="67"/>
  <c r="S32" i="39"/>
  <c r="W32" i="39"/>
  <c r="AC32" i="39"/>
  <c r="H106" i="39"/>
  <c r="I106" i="39"/>
  <c r="J106" i="39"/>
  <c r="K106" i="39"/>
  <c r="L106" i="39"/>
  <c r="M106" i="39"/>
  <c r="H32" i="39"/>
  <c r="AA41" i="39"/>
  <c r="E54" i="3"/>
  <c r="E72" i="3"/>
  <c r="E475" i="3"/>
  <c r="E433" i="3"/>
  <c r="E471" i="3"/>
  <c r="E450" i="3"/>
  <c r="E537" i="3"/>
  <c r="E571" i="3"/>
  <c r="W6" i="3"/>
  <c r="E562" i="3"/>
  <c r="E288" i="3"/>
  <c r="E457" i="3"/>
  <c r="E438" i="3"/>
  <c r="E527" i="3"/>
  <c r="E474" i="3"/>
  <c r="E458" i="3"/>
  <c r="E529" i="3"/>
  <c r="E532" i="3"/>
  <c r="E313" i="3"/>
  <c r="E224" i="3"/>
  <c r="E157" i="3"/>
  <c r="E306" i="3"/>
  <c r="E352" i="3"/>
  <c r="E136" i="3"/>
  <c r="E461" i="3"/>
  <c r="E122" i="3"/>
  <c r="E536" i="3"/>
  <c r="E167" i="3"/>
  <c r="E542" i="3"/>
  <c r="E487" i="3"/>
  <c r="E374" i="3"/>
  <c r="E413" i="3"/>
  <c r="E39" i="3"/>
  <c r="E187" i="3"/>
  <c r="E560" i="3"/>
  <c r="Q6" i="3"/>
  <c r="K6" i="3"/>
  <c r="E330" i="3"/>
  <c r="E133" i="3"/>
  <c r="E177" i="3"/>
  <c r="E277" i="3"/>
  <c r="E120" i="3"/>
  <c r="E228" i="3"/>
  <c r="E262" i="3"/>
  <c r="AK6" i="3"/>
  <c r="E128" i="3"/>
  <c r="E545" i="3"/>
  <c r="E434" i="3"/>
  <c r="E181" i="3"/>
  <c r="E238" i="3"/>
  <c r="E568" i="3"/>
  <c r="E156" i="3"/>
  <c r="E77" i="3"/>
  <c r="E165" i="3"/>
  <c r="E244" i="3"/>
  <c r="E149" i="3"/>
  <c r="E141" i="3"/>
  <c r="AD6" i="3"/>
  <c r="E552" i="3"/>
  <c r="E464" i="3"/>
  <c r="E398" i="3"/>
  <c r="E459" i="3"/>
  <c r="E566" i="3"/>
  <c r="E582" i="3"/>
  <c r="E460" i="3"/>
  <c r="E436" i="3"/>
  <c r="E90" i="3"/>
  <c r="E131" i="3"/>
  <c r="E155"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329" i="3"/>
  <c r="E116" i="3"/>
  <c r="E393" i="3"/>
  <c r="E427" i="3"/>
  <c r="E440" i="3"/>
  <c r="J6" i="3"/>
  <c r="E401" i="3"/>
  <c r="E108" i="3"/>
  <c r="E242" i="3"/>
  <c r="E363" i="3"/>
  <c r="E389" i="3"/>
  <c r="E76" i="3"/>
  <c r="E409" i="3"/>
  <c r="E425" i="3"/>
  <c r="E64" i="3"/>
  <c r="E103" i="3"/>
  <c r="E142" i="3"/>
  <c r="E267" i="3"/>
  <c r="E300" i="3"/>
  <c r="E492" i="3"/>
  <c r="E84" i="3"/>
  <c r="E112" i="3"/>
  <c r="E123" i="3"/>
  <c r="E147" i="3"/>
  <c r="E289" i="3"/>
  <c r="E340" i="3"/>
  <c r="E364" i="3"/>
  <c r="E102" i="3"/>
  <c r="E80" i="3"/>
  <c r="E113" i="3"/>
  <c r="E158" i="3"/>
  <c r="E287" i="3"/>
  <c r="E308" i="3"/>
  <c r="E326" i="3"/>
  <c r="E101" i="3"/>
  <c r="E16" i="3"/>
  <c r="E223" i="3"/>
  <c r="E105" i="3"/>
  <c r="E493" i="3"/>
  <c r="E543" i="3"/>
  <c r="E486" i="3"/>
  <c r="E422" i="3"/>
  <c r="E490" i="3"/>
  <c r="AH6" i="3"/>
  <c r="E498" i="3"/>
  <c r="E483" i="3"/>
  <c r="E463" i="3"/>
  <c r="E25" i="3"/>
  <c r="E178" i="3"/>
  <c r="E202"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88" i="3"/>
  <c r="E564" i="3"/>
  <c r="E507" i="3"/>
  <c r="E376" i="3"/>
  <c r="E419" i="3"/>
  <c r="E40" i="3"/>
  <c r="E119" i="3"/>
  <c r="E241" i="3"/>
  <c r="E292" i="3"/>
  <c r="E349" i="3"/>
  <c r="E544" i="3"/>
  <c r="E59" i="3"/>
  <c r="E484" i="3"/>
  <c r="E467" i="3"/>
  <c r="E46" i="3"/>
  <c r="E160" i="3"/>
  <c r="E200" i="3"/>
  <c r="E249" i="3"/>
  <c r="E371" i="3"/>
  <c r="E310" i="3"/>
  <c r="E23" i="3"/>
  <c r="E67" i="3"/>
  <c r="E49" i="3"/>
  <c r="E206" i="3"/>
  <c r="E232" i="3"/>
  <c r="E251" i="3"/>
  <c r="E370" i="3"/>
  <c r="AF6" i="3"/>
  <c r="E50" i="3"/>
  <c r="E20" i="3"/>
  <c r="E62" i="3"/>
  <c r="E176" i="3"/>
  <c r="E218" i="3"/>
  <c r="E265" i="3"/>
  <c r="E365" i="3"/>
  <c r="E524" i="3"/>
  <c r="E22" i="3"/>
  <c r="E83" i="3"/>
  <c r="E59" i="40"/>
  <c r="E29" i="6"/>
  <c r="K15" i="1"/>
  <c r="K16" i="1"/>
  <c r="J7" i="37"/>
  <c r="H7" i="36"/>
  <c r="F48" i="9"/>
  <c r="O52" i="9"/>
  <c r="F30" i="68"/>
  <c r="F28" i="67"/>
  <c r="C28" i="67"/>
  <c r="F52" i="9"/>
  <c r="F32" i="67"/>
  <c r="F60" i="67"/>
  <c r="F32" i="15"/>
  <c r="F60" i="15"/>
  <c r="F28" i="15"/>
  <c r="C28" i="15"/>
  <c r="F54" i="9"/>
  <c r="F30" i="11"/>
  <c r="F31" i="12"/>
  <c r="C31" i="12"/>
  <c r="M18" i="67"/>
  <c r="J18" i="67"/>
  <c r="F30" i="69"/>
  <c r="M18" i="15"/>
  <c r="D68" i="9"/>
  <c r="D18" i="53"/>
  <c r="B35" i="72"/>
  <c r="C7" i="74"/>
  <c r="E61" i="43"/>
  <c r="B59" i="43"/>
  <c r="C28" i="43"/>
  <c r="E30" i="6"/>
  <c r="E56" i="39"/>
  <c r="H7" i="34"/>
  <c r="AB7" i="34"/>
  <c r="T49" i="34"/>
  <c r="G49" i="34"/>
  <c r="E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H6" i="3"/>
  <c r="E58" i="40"/>
  <c r="E62" i="39"/>
  <c r="E65" i="39"/>
  <c r="AY6" i="3"/>
  <c r="E3" i="6"/>
  <c r="M14" i="1"/>
  <c r="D5" i="43"/>
  <c r="C7" i="43"/>
  <c r="C5" i="43"/>
  <c r="D10" i="52"/>
  <c r="D125" i="9"/>
  <c r="D11" i="52"/>
  <c r="B7" i="74"/>
  <c r="F67" i="39"/>
  <c r="E69" i="39"/>
  <c r="F59" i="67"/>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M11" i="67"/>
  <c r="J10" i="67"/>
  <c r="J5" i="67"/>
  <c r="J24" i="15"/>
  <c r="F11" i="67"/>
  <c r="Q52" i="15"/>
  <c r="F1" i="67"/>
  <c r="Q52" i="67"/>
  <c r="Q60" i="15"/>
  <c r="Q73" i="15"/>
  <c r="Q61" i="67"/>
  <c r="Q74" i="67"/>
  <c r="Q74" i="15"/>
  <c r="Q61" i="15"/>
  <c r="AE11" i="1"/>
  <c r="AE9" i="1"/>
  <c r="AE8" i="1"/>
  <c r="AE12" i="1"/>
  <c r="AE10" i="1"/>
  <c r="F41" i="67"/>
  <c r="C53" i="82"/>
  <c r="C48" i="82"/>
  <c r="J24" i="82"/>
  <c r="L36" i="43"/>
  <c r="P36" i="43"/>
  <c r="AB32" i="39"/>
  <c r="U32" i="39"/>
  <c r="F48" i="69"/>
  <c r="C30" i="69"/>
  <c r="C48" i="69"/>
  <c r="F48" i="68"/>
  <c r="C30" i="68"/>
  <c r="C48" i="68"/>
  <c r="C48" i="11"/>
  <c r="C30" i="11"/>
  <c r="L37" i="43"/>
  <c r="AC7" i="34"/>
  <c r="V49" i="34"/>
  <c r="I49" i="34"/>
  <c r="U7" i="34"/>
  <c r="AA7" i="34"/>
  <c r="R49" i="34"/>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D3" i="34"/>
  <c r="D19" i="11"/>
  <c r="C17" i="4"/>
  <c r="B4" i="52"/>
  <c r="B43" i="72"/>
  <c r="D3" i="33"/>
  <c r="D3" i="37"/>
  <c r="C39" i="43"/>
  <c r="C42" i="43"/>
  <c r="E42" i="43"/>
  <c r="C38" i="43"/>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F25" i="12"/>
  <c r="F22" i="69"/>
  <c r="F41" i="69"/>
  <c r="F24" i="67"/>
  <c r="C24" i="67"/>
  <c r="F22" i="11"/>
  <c r="M27" i="67"/>
  <c r="M27" i="15"/>
  <c r="F69" i="82"/>
  <c r="O36" i="43"/>
  <c r="N36" i="43"/>
  <c r="M36" i="43"/>
  <c r="Q36" i="43"/>
  <c r="C66" i="82"/>
  <c r="C60" i="82"/>
  <c r="D33" i="43"/>
  <c r="D1" i="43"/>
  <c r="B31" i="1"/>
  <c r="B14" i="74"/>
  <c r="B1" i="74"/>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D17" i="12"/>
  <c r="C17" i="12"/>
  <c r="D10" i="11"/>
  <c r="C10" i="11"/>
  <c r="D20" i="12"/>
  <c r="C20" i="12"/>
  <c r="D25" i="6"/>
  <c r="D15" i="6"/>
  <c r="D22" i="6"/>
  <c r="D21" i="6"/>
  <c r="D24" i="6"/>
  <c r="D20" i="6"/>
  <c r="D26" i="6"/>
  <c r="D8" i="6"/>
  <c r="D14" i="6"/>
  <c r="D6" i="6"/>
  <c r="D9" i="6"/>
  <c r="D10" i="6"/>
  <c r="D29" i="6"/>
  <c r="H22" i="6"/>
  <c r="H21" i="6"/>
  <c r="H24" i="6"/>
  <c r="D19" i="6"/>
  <c r="M19" i="9"/>
  <c r="C118" i="9"/>
  <c r="C18" i="4"/>
  <c r="D23" i="6"/>
  <c r="D5" i="6"/>
  <c r="D12" i="6"/>
  <c r="D11" i="6"/>
  <c r="D13" i="6"/>
  <c r="D28"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69"/>
  <c r="D22" i="69"/>
  <c r="C44" i="69"/>
  <c r="D41" i="69"/>
  <c r="C26" i="12"/>
  <c r="D25" i="12"/>
  <c r="C44" i="11"/>
  <c r="D41" i="11"/>
  <c r="C23" i="11"/>
  <c r="C26" i="11"/>
  <c r="D22" i="11"/>
  <c r="C66" i="67"/>
  <c r="C60" i="67"/>
  <c r="D10" i="69"/>
  <c r="C34" i="69"/>
  <c r="C14" i="67"/>
  <c r="C17" i="67"/>
  <c r="D30" i="6"/>
  <c r="E19" i="68"/>
  <c r="E19" i="69"/>
  <c r="E19" i="11"/>
  <c r="C19" i="11"/>
  <c r="C14" i="74"/>
  <c r="B2" i="74"/>
  <c r="H25" i="6"/>
  <c r="C18" i="67"/>
  <c r="C15" i="67"/>
  <c r="H23" i="6"/>
  <c r="H20" i="6"/>
  <c r="R20" i="6"/>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R21" i="6"/>
  <c r="R8" i="1"/>
  <c r="C10" i="69"/>
  <c r="C8" i="69"/>
  <c r="C5" i="69"/>
  <c r="D19" i="69"/>
  <c r="F50" i="69"/>
  <c r="F50" i="11"/>
  <c r="C4" i="52"/>
  <c r="B45" i="72"/>
  <c r="A10" i="51"/>
  <c r="B9" i="72"/>
  <c r="A7" i="51"/>
  <c r="B7" i="72"/>
  <c r="R25" i="6"/>
  <c r="R12" i="1"/>
  <c r="H69" i="39"/>
  <c r="I67" i="39"/>
  <c r="D10" i="71"/>
  <c r="C9" i="71"/>
  <c r="C8" i="71"/>
  <c r="G65" i="40"/>
  <c r="H63" i="40"/>
  <c r="C43" i="37"/>
  <c r="C42" i="37"/>
  <c r="I48" i="35"/>
  <c r="C48" i="33"/>
  <c r="C49" i="33"/>
  <c r="H58" i="21"/>
  <c r="E47" i="37"/>
  <c r="F47" i="37"/>
  <c r="E46" i="37"/>
  <c r="F46" i="37"/>
  <c r="I47" i="37"/>
  <c r="J47" i="37"/>
  <c r="E53" i="33"/>
  <c r="F53" i="33"/>
  <c r="E52" i="33"/>
  <c r="F52" i="33"/>
  <c r="C33" i="67"/>
  <c r="J19" i="67"/>
  <c r="C57" i="82"/>
  <c r="C64" i="82"/>
  <c r="Q49" i="82"/>
  <c r="J14" i="82"/>
  <c r="C18" i="12"/>
  <c r="D7" i="74"/>
  <c r="D8" i="74"/>
  <c r="C20" i="11"/>
  <c r="C24" i="11"/>
  <c r="D8" i="71"/>
  <c r="C7" i="71"/>
  <c r="C19" i="67"/>
  <c r="C20" i="67"/>
  <c r="C26" i="67"/>
  <c r="T16" i="1"/>
  <c r="C36" i="11"/>
  <c r="C37" i="11"/>
  <c r="C34" i="11"/>
  <c r="C23" i="12"/>
  <c r="C14" i="12"/>
  <c r="C16" i="12"/>
  <c r="H19" i="6"/>
  <c r="L19" i="9"/>
  <c r="S19" i="6"/>
  <c r="S27" i="6"/>
  <c r="I27" i="6"/>
  <c r="C19" i="68"/>
  <c r="C19" i="69"/>
  <c r="C24" i="69"/>
  <c r="D37" i="69"/>
  <c r="C37" i="69"/>
  <c r="C33" i="69"/>
  <c r="I5" i="6"/>
  <c r="I6" i="6"/>
  <c r="I7" i="6"/>
  <c r="C23" i="69"/>
  <c r="I69" i="39"/>
  <c r="J67" i="39"/>
  <c r="D9" i="71"/>
  <c r="I63" i="40"/>
  <c r="H65" i="40"/>
  <c r="I58" i="21"/>
  <c r="J58" i="21"/>
  <c r="K58" i="21"/>
  <c r="L58" i="21"/>
  <c r="M58" i="21"/>
  <c r="N58" i="21"/>
  <c r="O58" i="21"/>
  <c r="H7" i="21"/>
  <c r="F7" i="21"/>
  <c r="J48" i="35"/>
  <c r="Q48" i="82"/>
  <c r="J13" i="82"/>
  <c r="J23" i="82"/>
  <c r="J22" i="82"/>
  <c r="C75" i="82"/>
  <c r="Q70" i="82"/>
  <c r="C56" i="82"/>
  <c r="C65" i="82"/>
  <c r="C21" i="12"/>
  <c r="C22" i="12"/>
  <c r="C11" i="39"/>
  <c r="G3" i="43"/>
  <c r="C28" i="11"/>
  <c r="C27" i="11"/>
  <c r="C25" i="11"/>
  <c r="C22" i="11"/>
  <c r="J7" i="21"/>
  <c r="D7" i="71"/>
  <c r="C6" i="71"/>
  <c r="C23" i="67"/>
  <c r="C29" i="67"/>
  <c r="J59" i="67"/>
  <c r="J60" i="67"/>
  <c r="Q48" i="67"/>
  <c r="C38" i="11"/>
  <c r="C35" i="11"/>
  <c r="H27" i="6"/>
  <c r="R19" i="6"/>
  <c r="C20" i="69"/>
  <c r="C28" i="69"/>
  <c r="C27" i="69"/>
  <c r="C39" i="69"/>
  <c r="C43" i="69"/>
  <c r="C42" i="69"/>
  <c r="J69" i="39"/>
  <c r="K67" i="39"/>
  <c r="U7" i="21"/>
  <c r="AB7" i="21"/>
  <c r="T48" i="21"/>
  <c r="G48" i="21"/>
  <c r="S7" i="21"/>
  <c r="AA7" i="21"/>
  <c r="R48" i="21"/>
  <c r="J63" i="40"/>
  <c r="I65" i="40"/>
  <c r="K48" i="35"/>
  <c r="L48" i="35"/>
  <c r="M48" i="35"/>
  <c r="N48" i="35"/>
  <c r="O48" i="35"/>
  <c r="H7" i="35"/>
  <c r="J7" i="35"/>
  <c r="AC7" i="21"/>
  <c r="V48" i="21"/>
  <c r="I48" i="21"/>
  <c r="W7" i="21"/>
  <c r="C27" i="12"/>
  <c r="C25" i="12"/>
  <c r="C30" i="12"/>
  <c r="C28" i="12"/>
  <c r="H11" i="39"/>
  <c r="F11" i="39"/>
  <c r="J11" i="39"/>
  <c r="H26" i="43"/>
  <c r="G26" i="43"/>
  <c r="F26" i="43"/>
  <c r="N370" i="46"/>
  <c r="N94" i="46"/>
  <c r="J26" i="43"/>
  <c r="B116" i="43"/>
  <c r="E26" i="43"/>
  <c r="Z7" i="43"/>
  <c r="C31" i="11"/>
  <c r="D6" i="71"/>
  <c r="C5" i="71"/>
  <c r="Q49" i="67"/>
  <c r="J14" i="67"/>
  <c r="J13" i="67"/>
  <c r="J23" i="67"/>
  <c r="C36" i="67"/>
  <c r="C57" i="67"/>
  <c r="C64" i="67"/>
  <c r="C13" i="67"/>
  <c r="Q70" i="67"/>
  <c r="C33" i="11"/>
  <c r="C39" i="11"/>
  <c r="C61" i="67"/>
  <c r="C41" i="69"/>
  <c r="R27" i="6"/>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M21" i="67"/>
  <c r="M21" i="82"/>
  <c r="F35" i="67"/>
  <c r="M21" i="15"/>
  <c r="J20" i="82"/>
  <c r="J17" i="82"/>
  <c r="J16" i="82"/>
  <c r="J25" i="82"/>
  <c r="F63" i="82"/>
  <c r="C62" i="82"/>
  <c r="C59" i="82"/>
  <c r="C58" i="82"/>
  <c r="C67" i="82"/>
  <c r="C68" i="82"/>
  <c r="C32" i="12"/>
  <c r="B2" i="12"/>
  <c r="B3" i="12"/>
  <c r="I121" i="43"/>
  <c r="J121" i="43"/>
  <c r="K121" i="43"/>
  <c r="L121" i="43"/>
  <c r="M121" i="43"/>
  <c r="B119" i="43"/>
  <c r="C119" i="43"/>
  <c r="I120" i="43"/>
  <c r="J120" i="43"/>
  <c r="K120" i="43"/>
  <c r="L120" i="43"/>
  <c r="M120" i="43"/>
  <c r="B120" i="43"/>
  <c r="C120" i="43"/>
  <c r="I118" i="43"/>
  <c r="J118" i="43"/>
  <c r="K118" i="43"/>
  <c r="L118" i="43"/>
  <c r="M118" i="43"/>
  <c r="B121" i="43"/>
  <c r="C121" i="43"/>
  <c r="D118" i="43"/>
  <c r="E118" i="43"/>
  <c r="F118" i="43"/>
  <c r="G118" i="43"/>
  <c r="H118" i="43"/>
  <c r="B122" i="43"/>
  <c r="C122" i="43"/>
  <c r="I122" i="43"/>
  <c r="J122" i="43"/>
  <c r="K122" i="43"/>
  <c r="L122" i="43"/>
  <c r="M122" i="43"/>
  <c r="D119" i="43"/>
  <c r="E119" i="43"/>
  <c r="F119" i="43"/>
  <c r="G119" i="43"/>
  <c r="H119" i="43"/>
  <c r="G121" i="43"/>
  <c r="H121" i="43"/>
  <c r="D120" i="43"/>
  <c r="E120" i="43"/>
  <c r="F120" i="43"/>
  <c r="G120" i="43"/>
  <c r="H120" i="43"/>
  <c r="I119" i="43"/>
  <c r="J119" i="43"/>
  <c r="K119" i="43"/>
  <c r="L119" i="43"/>
  <c r="M119" i="43"/>
  <c r="D121" i="43"/>
  <c r="E121" i="43"/>
  <c r="F121" i="43"/>
  <c r="D122" i="43"/>
  <c r="E122" i="43"/>
  <c r="F122" i="43"/>
  <c r="G122" i="43"/>
  <c r="H122" i="43"/>
  <c r="B118" i="43"/>
  <c r="AA11" i="39"/>
  <c r="S11" i="39"/>
  <c r="D26" i="43"/>
  <c r="C25" i="43"/>
  <c r="W11" i="39"/>
  <c r="AC11" i="39"/>
  <c r="AB11" i="39"/>
  <c r="U11" i="39"/>
  <c r="D5" i="71"/>
  <c r="M24" i="43"/>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71" i="82"/>
  <c r="Q69" i="82"/>
  <c r="Q68" i="82"/>
  <c r="H37" i="82"/>
  <c r="C80" i="82"/>
  <c r="C79" i="82"/>
  <c r="C118" i="43"/>
  <c r="D116" i="43"/>
  <c r="C33" i="43"/>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M69" i="39"/>
  <c r="N67" i="39"/>
  <c r="R39" i="35"/>
  <c r="E38" i="35"/>
  <c r="M63" i="40"/>
  <c r="L65" i="40"/>
  <c r="D2" i="21"/>
  <c r="L51" i="82"/>
  <c r="Q67" i="82"/>
  <c r="Q65" i="82"/>
  <c r="Q75" i="82"/>
  <c r="Q56" i="82"/>
  <c r="Q62" i="82"/>
  <c r="C43" i="82"/>
  <c r="B3" i="82"/>
  <c r="Q47" i="82"/>
  <c r="Q53" i="82"/>
  <c r="C83" i="82"/>
  <c r="C82" i="82"/>
  <c r="C46" i="82"/>
  <c r="C34" i="43"/>
  <c r="E34" i="43"/>
  <c r="C31" i="43"/>
  <c r="E33" i="43"/>
  <c r="C30" i="43"/>
  <c r="C80" i="67"/>
  <c r="C79" i="67"/>
  <c r="C40" i="67"/>
  <c r="C45" i="67"/>
  <c r="C56" i="11"/>
  <c r="C57" i="11"/>
  <c r="B2" i="21"/>
  <c r="B3" i="21"/>
  <c r="J16" i="15"/>
  <c r="J25" i="15"/>
  <c r="C58" i="15"/>
  <c r="C67" i="15"/>
  <c r="C68" i="15"/>
  <c r="C71" i="15"/>
  <c r="O67" i="39"/>
  <c r="O69" i="39"/>
  <c r="N69" i="39"/>
  <c r="F7" i="39"/>
  <c r="C39" i="35"/>
  <c r="C38" i="35"/>
  <c r="N63" i="40"/>
  <c r="M65" i="40"/>
  <c r="E43" i="35"/>
  <c r="F43" i="35"/>
  <c r="E42" i="35"/>
  <c r="F42" i="35"/>
  <c r="I43" i="35"/>
  <c r="J43" i="35"/>
  <c r="D2" i="33"/>
  <c r="E6" i="76"/>
  <c r="L51" i="67"/>
  <c r="E2" i="76"/>
  <c r="B2" i="43"/>
  <c r="Q69" i="15"/>
  <c r="Q68" i="15"/>
  <c r="H37" i="15"/>
  <c r="L57" i="67"/>
  <c r="L60" i="67"/>
  <c r="L46" i="67"/>
  <c r="D2" i="67"/>
  <c r="B2" i="67"/>
  <c r="Q67" i="67"/>
  <c r="Q65" i="67"/>
  <c r="B2" i="33"/>
  <c r="B3" i="33"/>
  <c r="C83" i="67"/>
  <c r="C82" i="67"/>
  <c r="Q47" i="67"/>
  <c r="Q53" i="67"/>
  <c r="C46" i="67"/>
  <c r="Q56" i="67"/>
  <c r="C43" i="67"/>
  <c r="C80" i="15"/>
  <c r="C79" i="15"/>
  <c r="C46" i="15"/>
  <c r="H7" i="39"/>
  <c r="J7" i="39"/>
  <c r="S7" i="39"/>
  <c r="AA7" i="39"/>
  <c r="O63" i="40"/>
  <c r="O65" i="40"/>
  <c r="N65" i="40"/>
  <c r="D2" i="36"/>
  <c r="B6" i="76"/>
  <c r="D2" i="37"/>
  <c r="D2" i="34"/>
  <c r="L51" i="15"/>
  <c r="D2" i="35"/>
  <c r="B2" i="76"/>
  <c r="B3" i="76"/>
  <c r="B3" i="43"/>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U7" i="39"/>
  <c r="AB7" i="39"/>
  <c r="J7" i="40"/>
  <c r="F7" i="40"/>
  <c r="H7" i="40"/>
  <c r="Q66" i="15"/>
  <c r="Q75" i="15"/>
  <c r="Q62" i="15"/>
  <c r="U7" i="40"/>
  <c r="AB7" i="40"/>
  <c r="T42" i="40"/>
  <c r="G42" i="40"/>
  <c r="AA7" i="40"/>
  <c r="R42" i="40"/>
  <c r="S7" i="40"/>
  <c r="AC7" i="40"/>
  <c r="V42" i="40"/>
  <c r="I42" i="40"/>
  <c r="W7" i="40"/>
  <c r="B3" i="15"/>
  <c r="I46" i="40"/>
  <c r="J46" i="40"/>
  <c r="R43" i="40"/>
  <c r="E42" i="40"/>
  <c r="G47" i="40"/>
  <c r="H47" i="40"/>
  <c r="G46" i="40"/>
  <c r="H46" i="40"/>
  <c r="C42" i="40"/>
  <c r="C43" i="40"/>
  <c r="E47" i="40"/>
  <c r="F47" i="40"/>
  <c r="E46" i="40"/>
  <c r="F46" i="40"/>
  <c r="I47" i="40"/>
  <c r="J47" i="40"/>
  <c r="D21" i="9"/>
  <c r="D102" i="9"/>
  <c r="B3" i="70"/>
  <c r="B58" i="40"/>
  <c r="F58" i="40"/>
  <c r="B54" i="40"/>
  <c r="F54" i="40"/>
  <c r="B53" i="40"/>
  <c r="F53" i="40"/>
  <c r="B59" i="40"/>
  <c r="F59" i="40"/>
  <c r="B52" i="40"/>
  <c r="F52" i="40"/>
  <c r="B56" i="40"/>
  <c r="F56" i="40"/>
  <c r="B60" i="40"/>
  <c r="F60" i="40"/>
  <c r="B57" i="40"/>
  <c r="F57" i="40"/>
  <c r="B51" i="40"/>
  <c r="F51" i="40"/>
  <c r="F61" i="40"/>
  <c r="B2" i="40"/>
  <c r="B3" i="40"/>
  <c r="D20" i="9"/>
  <c r="D103" i="9"/>
  <c r="H112" i="9"/>
  <c r="C8" i="74"/>
  <c r="H111" i="9"/>
  <c r="D19" i="53"/>
  <c r="D126" i="9"/>
  <c r="D12" i="52"/>
  <c r="D21" i="53"/>
  <c r="B39" i="72"/>
  <c r="B38" i="72"/>
  <c r="D20" i="53"/>
  <c r="B40" i="72"/>
  <c r="D127" i="9"/>
  <c r="D13" i="52"/>
  <c r="F45" i="6"/>
  <c r="G45" i="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F65"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C64" i="9"/>
  <c r="C63" i="9"/>
  <c r="C67" i="9"/>
  <c r="D59" i="9"/>
  <c r="M55" i="9"/>
  <c r="N57" i="9"/>
  <c r="N59" i="9"/>
  <c r="N60" i="9"/>
  <c r="N61" i="9"/>
  <c r="N58" i="9"/>
  <c r="P57" i="9"/>
  <c r="L63" i="9"/>
  <c r="M63" i="9"/>
  <c r="L64" i="9"/>
  <c r="M64" i="9"/>
  <c r="L65" i="9"/>
  <c r="M65" i="9"/>
  <c r="L66" i="9"/>
  <c r="M66" i="9"/>
  <c r="L67" i="9"/>
  <c r="M67" i="9"/>
  <c r="L68" i="9"/>
  <c r="M68" i="9"/>
  <c r="M69" i="9"/>
  <c r="N69" i="9"/>
  <c r="E96" i="9"/>
  <c r="E97" i="9"/>
  <c r="C72" i="9"/>
  <c r="C78" i="9"/>
  <c r="C73" i="9"/>
  <c r="C79" i="9"/>
  <c r="C80" i="9"/>
  <c r="C81" i="9"/>
  <c r="E80" i="9"/>
  <c r="E81" i="9"/>
  <c r="C68" i="9"/>
  <c r="D54" i="9"/>
  <c r="D122" i="9"/>
  <c r="D123" i="9"/>
  <c r="D9" i="52"/>
  <c r="D8" i="52"/>
  <c r="D13" i="53"/>
  <c r="B30" i="72"/>
  <c r="D14" i="53"/>
  <c r="B32" i="72"/>
  <c r="D14" i="74"/>
  <c r="G14" i="74"/>
  <c r="B6" i="74"/>
  <c r="I118" i="9"/>
  <c r="H102" i="9"/>
  <c r="H108" i="9"/>
  <c r="C6" i="74"/>
  <c r="D6" i="74"/>
  <c r="D5" i="53"/>
  <c r="D6" i="53"/>
  <c r="B22" i="72"/>
  <c r="B20" i="72"/>
  <c r="D15" i="53"/>
  <c r="B31" i="72"/>
  <c r="B5" i="74"/>
  <c r="C5" i="74"/>
  <c r="D5" i="74"/>
  <c r="D52" i="9"/>
  <c r="D53" i="9"/>
  <c r="B3" i="68"/>
  <c r="C57" i="68"/>
  <c r="D35" i="9"/>
  <c r="C35" i="9"/>
  <c r="F118" i="9"/>
  <c r="G118" i="9"/>
  <c r="E118" i="9"/>
  <c r="E4" i="52"/>
  <c r="B48" i="72"/>
  <c r="D7" i="53"/>
  <c r="B21" i="72"/>
  <c r="C105" i="9"/>
  <c r="I4" i="52"/>
  <c r="M48" i="9"/>
  <c r="C34" i="9"/>
  <c r="D118" i="9"/>
  <c r="D4" i="52"/>
  <c r="B47" i="72"/>
  <c r="D119" i="9"/>
  <c r="D5" i="52"/>
  <c r="B49" i="72"/>
  <c r="F119" i="9"/>
  <c r="F5" i="52"/>
  <c r="B53" i="72"/>
  <c r="F4" i="52"/>
  <c r="B51" i="72"/>
  <c r="G4" i="52"/>
  <c r="B52" i="72"/>
  <c r="F14" i="74"/>
  <c r="E14" i="74"/>
  <c r="H4" i="52"/>
  <c r="H119" i="9"/>
  <c r="H5" i="52"/>
  <c r="C104" i="9"/>
  <c r="C20" i="9"/>
  <c r="G20" i="9"/>
  <c r="C103" i="9"/>
  <c r="C56" i="68"/>
  <c r="D34" i="9"/>
  <c r="D22" i="9"/>
  <c r="G21" i="9"/>
  <c r="C21" i="9"/>
  <c r="C102" i="9"/>
  <c r="B2" i="39"/>
  <c r="B3" i="39"/>
  <c r="E47" i="39"/>
  <c r="E51" i="39"/>
  <c r="F51" i="39"/>
  <c r="G47" i="39"/>
  <c r="E52" i="39"/>
  <c r="F52" i="39"/>
  <c r="I47" i="39"/>
  <c r="I52" i="39"/>
  <c r="J52" i="39"/>
  <c r="I51" i="39"/>
  <c r="J51" i="39"/>
  <c r="G52" i="39"/>
  <c r="H52" i="39"/>
  <c r="G51" i="39"/>
  <c r="H51" i="39"/>
  <c r="C47" i="39"/>
  <c r="J10" i="40"/>
  <c r="W10" i="40"/>
  <c r="H10" i="40"/>
  <c r="U10" i="40"/>
  <c r="F10" i="40"/>
  <c r="AA10" i="40"/>
  <c r="S10" i="39"/>
  <c r="AB10" i="40"/>
  <c r="W10" i="39"/>
  <c r="S10" i="40"/>
  <c r="U10" i="39"/>
  <c r="AC10" i="40"/>
  <c r="E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<sst xmlns="http://schemas.openxmlformats.org/spreadsheetml/2006/main" count="9772" uniqueCount="3896">
  <si>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</si>
  <si>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</si>
  <si>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</si>
  <si>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</si>
  <si>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</si>
  <si>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</si>
  <si>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</si>
  <si>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</si>
  <si>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</si>
  <si>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</si>
  <si>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</si>
  <si>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</si>
  <si>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</si>
  <si>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</si>
  <si>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</si>
  <si>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</si>
  <si>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</si>
  <si>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</si>
  <si>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</si>
  <si>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</si>
  <si>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</si>
  <si>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</si>
  <si>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</si>
  <si>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</si>
  <si>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</si>
  <si>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</si>
  <si>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</si>
  <si>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</si>
  <si>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</si>
  <si>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</si>
  <si>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</si>
  <si>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</si>
  <si>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</si>
  <si>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</si>
  <si>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</si>
  <si>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</si>
  <si>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</si>
  <si>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</si>
  <si>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</si>
  <si>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</si>
  <si>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</si>
  <si>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</si>
  <si>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</si>
  <si>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</si>
  <si>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</si>
  <si>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</si>
  <si>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</si>
  <si>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</si>
  <si>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</si>
  <si>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</si>
  <si>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</si>
  <si>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</si>
  <si>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</si>
  <si>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</si>
  <si>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</si>
  <si>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</si>
  <si>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</si>
  <si>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</si>
  <si>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</si>
  <si>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</si>
  <si>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</si>
  <si>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</si>
  <si>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</si>
  <si>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</si>
  <si>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</si>
  <si>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</si>
  <si>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</si>
  <si>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</si>
  <si>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</si>
  <si>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</si>
  <si>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</si>
  <si>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</si>
  <si>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</si>
  <si>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</si>
  <si>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</si>
  <si>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</si>
  <si>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</si>
  <si>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</si>
  <si>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</si>
  <si>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</si>
  <si>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</si>
  <si>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</si>
  <si>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</si>
  <si>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</si>
  <si>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</si>
  <si>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</si>
  <si>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</si>
  <si>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</si>
  <si>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</si>
  <si>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</si>
  <si>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</si>
  <si>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</si>
  <si>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</si>
  <si>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</si>
  <si>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</si>
  <si>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</si>
  <si>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</si>
  <si>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</si>
  <si>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</si>
  <si>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</si>
  <si>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</si>
  <si>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</si>
  <si>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</si>
  <si>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</si>
  <si>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</si>
  <si>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</si>
  <si>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</si>
  <si>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</si>
  <si>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</si>
  <si>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</si>
  <si>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</si>
  <si>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</si>
  <si>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</si>
  <si>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</si>
  <si>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</si>
  <si>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</si>
  <si>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</si>
  <si>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</si>
  <si>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</si>
  <si>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</si>
  <si>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</si>
  <si>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</si>
  <si>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</si>
  <si>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</si>
  <si>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</si>
  <si>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</si>
  <si>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</si>
  <si>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</si>
  <si>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</si>
  <si>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</si>
  <si>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</si>
  <si>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</si>
  <si>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</si>
  <si>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</si>
  <si>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</si>
  <si>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</si>
  <si>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</si>
  <si>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</si>
  <si>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</si>
  <si>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</si>
  <si>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</si>
  <si>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</si>
  <si>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</si>
  <si>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</si>
  <si>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</si>
  <si>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</si>
  <si>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</si>
  <si>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</si>
  <si>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</si>
  <si>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</si>
  <si>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</si>
  <si>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</si>
  <si>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</si>
  <si>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</si>
  <si>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</si>
  <si>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</si>
  <si>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</si>
  <si>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</si>
  <si>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</si>
  <si>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</si>
  <si>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</si>
  <si>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</si>
  <si>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</si>
  <si>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</si>
  <si>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</si>
  <si>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</si>
  <si>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</si>
  <si>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</si>
  <si>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</si>
  <si>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</si>
  <si>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</si>
  <si>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</si>
  <si>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</si>
  <si>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</si>
  <si>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</si>
  <si>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</si>
  <si>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</si>
  <si>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</si>
  <si>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</si>
  <si>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</si>
  <si>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</si>
  <si>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</si>
  <si>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</si>
  <si>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</si>
  <si>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</si>
  <si>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</si>
  <si>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</si>
  <si>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</si>
  <si>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</si>
  <si>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</si>
  <si>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</si>
  <si>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</si>
  <si>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</si>
  <si>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</si>
  <si>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</si>
  <si>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</si>
  <si>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</si>
  <si>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</si>
  <si>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</si>
  <si>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</si>
  <si>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</si>
  <si>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</si>
  <si>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</si>
  <si>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</si>
  <si>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</si>
  <si>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</si>
  <si>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</si>
  <si>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</si>
  <si>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</si>
  <si>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</si>
  <si>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</si>
  <si>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</si>
  <si>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</si>
  <si>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</si>
  <si>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</si>
  <si>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</si>
  <si>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</si>
  <si>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</si>
  <si>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</si>
  <si>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</si>
  <si>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</si>
  <si>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</si>
  <si>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</si>
  <si>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</si>
  <si>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</si>
  <si>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</si>
  <si>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</si>
  <si>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</si>
  <si>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</si>
  <si>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</si>
  <si>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</si>
  <si>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</si>
  <si>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</si>
  <si>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</si>
  <si>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</si>
  <si>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</si>
  <si>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</si>
  <si>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</si>
  <si>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</si>
  <si>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</si>
  <si>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</si>
  <si>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</si>
  <si>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</si>
  <si>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</si>
  <si>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</si>
  <si>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</si>
  <si>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</si>
  <si>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</si>
  <si>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</si>
  <si>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</si>
  <si>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</si>
  <si>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</si>
  <si>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</si>
  <si>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</si>
  <si>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</si>
  <si>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</si>
  <si>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</si>
  <si>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</si>
  <si>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</si>
  <si>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</si>
  <si>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</si>
  <si>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</si>
  <si>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</si>
  <si>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</si>
  <si>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</si>
  <si>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</si>
  <si>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</si>
  <si>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</si>
  <si>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</si>
  <si>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</si>
  <si>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</si>
  <si>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</si>
  <si>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</si>
  <si>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</si>
  <si>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</si>
  <si>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</si>
  <si>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</si>
  <si>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</si>
  <si>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</si>
  <si>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</si>
  <si>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</si>
  <si>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</si>
  <si>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</si>
  <si>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</si>
  <si>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</si>
  <si>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</si>
  <si>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</si>
  <si>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</si>
  <si>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</si>
  <si>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</si>
  <si>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</si>
  <si>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</si>
  <si>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</si>
  <si>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</si>
  <si>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</si>
  <si>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</si>
  <si>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</si>
  <si>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</si>
  <si>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</si>
  <si>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</si>
  <si>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</si>
  <si>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</si>
  <si>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</si>
  <si>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</si>
  <si>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</si>
  <si>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</si>
  <si>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</si>
  <si>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</si>
  <si>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</si>
  <si>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</si>
  <si>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</si>
  <si>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</si>
  <si>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</si>
  <si>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</si>
  <si>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</si>
  <si>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</si>
  <si>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</si>
  <si>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</si>
  <si>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</si>
  <si>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</si>
  <si>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</si>
  <si>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</si>
  <si>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</si>
  <si>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</si>
  <si>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</si>
  <si>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</si>
  <si>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</si>
  <si>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</si>
  <si>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</si>
  <si>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</si>
  <si>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</si>
  <si>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</si>
  <si>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</si>
  <si>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</si>
  <si>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</si>
  <si>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</si>
  <si>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</si>
  <si>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</si>
  <si>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</si>
  <si>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</si>
  <si>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</si>
  <si>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</si>
  <si>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</si>
  <si>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</si>
  <si>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</si>
  <si>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</si>
  <si>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</si>
  <si>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</si>
  <si>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</si>
  <si>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</si>
  <si>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</si>
  <si>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</si>
  <si>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</si>
  <si>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</si>
  <si>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</si>
  <si>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</si>
  <si>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</si>
  <si>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</si>
  <si>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</si>
  <si>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</si>
  <si>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</si>
  <si>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</si>
  <si>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</si>
  <si>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</si>
  <si>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</si>
  <si>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</si>
  <si>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</si>
  <si>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</si>
  <si>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</si>
  <si>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</si>
  <si>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</si>
  <si>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</si>
  <si>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</si>
  <si>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</si>
  <si>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</si>
  <si>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</si>
  <si>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</si>
  <si>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</si>
  <si>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</si>
  <si>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</si>
  <si>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</si>
  <si>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</si>
  <si>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</si>
  <si>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</si>
  <si>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</si>
  <si>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</si>
  <si>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</si>
  <si>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</si>
  <si>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</si>
  <si>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</si>
  <si>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</si>
  <si>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</si>
  <si>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</si>
  <si>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</si>
  <si>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</si>
  <si>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</si>
  <si>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</si>
  <si>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</si>
  <si>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</si>
  <si>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</si>
  <si>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</si>
  <si>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</si>
  <si>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</si>
  <si>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</si>
  <si>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</si>
  <si>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</si>
  <si>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</si>
  <si>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</si>
  <si>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</si>
  <si>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</si>
  <si>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</si>
  <si>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</si>
  <si>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</si>
  <si>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</si>
  <si>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</si>
  <si>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</si>
  <si>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</si>
  <si>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</si>
  <si>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</si>
  <si>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</si>
  <si>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</si>
  <si>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</si>
  <si>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</si>
  <si>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</si>
  <si>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</si>
  <si>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</si>
  <si>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</si>
  <si>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</si>
  <si>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</si>
  <si>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</si>
  <si>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</si>
  <si>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</si>
  <si>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</si>
  <si>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</si>
  <si>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</si>
  <si>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</si>
  <si>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</si>
  <si>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</si>
  <si>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</si>
  <si>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</si>
  <si>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</si>
  <si>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</si>
  <si>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</si>
  <si>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</si>
  <si>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</si>
  <si>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</si>
  <si>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</si>
  <si>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</si>
  <si>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</si>
  <si>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</si>
  <si>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</si>
  <si>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</si>
  <si>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</si>
  <si>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</si>
  <si>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</si>
  <si>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</si>
  <si>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</si>
  <si>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</si>
  <si>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</si>
  <si>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</si>
  <si>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</si>
  <si>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</si>
  <si>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</si>
  <si>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</si>
  <si>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</si>
  <si>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</si>
  <si>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</si>
  <si>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</si>
  <si>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</si>
  <si>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</si>
  <si>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</si>
  <si>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</si>
  <si>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</si>
  <si>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</si>
  <si>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</si>
  <si>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</si>
  <si>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</si>
  <si>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</si>
  <si>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</si>
  <si>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</si>
  <si>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</si>
  <si>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</si>
  <si>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</si>
  <si>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</si>
  <si>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</si>
  <si>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</si>
  <si>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</si>
  <si>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</si>
  <si>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</si>
  <si>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</si>
  <si>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</si>
  <si>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</si>
  <si>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</si>
  <si>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</si>
  <si>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</si>
  <si>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</si>
  <si>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</si>
  <si>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</si>
  <si>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</si>
  <si>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</si>
  <si>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</si>
  <si>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</si>
  <si>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</si>
  <si>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</si>
  <si>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</si>
  <si>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</si>
  <si>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</si>
  <si>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</si>
  <si>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</si>
  <si>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</si>
  <si>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</si>
  <si>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</si>
  <si>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</si>
  <si>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</si>
  <si>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</si>
  <si>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</si>
  <si>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</si>
  <si>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</si>
  <si>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</si>
  <si>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</si>
  <si>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</si>
  <si>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</si>
  <si>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</si>
  <si>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</si>
  <si>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</si>
  <si>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</si>
  <si>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</si>
  <si>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</si>
  <si>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</si>
  <si>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</si>
  <si>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</si>
  <si>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</si>
  <si>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</si>
  <si>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</si>
  <si>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</si>
  <si>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</si>
  <si>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</si>
  <si>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</si>
  <si>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</si>
  <si>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</si>
  <si>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</si>
  <si>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</si>
  <si>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</si>
  <si>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</si>
  <si>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</si>
  <si>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</si>
  <si>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</si>
  <si>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</si>
  <si>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</si>
  <si>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</si>
  <si>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</si>
  <si>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</si>
  <si>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</si>
  <si>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</si>
  <si>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</si>
  <si>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</si>
  <si>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</si>
  <si>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</si>
  <si>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</si>
  <si>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</si>
  <si>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</si>
  <si>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</si>
  <si>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</si>
  <si>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</si>
  <si>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</si>
  <si>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</si>
  <si>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</si>
  <si>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</si>
  <si>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</si>
  <si>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</si>
  <si>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</si>
  <si>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</si>
  <si>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</si>
  <si>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</si>
  <si>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</si>
  <si>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</si>
  <si>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</si>
  <si>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</si>
  <si>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</si>
  <si>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</si>
  <si>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</si>
  <si>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</si>
  <si>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</si>
  <si>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</si>
  <si>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</si>
  <si>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</si>
  <si>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</si>
  <si>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</si>
  <si>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</si>
  <si>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</si>
  <si>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</si>
  <si>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</si>
  <si>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</si>
  <si>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</si>
  <si>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</si>
  <si>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</si>
  <si>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</si>
  <si>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</si>
  <si>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</si>
  <si>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</si>
  <si>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</si>
  <si>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</si>
  <si>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</si>
  <si>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</si>
  <si>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</si>
  <si>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</si>
  <si>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</si>
  <si>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</si>
  <si>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</si>
  <si>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</si>
  <si>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</si>
  <si>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</si>
  <si>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</si>
  <si>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</si>
  <si>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</si>
  <si>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</si>
  <si>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</si>
  <si>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</si>
  <si>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</si>
  <si>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</si>
  <si>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</si>
  <si>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</si>
  <si>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</si>
  <si>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</si>
  <si>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</si>
  <si>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</si>
  <si>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</si>
  <si>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</si>
  <si>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</si>
  <si>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</si>
  <si>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</si>
  <si>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</si>
  <si>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</si>
  <si>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</si>
  <si>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</si>
  <si>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</si>
  <si>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</si>
  <si>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</si>
  <si>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</si>
  <si>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</si>
  <si>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</si>
  <si>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</si>
  <si>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</si>
  <si>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</si>
  <si>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</si>
  <si>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</si>
  <si>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</si>
  <si>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</si>
  <si>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</si>
  <si>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</si>
  <si>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</si>
  <si>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</si>
  <si>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</si>
  <si>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</si>
  <si>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</si>
  <si>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</si>
  <si>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</si>
  <si>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</si>
  <si>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</si>
  <si>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</si>
  <si>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</si>
  <si>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</si>
  <si>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</si>
  <si>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</si>
  <si>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</si>
  <si>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</si>
  <si>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</si>
  <si>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</si>
  <si>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</si>
  <si>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</si>
  <si>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</si>
  <si>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</si>
  <si>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</si>
  <si>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</si>
  <si>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</si>
  <si>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</si>
  <si>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</si>
  <si>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</si>
  <si>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</si>
  <si>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</si>
  <si>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</si>
  <si>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</si>
  <si>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</si>
  <si>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</si>
  <si>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</si>
  <si>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</si>
  <si>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</si>
  <si>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</si>
  <si>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</si>
  <si>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</si>
  <si>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</si>
  <si>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</si>
  <si>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</si>
  <si>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</si>
  <si>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</si>
  <si>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</si>
  <si>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</si>
  <si>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</si>
  <si>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</si>
  <si>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</si>
  <si>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</si>
  <si>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</si>
  <si>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</si>
  <si>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</si>
  <si>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</si>
  <si>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</si>
  <si>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</si>
  <si>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</si>
  <si>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</si>
  <si>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</si>
  <si>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</si>
  <si>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</si>
  <si>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</si>
  <si>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</si>
  <si>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</si>
  <si>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</si>
  <si>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</si>
  <si>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</si>
  <si>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</si>
  <si>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</si>
  <si>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</si>
  <si>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</si>
  <si>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</si>
  <si>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</si>
  <si>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</si>
  <si>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</si>
  <si>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</si>
  <si>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</si>
  <si>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</si>
  <si>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</si>
  <si>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</si>
  <si>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</si>
  <si>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</si>
  <si>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</si>
  <si>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</si>
  <si>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</si>
  <si>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</si>
  <si>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</si>
  <si>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</si>
  <si>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</si>
  <si>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</si>
  <si>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</si>
  <si>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</si>
  <si>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</si>
  <si>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</si>
  <si>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</si>
  <si>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</si>
  <si>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</si>
  <si>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</si>
  <si>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</si>
  <si>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</si>
  <si>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</si>
  <si>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</si>
  <si>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</si>
  <si>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</si>
  <si>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</si>
  <si>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</si>
  <si>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</si>
  <si>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</si>
  <si>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</si>
  <si>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</si>
  <si>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</si>
  <si>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</si>
  <si>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</si>
  <si>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</si>
  <si>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</si>
  <si>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</si>
  <si>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</si>
  <si>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</si>
  <si>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</si>
  <si>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</si>
  <si>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</si>
  <si>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</si>
  <si>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</si>
  <si>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</si>
  <si>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</si>
  <si>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</si>
  <si>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</si>
  <si>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</si>
  <si>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</si>
  <si>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</si>
  <si>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</si>
  <si>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</si>
  <si>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</si>
  <si>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</si>
  <si>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</si>
  <si>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</si>
  <si>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</si>
  <si>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</si>
  <si>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</si>
  <si>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</si>
  <si>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</si>
  <si>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</si>
  <si>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</si>
  <si>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</si>
  <si>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</si>
  <si>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</si>
  <si>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</si>
  <si>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</si>
  <si>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</si>
  <si>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</si>
  <si>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</si>
  <si>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</si>
  <si>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</si>
  <si>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</si>
  <si>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</si>
  <si>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</si>
  <si>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</si>
  <si>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</si>
  <si>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</si>
  <si>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</si>
  <si>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</si>
  <si>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</si>
  <si>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</si>
  <si>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</si>
  <si>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</si>
  <si>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</si>
  <si>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</si>
  <si>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</si>
  <si>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</si>
  <si>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</si>
  <si>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</si>
  <si>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</si>
  <si>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</si>
  <si>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</si>
  <si>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</si>
  <si>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</si>
  <si>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</si>
  <si>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</si>
  <si>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</si>
  <si>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</si>
  <si>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</si>
  <si>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</si>
  <si>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</si>
  <si>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</si>
  <si>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</si>
  <si>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</si>
  <si>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</si>
  <si>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</si>
  <si>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</si>
  <si>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</si>
  <si>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</si>
  <si>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</si>
  <si>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</si>
  <si>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</si>
  <si>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</si>
  <si>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</si>
  <si>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</si>
  <si>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</si>
  <si>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</si>
  <si>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</si>
  <si>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</si>
  <si>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</si>
  <si>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</si>
  <si>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</si>
  <si>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</si>
  <si>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</si>
  <si>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</si>
  <si>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</si>
  <si>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</si>
  <si>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</si>
  <si>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</si>
  <si>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</si>
  <si>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</si>
  <si>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</si>
  <si>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</si>
  <si>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</si>
  <si>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</si>
  <si>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</si>
  <si>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</si>
  <si>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</si>
  <si>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</si>
  <si>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</si>
  <si>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</si>
  <si>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</si>
  <si>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</si>
  <si>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</si>
  <si>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</si>
  <si>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</si>
  <si>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</si>
  <si>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</si>
  <si>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</si>
  <si>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</si>
  <si>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</si>
  <si>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</si>
  <si>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</si>
  <si>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</si>
  <si>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</si>
  <si>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</si>
  <si>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</si>
  <si>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</si>
  <si>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</si>
  <si>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</si>
  <si>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</si>
  <si>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</si>
  <si>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</si>
  <si>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</si>
  <si>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</si>
  <si>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</si>
  <si>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</si>
  <si>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</si>
  <si>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</si>
  <si>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</si>
  <si>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</si>
  <si>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</si>
  <si>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</si>
  <si>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</si>
  <si>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</si>
  <si>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</si>
  <si>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</si>
  <si>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</si>
  <si>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</si>
  <si>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</si>
  <si>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</si>
  <si>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</si>
  <si>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</si>
  <si>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</si>
  <si>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</si>
  <si>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</si>
  <si>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</si>
  <si>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</si>
  <si>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</si>
  <si>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</si>
  <si>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</si>
  <si>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</si>
  <si>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</si>
  <si>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</si>
  <si>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</si>
  <si>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</si>
  <si>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</si>
  <si>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</si>
  <si>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</si>
  <si>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</si>
  <si>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</si>
  <si>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</si>
  <si>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</si>
  <si>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</si>
  <si>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</si>
  <si>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</si>
  <si>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</si>
  <si>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</si>
  <si>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</si>
  <si>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</si>
  <si>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</si>
  <si>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</si>
  <si>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</si>
  <si>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</si>
  <si>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</si>
  <si>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</si>
  <si>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</si>
  <si>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</si>
  <si>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</si>
  <si>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</si>
  <si>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</si>
  <si>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</si>
  <si>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</si>
  <si>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</si>
  <si>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</si>
  <si>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</si>
  <si>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</si>
  <si>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</si>
  <si>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</si>
  <si>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</si>
  <si>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</si>
  <si>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</si>
  <si>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</si>
  <si>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</si>
  <si>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</si>
  <si>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</si>
  <si>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</si>
  <si>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</si>
  <si>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</si>
  <si>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</si>
  <si>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</si>
  <si>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</si>
  <si>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</si>
  <si>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</si>
  <si>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</si>
  <si>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</si>
  <si>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</si>
  <si>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</si>
  <si>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</si>
  <si>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</si>
  <si>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</si>
  <si>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</si>
  <si>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</si>
  <si>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</si>
  <si>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</si>
  <si>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</si>
  <si>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</si>
  <si>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</si>
  <si>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</si>
  <si>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</si>
  <si>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</si>
  <si>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</si>
  <si>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</si>
  <si>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</si>
  <si>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</si>
  <si>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</si>
  <si>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</si>
  <si>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</si>
  <si>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</si>
  <si>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</si>
  <si>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</si>
  <si>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</si>
  <si>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</si>
  <si>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</si>
  <si>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</si>
  <si>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</si>
  <si>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</si>
  <si>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</si>
  <si>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</si>
  <si>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</si>
  <si>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</si>
  <si>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</si>
  <si>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</si>
  <si>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</si>
  <si>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</si>
  <si>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</si>
  <si>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</si>
  <si>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</si>
  <si>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</si>
  <si>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</si>
  <si>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</si>
  <si>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</si>
  <si>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</si>
  <si>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</si>
  <si>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</si>
  <si>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</si>
  <si>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</si>
  <si>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</si>
  <si>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</si>
  <si>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</si>
  <si>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</si>
  <si>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</si>
  <si>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</si>
  <si>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</si>
  <si>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</si>
  <si>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</si>
  <si>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</si>
  <si>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</si>
  <si>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</si>
  <si>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</si>
  <si>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</si>
  <si>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</si>
  <si>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</si>
  <si>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</si>
  <si>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</si>
  <si>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</si>
  <si>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</si>
  <si>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</si>
  <si>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</si>
  <si>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</si>
  <si>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</si>
  <si>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</si>
  <si>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</si>
  <si>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</si>
  <si>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</si>
  <si>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</si>
  <si>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</si>
  <si>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</si>
  <si>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</si>
  <si>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</si>
  <si>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</si>
  <si>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</si>
  <si>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</si>
  <si>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</si>
  <si>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</si>
  <si>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</si>
  <si>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</si>
  <si>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</si>
  <si>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</si>
  <si>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</si>
  <si>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</si>
  <si>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</si>
  <si>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</si>
  <si>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</si>
  <si>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</si>
  <si>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</si>
  <si>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</si>
  <si>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</si>
  <si>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</si>
  <si>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</si>
  <si>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</si>
  <si>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</si>
  <si>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</si>
  <si>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</si>
  <si>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</si>
  <si>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</si>
  <si>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</si>
  <si>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</si>
  <si>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</si>
  <si>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</si>
  <si>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</si>
  <si>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</si>
  <si>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</si>
  <si>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</si>
  <si>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</si>
  <si>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</si>
  <si>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</si>
  <si>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</si>
  <si>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</si>
  <si>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</si>
  <si>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</si>
  <si>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</si>
  <si>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</si>
  <si>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</si>
  <si>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</si>
  <si>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</si>
  <si>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</si>
  <si>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</si>
  <si>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</si>
  <si>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</si>
  <si>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</si>
  <si>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</si>
  <si>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</si>
  <si>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</si>
  <si>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</si>
  <si>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</si>
  <si>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</si>
  <si>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</si>
  <si>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</si>
  <si>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</si>
  <si>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</si>
  <si>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</si>
  <si>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</si>
  <si>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</si>
  <si>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</si>
  <si>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</si>
  <si>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</si>
  <si>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</si>
  <si>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</si>
  <si>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</si>
  <si>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</si>
  <si>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</si>
  <si>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</si>
  <si>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</si>
  <si>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</si>
  <si>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</si>
  <si>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</si>
  <si>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</si>
  <si>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</si>
  <si>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</si>
  <si>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</si>
  <si>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</si>
  <si>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</si>
  <si>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</si>
  <si>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</si>
  <si>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</si>
  <si>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</si>
  <si>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</si>
  <si>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</si>
  <si>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</si>
  <si>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</si>
  <si>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</si>
  <si>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</si>
  <si>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</si>
  <si>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</si>
  <si>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</si>
  <si>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</si>
  <si>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</si>
  <si>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</si>
  <si>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</si>
  <si>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</si>
  <si>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</si>
  <si>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</si>
  <si>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</si>
  <si>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</si>
  <si>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</si>
  <si>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</si>
  <si>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</si>
  <si>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</si>
  <si>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</si>
  <si>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</si>
  <si>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</si>
  <si>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</si>
  <si>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</si>
  <si>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</si>
  <si>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</si>
  <si>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</si>
  <si>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</si>
  <si>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</si>
  <si>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</si>
  <si>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</si>
  <si>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</si>
  <si>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</si>
  <si>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</si>
  <si>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</si>
  <si>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</si>
  <si>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</si>
  <si>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</si>
  <si>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</si>
  <si>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</si>
  <si>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</si>
  <si>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</si>
  <si>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</si>
  <si>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</si>
  <si>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</si>
  <si>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</si>
  <si>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</si>
  <si>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</si>
  <si>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</si>
  <si>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</si>
  <si>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</si>
  <si>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</si>
  <si>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</si>
  <si>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</si>
  <si>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</si>
  <si>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</si>
  <si>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</si>
  <si>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</si>
  <si>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</si>
  <si>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</si>
  <si>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</si>
  <si>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</si>
  <si>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</si>
  <si>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</si>
  <si>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</si>
  <si>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</si>
  <si>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</si>
  <si>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</si>
  <si>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</si>
  <si>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</si>
  <si>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</si>
  <si>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</si>
  <si>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</si>
  <si>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</si>
  <si>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</si>
  <si>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</si>
  <si>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</si>
  <si>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</si>
  <si>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</si>
  <si>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</si>
  <si>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</si>
  <si>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</si>
  <si>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</si>
  <si>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</si>
  <si>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</si>
  <si>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</si>
  <si>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</si>
  <si>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</si>
  <si>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</si>
  <si>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</si>
  <si>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</si>
  <si>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</si>
  <si>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</si>
  <si>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</si>
  <si>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</si>
  <si>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</si>
  <si>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</si>
  <si>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</si>
  <si>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</si>
  <si>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</si>
  <si>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</si>
  <si>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</si>
  <si>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</si>
  <si>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</si>
  <si>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</si>
  <si>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</si>
  <si>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</si>
  <si>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</si>
  <si>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</si>
  <si>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</si>
  <si>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</si>
  <si>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</si>
  <si>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</si>
  <si>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</si>
  <si>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</si>
  <si>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</si>
  <si>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</si>
  <si>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</si>
  <si>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</si>
  <si>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</si>
  <si>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</si>
  <si>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</si>
  <si>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</si>
  <si>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</si>
  <si>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</si>
  <si>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</si>
  <si>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</si>
  <si>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</si>
  <si>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</si>
  <si>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</si>
  <si>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</si>
  <si>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</si>
  <si>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</si>
  <si>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</si>
  <si>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</si>
  <si>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</si>
  <si>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</si>
  <si>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</si>
  <si>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</si>
  <si>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</si>
  <si>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</si>
  <si>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</si>
  <si>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</si>
  <si>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</si>
  <si>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</si>
  <si>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</si>
  <si>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</si>
  <si>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</si>
  <si>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</si>
  <si>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</si>
  <si>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</si>
  <si>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</si>
  <si>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</si>
  <si>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</si>
  <si>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</si>
  <si>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</si>
  <si>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</si>
  <si>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</si>
  <si>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</si>
  <si>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</si>
  <si>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</si>
  <si>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</si>
  <si>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</si>
  <si>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</si>
  <si>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</si>
  <si>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</si>
  <si>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</si>
  <si>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</si>
  <si>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</si>
  <si>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</si>
  <si>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</si>
  <si>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</si>
  <si>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</si>
  <si>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</si>
  <si>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</si>
  <si>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</si>
  <si>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</si>
  <si>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</si>
  <si>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</si>
  <si>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</si>
  <si>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</si>
  <si>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</si>
  <si>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</si>
  <si>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</si>
  <si>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</si>
  <si>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</si>
  <si>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</si>
  <si>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</si>
  <si>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</si>
  <si>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</si>
  <si>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</si>
  <si>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</si>
  <si>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</si>
  <si>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</si>
  <si>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</si>
  <si>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</si>
  <si>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</si>
  <si>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</si>
  <si>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</si>
  <si>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</si>
  <si>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</si>
  <si>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</si>
  <si>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</si>
  <si>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</si>
  <si>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</si>
  <si>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</si>
  <si>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</si>
  <si>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</si>
  <si>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</si>
  <si>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</si>
  <si>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</si>
  <si>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</si>
  <si>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</si>
  <si>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</si>
  <si>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</si>
  <si>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</si>
  <si>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</si>
  <si>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</si>
  <si>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</si>
  <si>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</si>
  <si>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</si>
  <si>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</si>
  <si>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</si>
  <si>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</si>
  <si>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</si>
  <si>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</si>
  <si>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</si>
  <si>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</si>
  <si>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</si>
  <si>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</si>
  <si>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</si>
  <si>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</si>
  <si>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</si>
  <si>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</si>
  <si>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</si>
  <si>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</si>
  <si>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</si>
  <si>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</si>
  <si>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</si>
  <si>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</si>
  <si>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</si>
  <si>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</si>
  <si>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</si>
  <si>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</si>
  <si>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</si>
  <si>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</si>
  <si>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</si>
  <si>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</si>
  <si>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</si>
  <si>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</si>
  <si>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</si>
  <si>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</si>
  <si>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</si>
  <si>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</si>
  <si>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</si>
  <si>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</si>
  <si>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</si>
  <si>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</si>
  <si>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</si>
  <si>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</si>
  <si>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</si>
  <si>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</si>
  <si>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</si>
  <si>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</si>
  <si>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</si>
  <si>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</si>
  <si>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</si>
  <si>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</si>
  <si>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</si>
  <si>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</si>
  <si>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</si>
  <si>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</si>
  <si>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</si>
  <si>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</si>
  <si>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</si>
  <si>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</si>
  <si>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</si>
  <si>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</si>
  <si>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</si>
  <si>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</si>
  <si>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</si>
  <si>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</si>
  <si>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</si>
  <si>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</si>
  <si>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</si>
  <si>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</si>
  <si>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</si>
  <si>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</si>
  <si>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</si>
  <si>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</si>
  <si>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</si>
  <si>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</si>
  <si>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</si>
  <si>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</si>
  <si>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</si>
  <si>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</si>
  <si>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</si>
  <si>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</si>
  <si>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</si>
  <si>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</si>
  <si>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</si>
  <si>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</si>
  <si>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</si>
  <si>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</si>
  <si>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</si>
  <si>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</si>
  <si>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</si>
  <si>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</si>
  <si>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</si>
  <si>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</si>
  <si>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</si>
  <si>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</si>
  <si>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</si>
  <si>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</si>
  <si>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</si>
  <si>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</si>
  <si>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</si>
  <si>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</si>
  <si>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</si>
  <si>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</si>
  <si>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</si>
  <si>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</si>
  <si>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</si>
  <si>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</si>
  <si>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</si>
  <si>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</si>
  <si>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</si>
  <si>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</si>
  <si>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</si>
  <si>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</si>
  <si>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</si>
  <si>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</si>
  <si>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</si>
  <si>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</si>
  <si>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</si>
  <si>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</si>
  <si>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</si>
  <si>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</si>
  <si>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</si>
  <si>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</si>
  <si>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</si>
  <si>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</si>
  <si>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</si>
  <si>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</si>
  <si>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</si>
  <si>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</si>
  <si>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</si>
  <si>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</si>
  <si>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</si>
  <si>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</si>
  <si>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</si>
  <si>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</si>
  <si>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</si>
  <si>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</si>
  <si>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</si>
  <si>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</si>
  <si>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</si>
  <si>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</si>
  <si>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</si>
  <si>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</si>
  <si>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</si>
  <si>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</si>
  <si>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</si>
  <si>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</si>
  <si>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</si>
  <si>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</si>
  <si>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</si>
  <si>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</si>
  <si>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</si>
  <si>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</si>
  <si>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</si>
  <si>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</si>
  <si>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</si>
  <si>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</si>
  <si>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</si>
  <si>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</si>
  <si>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</si>
  <si>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</si>
  <si>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</si>
  <si>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</si>
  <si>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</si>
  <si>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</si>
  <si>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</si>
  <si>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</si>
  <si>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</si>
  <si>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</si>
  <si>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</si>
  <si>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</si>
  <si>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</si>
  <si>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</si>
  <si>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</si>
  <si>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</si>
  <si>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</si>
  <si>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</si>
  <si>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</si>
  <si>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</si>
  <si>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</si>
  <si>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</si>
  <si>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</si>
  <si>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</si>
  <si>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</si>
  <si>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</si>
  <si>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</si>
  <si>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</si>
  <si>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</si>
  <si>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</si>
  <si>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</si>
  <si>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</si>
  <si>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</si>
  <si>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</si>
  <si>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</si>
  <si>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</si>
  <si>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</si>
  <si>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</si>
  <si>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</si>
  <si>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</si>
  <si>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</si>
  <si>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</si>
  <si>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</si>
  <si>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</si>
  <si>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</si>
  <si>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</si>
  <si>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</si>
  <si>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</si>
  <si>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</si>
  <si>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</si>
  <si>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</si>
  <si>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</si>
  <si>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</si>
  <si>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</si>
  <si>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</si>
  <si>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</si>
  <si>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</si>
  <si>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</si>
  <si>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</si>
  <si>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</si>
  <si>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</si>
  <si>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</si>
  <si>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</si>
  <si>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</si>
  <si>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</si>
  <si>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</si>
  <si>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</si>
  <si>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</si>
  <si>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</si>
  <si>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</si>
  <si>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</si>
  <si>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</si>
  <si>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</si>
  <si>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</si>
  <si>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</si>
  <si>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</si>
  <si>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</si>
  <si>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</si>
  <si>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</si>
  <si>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</si>
  <si>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</si>
  <si>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</si>
  <si>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</si>
  <si>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</si>
  <si>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</si>
  <si>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</si>
  <si>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</si>
  <si>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</si>
  <si>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</si>
  <si>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</si>
  <si>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</si>
  <si>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</si>
  <si>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</si>
  <si>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</si>
  <si>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</si>
  <si>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</si>
  <si>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</si>
  <si>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</si>
  <si>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</si>
  <si>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</si>
  <si>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</si>
  <si>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</si>
  <si>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</si>
  <si>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</si>
  <si>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</si>
  <si>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</si>
  <si>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</si>
  <si>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</si>
  <si>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</si>
  <si>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</si>
  <si>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</si>
  <si>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</si>
  <si>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</si>
  <si>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</si>
  <si>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</si>
  <si>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</si>
  <si>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</si>
  <si>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</si>
  <si>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</si>
  <si>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</si>
  <si>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</si>
  <si>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</si>
  <si>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</si>
  <si>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</si>
  <si>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</si>
  <si>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</si>
  <si>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</si>
  <si>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</si>
  <si>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</si>
  <si>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</si>
  <si>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</si>
  <si>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</si>
  <si>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</si>
  <si>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</si>
  <si>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</si>
  <si>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</si>
  <si>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</si>
  <si>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</si>
  <si>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</si>
  <si>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</si>
  <si>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</si>
  <si>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</si>
  <si>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</si>
  <si>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</si>
  <si>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</si>
  <si>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</si>
  <si>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</si>
  <si>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</si>
  <si>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</si>
  <si>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</si>
  <si>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</si>
  <si>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</si>
  <si>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</si>
  <si>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</si>
  <si>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</si>
  <si>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</si>
  <si>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</si>
  <si>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</si>
  <si>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</si>
  <si>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</si>
  <si>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</si>
  <si>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</si>
  <si>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</si>
  <si>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</si>
  <si>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</si>
  <si>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</si>
  <si>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</si>
  <si>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</si>
  <si>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</si>
  <si>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</si>
  <si>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</si>
  <si>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</si>
  <si>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</si>
  <si>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</si>
  <si>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</si>
  <si>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</si>
  <si>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</si>
  <si>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</si>
  <si>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</si>
  <si>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</si>
  <si>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</si>
  <si>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</si>
  <si>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</si>
  <si>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</si>
  <si>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</si>
  <si>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</si>
  <si>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</si>
  <si>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</si>
  <si>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</si>
  <si>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</si>
  <si>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</si>
  <si>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</si>
  <si>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</si>
  <si>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</si>
  <si>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</si>
  <si>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</si>
  <si>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</si>
  <si>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</si>
  <si>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</si>
  <si>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</si>
  <si>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</si>
  <si>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</si>
  <si>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</si>
  <si>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</si>
  <si>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</si>
  <si>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</si>
  <si>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</si>
  <si>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</si>
  <si>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</si>
  <si>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</si>
  <si>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</si>
  <si>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</si>
  <si>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</si>
  <si>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</si>
  <si>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</si>
  <si>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</si>
  <si>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</si>
  <si>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</si>
  <si>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</si>
  <si>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</si>
  <si>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</si>
  <si>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</si>
  <si>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</si>
  <si>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</si>
  <si>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</si>
  <si>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</si>
  <si>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</si>
  <si>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</si>
  <si>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</si>
  <si>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</si>
  <si>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</si>
  <si>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</si>
  <si>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</si>
  <si>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</si>
  <si>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</si>
  <si>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</si>
  <si>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</si>
  <si>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</si>
  <si>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</si>
  <si>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</si>
  <si>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</si>
  <si>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</si>
  <si>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</si>
  <si>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</si>
  <si>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</si>
  <si>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</si>
  <si>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</si>
  <si>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</si>
  <si>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</si>
  <si>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</si>
  <si>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</si>
  <si>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</si>
  <si>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</si>
  <si>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</si>
  <si>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</si>
  <si>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</si>
  <si>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</si>
  <si>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</si>
  <si>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</si>
  <si>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</si>
  <si>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</si>
  <si>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</si>
  <si>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</si>
  <si>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</si>
  <si>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</si>
  <si>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</si>
  <si>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</si>
  <si>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</si>
  <si>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</si>
  <si>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</si>
  <si>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</si>
  <si>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</si>
  <si>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</si>
  <si>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</si>
  <si>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</si>
  <si>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</si>
  <si>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</si>
  <si>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</si>
  <si>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</si>
  <si>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</si>
  <si>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</si>
  <si>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</si>
  <si>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</si>
  <si>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</si>
  <si>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</si>
  <si>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</si>
  <si>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</si>
  <si>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</si>
  <si>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</si>
  <si>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</si>
  <si>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</si>
  <si>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</si>
  <si>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</si>
  <si>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</si>
  <si>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</si>
  <si>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</si>
  <si>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</si>
  <si>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</si>
  <si>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</si>
  <si>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</si>
  <si>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</si>
  <si>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</si>
  <si>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</si>
  <si>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</si>
  <si>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</si>
  <si>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</si>
  <si>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</si>
  <si>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</si>
  <si>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</si>
  <si>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</si>
  <si>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</si>
  <si>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</si>
  <si>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</si>
  <si>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</si>
  <si>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</si>
  <si>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</si>
  <si>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</si>
  <si>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</si>
  <si>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</si>
  <si>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</si>
  <si>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</si>
  <si>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</si>
  <si>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</si>
  <si>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</si>
  <si>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</si>
  <si>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</si>
  <si>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</si>
  <si>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</si>
  <si>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</si>
  <si>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</si>
  <si>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</si>
  <si>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</si>
  <si>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</si>
  <si>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</si>
  <si>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</si>
  <si>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</si>
  <si>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</si>
  <si>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</si>
  <si>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</si>
  <si>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</si>
  <si>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</si>
  <si>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</si>
  <si>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</si>
  <si>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</si>
  <si>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</si>
  <si>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</si>
  <si>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</si>
  <si>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</si>
  <si>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</si>
  <si>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</si>
  <si>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</si>
  <si>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</si>
  <si>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</si>
  <si>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</si>
  <si>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</si>
  <si>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</si>
  <si>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</si>
  <si>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</si>
  <si>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</si>
  <si>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</si>
  <si>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</si>
  <si>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</si>
  <si>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</si>
  <si>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</si>
  <si>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</si>
  <si>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</si>
  <si>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</si>
  <si>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</si>
  <si>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</si>
  <si>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</si>
  <si>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</si>
  <si>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</si>
  <si>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</si>
  <si>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</si>
  <si>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</si>
  <si>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</si>
  <si>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</si>
  <si>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</si>
  <si>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</si>
  <si>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</si>
  <si>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</si>
  <si>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</si>
  <si>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</si>
  <si>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</si>
  <si>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</si>
  <si>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</si>
  <si>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</si>
  <si>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</si>
  <si>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</si>
  <si>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</si>
  <si>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</si>
  <si>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</si>
  <si>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</si>
  <si>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</si>
  <si>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</si>
  <si>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</si>
  <si>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</si>
  <si>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</si>
  <si>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</si>
  <si>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</si>
  <si>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</si>
  <si>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</si>
  <si>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</si>
  <si>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</si>
  <si>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</si>
  <si>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</si>
  <si>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</si>
  <si>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</si>
  <si>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</si>
  <si>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</si>
  <si>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</si>
  <si>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</si>
  <si>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</si>
  <si>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</si>
  <si>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</si>
  <si>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</si>
  <si>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</si>
  <si>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</si>
  <si>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</si>
  <si>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</si>
  <si>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</si>
  <si>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</si>
  <si>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</si>
  <si>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</si>
  <si>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</si>
  <si>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</si>
  <si>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</si>
  <si>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</si>
  <si>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</si>
  <si>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</si>
  <si>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</si>
  <si>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</si>
  <si>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</si>
  <si>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</si>
  <si>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</si>
  <si>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</si>
  <si>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</si>
  <si>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</si>
  <si>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</si>
  <si>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</si>
  <si>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</si>
  <si>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</si>
  <si>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</si>
  <si>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</si>
  <si>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</si>
  <si>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</si>
  <si>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</si>
  <si>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</si>
  <si>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</si>
  <si>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</si>
  <si>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</si>
  <si>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</si>
  <si>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</si>
  <si>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</si>
  <si>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</si>
  <si>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</si>
  <si>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</si>
  <si>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</si>
  <si>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</si>
  <si>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</si>
  <si>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</si>
  <si>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</si>
  <si>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</si>
  <si>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</si>
  <si>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</si>
  <si>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</si>
  <si>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</si>
  <si>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</si>
  <si>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</si>
  <si>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</si>
  <si>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</si>
  <si>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</si>
  <si>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</si>
  <si>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</si>
  <si>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</si>
  <si>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</si>
  <si>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</si>
  <si>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</si>
  <si>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</si>
  <si>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</si>
  <si>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</si>
  <si>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</si>
  <si>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</si>
  <si>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</si>
  <si>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</si>
  <si>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</si>
  <si>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</si>
  <si>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</si>
  <si>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</si>
  <si>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</si>
  <si>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</si>
  <si>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</si>
  <si>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</si>
  <si>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</si>
  <si>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</si>
  <si>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</si>
  <si>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</si>
  <si>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</si>
  <si>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</si>
  <si>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</si>
  <si>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</si>
  <si>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</si>
  <si>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</si>
  <si>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</si>
  <si>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</si>
  <si>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</si>
  <si>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</si>
  <si>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</si>
  <si>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</si>
  <si>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</si>
  <si>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</si>
  <si>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</si>
  <si>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</si>
  <si>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</si>
  <si>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</si>
  <si>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</si>
  <si>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</si>
  <si>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</si>
  <si>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</si>
  <si>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</si>
  <si>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</si>
  <si>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</si>
  <si>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</si>
  <si>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</si>
  <si>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</si>
  <si>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</si>
  <si>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</si>
  <si>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</si>
  <si>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</si>
  <si>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</si>
  <si>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</si>
  <si>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</si>
  <si>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</si>
  <si>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</si>
  <si>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</si>
  <si>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</si>
  <si>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</si>
  <si>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</si>
  <si>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</si>
  <si>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</si>
  <si>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</si>
  <si>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</si>
  <si>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</si>
  <si>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</si>
  <si>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</si>
  <si>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</si>
  <si>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</si>
  <si>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</si>
  <si>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</si>
  <si>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</si>
  <si>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</si>
  <si>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</si>
  <si>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</si>
  <si>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</si>
  <si>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</si>
  <si>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</si>
  <si>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</si>
  <si>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</si>
  <si>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</si>
  <si>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</si>
  <si>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</si>
  <si>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</si>
  <si>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</si>
  <si>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</si>
  <si>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</si>
  <si>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</si>
  <si>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</si>
  <si>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</si>
  <si>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</si>
  <si>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</si>
  <si>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</si>
  <si>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</si>
  <si>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</si>
  <si>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</si>
  <si>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</si>
  <si>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</si>
  <si>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</si>
  <si>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</si>
  <si>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</si>
  <si>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</si>
  <si>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</si>
  <si>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</si>
  <si>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</si>
  <si>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</si>
  <si>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</si>
  <si>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</si>
  <si>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</si>
  <si>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</si>
  <si>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</si>
  <si>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</si>
  <si>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</si>
  <si>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</si>
  <si>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</si>
  <si>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</si>
  <si>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</si>
  <si>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</si>
  <si>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</si>
  <si>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</si>
  <si>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</si>
  <si>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</si>
  <si>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</si>
  <si>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</si>
  <si>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</si>
  <si>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</si>
  <si>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</si>
  <si>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</si>
  <si>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</si>
  <si>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</si>
  <si>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</si>
  <si>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</si>
  <si>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</si>
  <si>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</si>
  <si>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</si>
  <si>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</si>
  <si>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</si>
  <si>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</si>
  <si>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</si>
  <si>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</si>
  <si>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</si>
  <si>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</si>
  <si>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</si>
  <si>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</si>
  <si>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</si>
  <si>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</si>
  <si>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</si>
  <si>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</si>
  <si>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</si>
  <si>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</si>
  <si>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</si>
  <si>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</si>
  <si>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</si>
  <si>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</si>
  <si>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</si>
  <si>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</si>
  <si>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</si>
  <si>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</si>
  <si>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</si>
  <si>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</si>
  <si>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</si>
  <si>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</si>
  <si>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</si>
  <si>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</si>
  <si>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</si>
  <si>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</si>
  <si>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</si>
  <si>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</si>
  <si>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</si>
  <si>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</si>
  <si>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</si>
  <si>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</si>
  <si>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</si>
  <si>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</si>
  <si>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</si>
  <si>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</si>
  <si>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</si>
  <si>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</si>
  <si>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</si>
  <si>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</si>
  <si>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</si>
  <si>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</si>
  <si>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</si>
  <si>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</si>
  <si>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</si>
  <si>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</si>
  <si>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</si>
  <si>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</si>
  <si>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</si>
  <si>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</si>
  <si>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</si>
  <si>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</si>
  <si>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</si>
  <si>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</si>
  <si>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</si>
  <si>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</si>
  <si>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</si>
  <si>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</si>
  <si>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</si>
  <si>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</si>
  <si>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</si>
  <si>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</si>
  <si>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</si>
  <si>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</si>
  <si>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</si>
  <si>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</si>
  <si>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</si>
  <si>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</si>
  <si>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</si>
  <si>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</si>
  <si>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</si>
  <si>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</si>
  <si>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</si>
  <si>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</si>
  <si>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</si>
  <si>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</si>
  <si>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</si>
  <si>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</si>
  <si>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</si>
  <si>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</si>
  <si>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</si>
  <si>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</si>
  <si>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</si>
  <si>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</si>
  <si>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</si>
  <si>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</si>
  <si>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</si>
  <si>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</si>
  <si>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</si>
  <si>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</si>
  <si>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</si>
  <si>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</si>
  <si>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</si>
  <si>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</si>
  <si>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</si>
  <si>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</si>
  <si>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</si>
  <si>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</si>
  <si>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</si>
  <si>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</si>
  <si>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</si>
  <si>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</si>
  <si>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</si>
  <si>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</si>
  <si>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</si>
  <si>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</si>
  <si>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</si>
  <si>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</si>
  <si>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</si>
  <si>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</si>
  <si>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</si>
  <si>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</si>
  <si>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</si>
  <si>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</si>
  <si>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</si>
  <si>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</si>
  <si>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</si>
  <si>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</si>
  <si>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</si>
  <si>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</si>
  <si>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</si>
  <si>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</si>
  <si>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</si>
  <si>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</si>
  <si>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</si>
  <si>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</si>
  <si>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</si>
  <si>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</si>
  <si>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</si>
  <si>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</si>
  <si>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</si>
  <si>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</si>
  <si>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</si>
  <si>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</si>
  <si>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</si>
  <si>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</si>
  <si>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</si>
  <si>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</si>
  <si>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</si>
  <si>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</si>
  <si>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</si>
  <si>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</si>
  <si>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</si>
  <si>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</si>
  <si>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</si>
  <si>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</si>
  <si>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</si>
  <si>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</si>
  <si>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</si>
  <si>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</si>
  <si>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</si>
  <si>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</si>
  <si>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</si>
  <si>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</si>
  <si>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</si>
  <si>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</si>
  <si>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</si>
  <si>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</si>
  <si>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</si>
  <si>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</si>
  <si>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</si>
  <si>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</si>
  <si>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</si>
  <si>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</si>
  <si>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</si>
  <si>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</si>
  <si>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</si>
  <si>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</si>
  <si>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</si>
  <si>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</si>
  <si>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</si>
  <si>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</si>
  <si>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</si>
  <si>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</si>
  <si>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</si>
  <si>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</si>
  <si>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</si>
  <si>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</si>
  <si>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</si>
  <si>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</si>
  <si>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</si>
  <si>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</si>
  <si>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</si>
  <si>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</si>
  <si>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</si>
  <si>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</si>
  <si>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</si>
  <si>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</si>
  <si>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</si>
  <si>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</si>
  <si>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</si>
  <si>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</si>
  <si>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</si>
  <si>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</si>
  <si>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</si>
  <si>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</si>
  <si>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</si>
  <si>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</si>
  <si>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</si>
  <si>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</si>
  <si>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</si>
  <si>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</si>
  <si>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</si>
  <si>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</si>
  <si>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</si>
  <si>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</si>
  <si>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</si>
  <si>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</si>
  <si>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</si>
  <si>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</si>
  <si>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</si>
  <si>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</si>
  <si>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</si>
  <si>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</si>
  <si>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</si>
  <si>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</si>
  <si>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</si>
  <si>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</si>
  <si>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</si>
  <si>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</si>
  <si>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</si>
  <si>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</si>
  <si>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</si>
  <si>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</si>
  <si>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</si>
  <si>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</si>
  <si>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</si>
  <si>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</si>
  <si>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</si>
  <si>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</si>
  <si>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</si>
  <si>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</si>
  <si>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</si>
  <si>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</si>
  <si>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</si>
  <si>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</si>
  <si>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</si>
  <si>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</si>
  <si>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</si>
  <si>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</si>
  <si>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</si>
  <si>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</si>
  <si>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</si>
  <si>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</si>
  <si>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</si>
  <si>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</si>
  <si>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</si>
  <si>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</si>
  <si>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</si>
  <si>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</si>
  <si>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</si>
  <si>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</si>
  <si>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</si>
  <si>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</si>
  <si>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</si>
  <si>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</si>
  <si>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</si>
  <si>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</si>
  <si>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</si>
  <si>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</si>
  <si>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</si>
  <si>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</si>
  <si>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</si>
  <si>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</si>
  <si>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</si>
  <si>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</si>
  <si>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</si>
  <si>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</si>
  <si>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</si>
  <si>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</si>
  <si>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</si>
  <si>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</si>
  <si>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</si>
  <si>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</si>
  <si>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</si>
  <si>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</si>
  <si>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</si>
  <si>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</si>
  <si>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</si>
  <si>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</si>
  <si>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</si>
  <si>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</si>
  <si>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</si>
  <si>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</si>
  <si>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</si>
  <si>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</si>
  <si>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</si>
  <si>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</si>
  <si>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</si>
  <si>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</si>
  <si>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</si>
  <si>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</si>
  <si>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</si>
  <si>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</si>
  <si>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</si>
  <si>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</si>
  <si>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</si>
  <si>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</si>
  <si>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</si>
  <si>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</si>
  <si>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</si>
  <si>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</si>
  <si>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</si>
  <si>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</si>
  <si>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</si>
  <si>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</si>
  <si>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</si>
  <si>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</si>
  <si>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</si>
  <si>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</si>
  <si>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</si>
  <si>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</si>
  <si>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</si>
  <si>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</si>
  <si>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</si>
  <si>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</si>
  <si>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</si>
  <si>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</si>
  <si>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</si>
  <si>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</si>
  <si>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</si>
  <si>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</si>
  <si>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</si>
  <si>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</si>
  <si>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</si>
  <si>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</si>
  <si>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</si>
  <si>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</si>
  <si>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</si>
  <si>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</si>
  <si>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</si>
  <si>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</si>
  <si>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</si>
  <si>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</si>
  <si>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</si>
  <si>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</si>
  <si>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</si>
  <si>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</si>
  <si>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</si>
  <si>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</si>
  <si>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</si>
  <si>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</si>
  <si>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</si>
  <si>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</si>
  <si>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</si>
  <si>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</si>
  <si>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</si>
  <si>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</si>
  <si>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</si>
  <si>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</si>
  <si>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</si>
  <si>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</si>
  <si>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</si>
  <si>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</si>
  <si>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</si>
  <si>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</si>
  <si>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</si>
  <si>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</si>
  <si>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</si>
  <si>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</si>
  <si>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</si>
  <si>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</si>
  <si>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</si>
  <si>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</si>
  <si>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</si>
  <si>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</si>
  <si>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</si>
  <si>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</si>
  <si>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</si>
  <si>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</si>
  <si>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</si>
  <si>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</si>
  <si>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</si>
  <si>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</si>
  <si>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</si>
  <si>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</si>
  <si>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</si>
  <si>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</si>
  <si>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</si>
  <si>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</si>
  <si>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</si>
  <si>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</si>
  <si>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</si>
  <si>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</si>
  <si>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</si>
  <si>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</si>
  <si>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</si>
  <si>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</si>
  <si>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</si>
  <si>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</si>
  <si>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</si>
  <si>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</si>
  <si>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</si>
  <si>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</si>
  <si>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</si>
  <si>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</si>
  <si>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</si>
  <si>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</si>
  <si>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</si>
  <si>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</si>
  <si>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</si>
  <si>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</si>
  <si>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</si>
  <si>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</si>
  <si>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</si>
  <si>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</si>
  <si>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</si>
  <si>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</si>
  <si>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</si>
  <si>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</si>
  <si>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</si>
  <si>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</si>
  <si>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</si>
  <si>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</si>
  <si>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</si>
  <si>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</si>
  <si>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</si>
  <si>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</si>
  <si>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</si>
  <si>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</si>
  <si>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</si>
  <si>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</si>
  <si>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</si>
  <si>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</si>
  <si>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</si>
  <si>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</si>
  <si>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</si>
  <si>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</si>
  <si>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</si>
  <si>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</si>
  <si>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</si>
  <si>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</si>
  <si>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</si>
  <si>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</si>
  <si>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</si>
  <si>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</si>
  <si>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</si>
  <si>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</si>
  <si>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</si>
  <si>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</si>
  <si>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</si>
  <si>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</si>
  <si>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</si>
  <si>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</si>
  <si>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</si>
  <si>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</si>
  <si>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</si>
  <si>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</si>
  <si>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</si>
  <si>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</si>
  <si>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</si>
  <si>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</si>
  <si>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</si>
  <si>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</si>
  <si>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</si>
  <si>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</si>
  <si>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</si>
  <si>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</si>
  <si>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</si>
  <si>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</si>
  <si>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</si>
  <si>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</si>
  <si>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</si>
  <si>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</si>
  <si>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</si>
  <si>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</si>
  <si>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</si>
  <si>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</si>
  <si>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</si>
  <si>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</si>
  <si>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</si>
  <si>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</si>
  <si>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</si>
  <si>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</si>
  <si>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</si>
  <si>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</si>
  <si>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</si>
  <si>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</si>
  <si>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</si>
  <si>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</si>
  <si>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</si>
  <si>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</si>
  <si>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</si>
  <si>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</si>
  <si>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</si>
  <si>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</si>
  <si>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</si>
  <si>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</si>
  <si>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</si>
  <si>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</si>
  <si>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</si>
  <si>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</si>
  <si>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</si>
  <si>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</si>
  <si>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</si>
  <si>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</si>
  <si>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</si>
  <si>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</si>
  <si>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</si>
  <si>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</si>
  <si>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</si>
  <si>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</si>
  <si>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</si>
  <si>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</si>
  <si>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</si>
  <si>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</si>
  <si>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</si>
  <si>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</si>
  <si>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</si>
  <si>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</si>
  <si>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</si>
  <si>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</si>
  <si>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</si>
  <si>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</si>
  <si>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</si>
  <si>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</si>
  <si>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</si>
  <si>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</si>
  <si>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</si>
  <si>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</si>
  <si>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</si>
  <si>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</si>
  <si>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</si>
  <si>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</si>
  <si>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</si>
  <si>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</si>
  <si>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</si>
  <si>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</si>
  <si>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</si>
  <si>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</si>
  <si>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</si>
  <si>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</si>
  <si>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</si>
  <si>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</si>
  <si>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</si>
  <si>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</si>
  <si>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</si>
  <si>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</si>
  <si>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</si>
  <si>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</si>
  <si>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</si>
  <si>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</si>
  <si>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</si>
  <si>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</si>
  <si>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</si>
  <si>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</si>
  <si>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</si>
  <si>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</si>
  <si>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</si>
  <si>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</si>
  <si>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</si>
  <si>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</si>
  <si>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</si>
  <si>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</si>
  <si>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</si>
  <si>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</si>
  <si>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</si>
  <si>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</si>
  <si>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</si>
  <si>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</si>
  <si>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</si>
  <si>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</si>
  <si>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</si>
  <si>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</si>
  <si>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</si>
  <si>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</si>
  <si>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</si>
  <si>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</si>
  <si>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</si>
  <si>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</si>
  <si>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</si>
  <si>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</si>
  <si>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</si>
  <si>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</si>
  <si>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</si>
  <si>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</si>
  <si>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</si>
  <si>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</si>
  <si>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</si>
  <si>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</si>
  <si>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</si>
  <si>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</si>
  <si>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</si>
  <si>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</si>
  <si>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</si>
  <si>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</si>
  <si>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</si>
  <si>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</si>
  <si>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</si>
  <si>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</si>
  <si>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</si>
  <si>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</si>
  <si>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</si>
  <si>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</si>
  <si>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</si>
  <si>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</si>
  <si>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</si>
  <si>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</si>
  <si>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</si>
  <si>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</si>
  <si>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</si>
  <si>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</si>
  <si>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</si>
  <si>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</si>
  <si>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</si>
  <si>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</si>
  <si>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</si>
  <si>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</si>
  <si>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</si>
  <si>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</si>
  <si>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</si>
  <si>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</si>
  <si>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</si>
  <si>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</si>
  <si>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</si>
  <si>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</si>
  <si>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</si>
  <si>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</si>
  <si>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</si>
  <si>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</si>
  <si>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</si>
  <si>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</si>
  <si>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</si>
  <si>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</si>
  <si>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</si>
  <si>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</si>
  <si>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</si>
  <si>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</si>
  <si>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</si>
  <si>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</si>
  <si>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</si>
  <si>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</si>
  <si>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</si>
  <si>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</si>
  <si>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</si>
  <si>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</si>
  <si>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</si>
  <si>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</si>
  <si>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</si>
  <si>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</si>
  <si>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</si>
  <si>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</si>
  <si>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</si>
  <si>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</si>
  <si>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</si>
  <si>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</si>
  <si>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</si>
  <si>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</si>
  <si>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</si>
  <si>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</si>
  <si>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</si>
  <si>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</si>
  <si>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</si>
  <si>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</si>
  <si>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</si>
  <si>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</si>
  <si>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</si>
  <si>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</si>
  <si>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</si>
  <si>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</si>
  <si>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</si>
  <si>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</si>
  <si>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</si>
  <si>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</si>
  <si>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</si>
  <si>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</si>
  <si>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</si>
  <si>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</si>
  <si>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</si>
  <si>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</si>
  <si>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</si>
  <si>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</si>
  <si>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</si>
  <si>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</si>
  <si>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</si>
  <si>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</si>
  <si>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</si>
  <si>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</si>
  <si>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</si>
  <si>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</si>
  <si>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</si>
  <si>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</si>
  <si>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</si>
  <si>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</si>
  <si>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</si>
  <si>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</si>
  <si>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</si>
  <si>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</si>
  <si>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</si>
  <si>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</si>
  <si>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</si>
  <si>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</si>
  <si>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</si>
  <si>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</si>
  <si>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</si>
  <si>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</si>
  <si>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</si>
  <si>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</si>
  <si>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</si>
  <si>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</si>
  <si>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</si>
  <si>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</si>
  <si>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</si>
  <si>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</si>
  <si>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</si>
  <si>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</si>
  <si>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</si>
  <si>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</si>
  <si>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</si>
  <si>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</si>
  <si>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</si>
  <si>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</si>
  <si>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</si>
  <si>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</si>
  <si>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</si>
  <si>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</si>
  <si>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</si>
  <si>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</si>
  <si>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</si>
  <si>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</si>
  <si>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</si>
  <si>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</si>
  <si>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</si>
  <si>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</si>
  <si>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</si>
  <si>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</si>
  <si>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</si>
  <si>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</si>
  <si>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</si>
  <si>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</si>
  <si>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</si>
  <si>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</si>
  <si>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</si>
  <si>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</si>
  <si>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</si>
  <si>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</si>
  <si>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</si>
  <si>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</si>
  <si>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</si>
  <si>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</si>
  <si>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</si>
  <si>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</si>
  <si>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</si>
  <si>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</si>
  <si>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</si>
  <si>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</si>
  <si>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</si>
  <si>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</si>
  <si>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</si>
  <si>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</si>
  <si>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</si>
  <si>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</si>
  <si>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</si>
  <si>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</si>
  <si>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</si>
  <si>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</si>
  <si>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</si>
  <si>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</si>
  <si>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</si>
  <si>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</si>
  <si>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</si>
  <si>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</si>
  <si>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</si>
  <si>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</si>
  <si>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</si>
  <si>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</si>
  <si>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</si>
  <si>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</si>
  <si>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</si>
  <si>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</si>
  <si>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</si>
  <si>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</si>
  <si>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</si>
  <si>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</si>
  <si>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</si>
  <si>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</si>
  <si>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</si>
  <si>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</si>
  <si>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</si>
  <si>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</si>
  <si>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</si>
  <si>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</si>
  <si>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</si>
  <si>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</si>
  <si>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</si>
  <si>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</si>
  <si>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</si>
  <si>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</si>
  <si>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</si>
  <si>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</si>
  <si>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</si>
  <si>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</si>
  <si>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</si>
  <si>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</si>
  <si>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</si>
  <si>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</si>
  <si>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</si>
  <si>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</si>
  <si>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</si>
  <si>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</si>
  <si>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</si>
  <si>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</si>
  <si>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</si>
  <si>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</si>
  <si>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</si>
  <si>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</si>
  <si>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</si>
  <si>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</si>
  <si>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</si>
  <si>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</si>
  <si>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</si>
  <si>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</si>
  <si>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</si>
  <si>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</si>
  <si>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</si>
  <si>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</si>
  <si>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</si>
  <si>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</si>
  <si>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</si>
  <si>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</si>
  <si>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</si>
  <si>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</si>
  <si>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</si>
  <si>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</si>
  <si>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</si>
  <si>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</si>
  <si>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</si>
  <si>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</si>
  <si>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</si>
  <si>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</si>
  <si>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</si>
  <si>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</si>
  <si>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</si>
  <si>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</si>
  <si>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</si>
  <si>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</si>
  <si>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</si>
  <si>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</si>
  <si>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</si>
  <si>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</si>
  <si>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</si>
  <si>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</si>
  <si>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</si>
  <si>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</si>
  <si>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</si>
  <si>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</si>
  <si>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</si>
  <si>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</si>
  <si>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</si>
  <si>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</si>
  <si>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</si>
  <si>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</si>
  <si>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</si>
  <si>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</si>
  <si>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</si>
  <si>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</si>
  <si>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</si>
  <si>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</si>
  <si>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</si>
  <si>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</si>
  <si>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</si>
  <si>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</si>
  <si>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</si>
  <si>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</si>
  <si>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</si>
  <si>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</si>
  <si>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</si>
  <si>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</si>
  <si>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</si>
  <si>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</si>
  <si>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</si>
  <si>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</si>
  <si>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</si>
  <si>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</si>
  <si>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</si>
  <si>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</si>
  <si>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</si>
  <si>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</si>
  <si>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</si>
  <si>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</si>
  <si>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</si>
  <si>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</si>
  <si>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</si>
  <si>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</si>
  <si>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</si>
  <si>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</si>
  <si>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</si>
  <si>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</si>
  <si>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</si>
  <si>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</si>
  <si>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</si>
  <si>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</si>
  <si>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</si>
  <si>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</si>
  <si>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</si>
  <si>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</si>
  <si>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</si>
  <si>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</si>
  <si>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</si>
  <si>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</si>
  <si>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</si>
  <si>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</si>
  <si>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</si>
  <si>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</si>
  <si>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</si>
  <si>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</si>
  <si>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</si>
  <si>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</si>
  <si>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</si>
  <si>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</si>
  <si>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</si>
  <si>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</si>
  <si>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</si>
  <si>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</si>
  <si>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</si>
  <si>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</si>
  <si>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</si>
  <si>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</si>
  <si>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</si>
  <si>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</si>
  <si>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</si>
  <si>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</si>
  <si>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</si>
  <si>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</si>
  <si>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</si>
  <si>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</si>
  <si>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</si>
  <si>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</si>
  <si>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</si>
  <si>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</si>
  <si>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</si>
  <si>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</si>
  <si>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</si>
  <si>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</si>
  <si>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</si>
  <si>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</si>
  <si>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</si>
  <si>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</si>
  <si>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</si>
  <si>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</si>
  <si>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</si>
  <si>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</si>
  <si>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</si>
  <si>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</si>
  <si>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</si>
  <si>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</si>
  <si>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</si>
  <si>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</si>
  <si>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</si>
  <si>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</si>
  <si>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</si>
  <si>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</si>
  <si>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</si>
  <si>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</si>
  <si>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</si>
  <si>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</si>
  <si>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</si>
  <si>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</si>
  <si>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</si>
  <si>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</si>
  <si>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</si>
  <si>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</si>
  <si>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</si>
  <si>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</si>
  <si>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</si>
  <si>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</si>
  <si>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</si>
  <si>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</si>
  <si>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</si>
  <si>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</si>
  <si>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</si>
  <si>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</si>
  <si>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</si>
  <si>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</si>
  <si>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</si>
  <si>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</si>
  <si>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</si>
  <si>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</si>
  <si>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</si>
  <si>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</si>
  <si>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</si>
  <si>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</si>
  <si>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</si>
  <si>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</si>
  <si>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</si>
  <si>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</si>
  <si>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</si>
  <si>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</si>
  <si>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</si>
  <si>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</si>
  <si>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</si>
  <si>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</si>
  <si>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</si>
  <si>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</si>
  <si>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</si>
  <si>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</si>
  <si>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</si>
  <si>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</si>
  <si>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</si>
  <si>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</si>
  <si>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</si>
  <si>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</si>
  <si>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</si>
  <si>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</si>
  <si>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</si>
  <si>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</si>
  <si>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</si>
  <si>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</si>
  <si>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</si>
  <si>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</si>
  <si>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</si>
  <si>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</si>
  <si>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</si>
  <si>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</si>
  <si>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</si>
  <si>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</si>
  <si>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</si>
  <si>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</si>
  <si>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</si>
  <si>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</si>
  <si>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</si>
  <si>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</si>
  <si>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</si>
  <si>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</si>
  <si>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</si>
  <si>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</si>
  <si>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</si>
  <si>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</si>
  <si>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</si>
  <si>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</si>
  <si>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</si>
  <si>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</si>
  <si>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</si>
  <si>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</si>
  <si>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</si>
  <si>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</si>
  <si>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</si>
  <si>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</si>
  <si>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</si>
  <si>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</si>
  <si>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</si>
  <si>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</si>
  <si>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</si>
  <si>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</si>
  <si>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</si>
  <si>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</si>
  <si>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</si>
  <si>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</si>
  <si>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</si>
  <si>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</si>
  <si>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</si>
  <si>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</si>
  <si>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</si>
  <si>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</si>
  <si>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</si>
  <si>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</si>
  <si>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</si>
  <si>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</si>
  <si>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</si>
  <si>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</si>
  <si>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</si>
  <si>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</si>
  <si>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</si>
  <si>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</si>
  <si>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</si>
  <si>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</si>
  <si>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</si>
  <si>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</si>
  <si>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</si>
  <si>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</si>
  <si>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</si>
  <si>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</si>
  <si>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</si>
  <si>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</si>
  <si>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</si>
  <si>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</si>
  <si>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</si>
  <si>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</si>
  <si>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</si>
  <si>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</si>
  <si>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</si>
  <si>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</si>
  <si>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</si>
  <si>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</si>
  <si>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</si>
  <si>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</si>
  <si>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</si>
  <si>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</si>
  <si>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</si>
  <si>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</si>
  <si>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</si>
  <si>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</si>
  <si>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</si>
  <si>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</si>
  <si>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</si>
  <si>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</si>
  <si>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</si>
  <si>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</si>
  <si>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</si>
  <si>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</si>
  <si>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</si>
  <si>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</si>
  <si>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</si>
  <si>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</si>
  <si>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</si>
  <si>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</si>
  <si>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</si>
  <si>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</si>
  <si>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</si>
  <si>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</si>
  <si>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</si>
  <si>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</si>
  <si>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</si>
  <si>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</si>
  <si>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</si>
  <si>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</si>
  <si>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</si>
  <si>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</si>
  <si>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</si>
  <si>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</si>
  <si>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</si>
  <si>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</si>
  <si>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</si>
  <si>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</si>
  <si>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</si>
  <si>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</si>
  <si>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</si>
  <si>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</si>
  <si>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</si>
  <si>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</si>
  <si>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</si>
  <si>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</si>
  <si>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</si>
  <si>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</si>
  <si>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</si>
  <si>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</si>
  <si>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</si>
  <si>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</si>
  <si>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</si>
  <si>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</si>
  <si>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</si>
  <si>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</si>
  <si>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</si>
  <si>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</si>
  <si>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</si>
  <si>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</si>
  <si>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</si>
  <si>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</si>
  <si>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</si>
  <si>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</si>
  <si>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</si>
  <si>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</si>
  <si>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</si>
  <si>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</si>
  <si>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</si>
  <si>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</si>
  <si>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</si>
  <si>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</si>
  <si>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</si>
  <si>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</si>
  <si>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</si>
  <si>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</si>
  <si>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</si>
  <si>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</si>
  <si>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</si>
  <si>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</si>
  <si>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</si>
  <si>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</si>
  <si>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</si>
  <si>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</si>
  <si>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</si>
  <si>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</si>
  <si>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</si>
  <si>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</si>
  <si>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</si>
  <si>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</si>
  <si>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</si>
  <si>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</si>
  <si>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</si>
  <si>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</si>
  <si>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</si>
  <si>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</si>
  <si>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</si>
  <si>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</si>
  <si>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</si>
  <si>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</si>
  <si>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</si>
  <si>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</si>
  <si>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</si>
  <si>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</si>
  <si>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</si>
  <si>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</si>
  <si>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</si>
  <si>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</si>
  <si>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</si>
  <si>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</si>
  <si>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</si>
  <si>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</si>
  <si>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</si>
  <si>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</si>
  <si>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</si>
  <si>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</si>
  <si>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</si>
  <si>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</si>
  <si>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</si>
  <si>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</si>
  <si>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</si>
  <si>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</si>
  <si>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</si>
  <si>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</si>
  <si>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</si>
  <si>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</si>
  <si>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</si>
  <si>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</si>
  <si>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</si>
  <si>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</si>
  <si>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</si>
  <si>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</si>
  <si>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</si>
  <si>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</si>
  <si>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</si>
  <si>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</si>
  <si>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</si>
  <si>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</si>
  <si>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</si>
  <si>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</si>
  <si>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</si>
  <si>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</si>
  <si>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房地产抵押价值</t>
  </si>
  <si>
    <t>北京市</t>
  </si>
  <si>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</si>
  <si>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</si>
  <si>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</si>
  <si>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</si>
  <si>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</si>
  <si>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</si>
  <si>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</si>
  <si>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</si>
  <si>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</si>
  <si>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</si>
  <si>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是</t>
  </si>
  <si>
    <t>地上</t>
  </si>
  <si>
    <t>成新度</t>
  </si>
  <si>
    <t>利息：取LPR加浮动点数</t>
  </si>
  <si>
    <t>收益法</t>
  </si>
  <si>
    <t>自定义容积率</t>
  </si>
  <si>
    <t>不临65条商业街</t>
  </si>
  <si>
    <t>较差</t>
  </si>
  <si>
    <t>一般</t>
  </si>
  <si>
    <t>较好</t>
  </si>
  <si>
    <t>通热</t>
  </si>
  <si>
    <t>与级别开发程度不一致</t>
  </si>
  <si>
    <t>押一</t>
  </si>
  <si>
    <t>企业</t>
  </si>
  <si>
    <t>钢混</t>
  </si>
  <si>
    <t>非生产用房</t>
  </si>
  <si>
    <t>成本法</t>
  </si>
  <si>
    <t>成本比率</t>
  </si>
  <si>
    <t>总价</t>
  </si>
  <si>
    <t>现房</t>
  </si>
  <si>
    <t>项目全部</t>
  </si>
  <si>
    <t>已包含在土地取得成本中</t>
  </si>
  <si>
    <t>否</t>
  </si>
  <si>
    <t>地下</t>
  </si>
  <si>
    <t>吴薇</t>
  </si>
  <si>
    <t>交通银行</t>
    <phoneticPr fontId="6" type="noConversion"/>
  </si>
  <si>
    <t>丰台区南四环西路186号一区1号楼-4至7层01</t>
    <phoneticPr fontId="6" type="noConversion"/>
  </si>
  <si>
    <t>不动产权证</t>
    <phoneticPr fontId="3" type="noConversion"/>
  </si>
  <si>
    <t>用途：</t>
    <phoneticPr fontId="3" type="noConversion"/>
  </si>
  <si>
    <t>科教用地</t>
    <phoneticPr fontId="3" type="noConversion"/>
  </si>
  <si>
    <t>终止日期</t>
    <phoneticPr fontId="3" type="noConversion"/>
  </si>
  <si>
    <t>附记：</t>
    <phoneticPr fontId="3" type="noConversion"/>
  </si>
  <si>
    <t>序号</t>
    <phoneticPr fontId="3" type="noConversion"/>
  </si>
  <si>
    <t>楼层</t>
    <phoneticPr fontId="3" type="noConversion"/>
  </si>
  <si>
    <t>建筑面积</t>
    <phoneticPr fontId="3" type="noConversion"/>
  </si>
  <si>
    <t>人防面积</t>
    <phoneticPr fontId="3" type="noConversion"/>
  </si>
  <si>
    <t>扣除人防面积</t>
    <phoneticPr fontId="3" type="noConversion"/>
  </si>
  <si>
    <t>各层可出租面积</t>
    <phoneticPr fontId="3" type="noConversion"/>
  </si>
  <si>
    <t>现状用途</t>
    <phoneticPr fontId="3" type="noConversion"/>
  </si>
  <si>
    <t>层高</t>
    <phoneticPr fontId="3" type="noConversion"/>
  </si>
  <si>
    <t>租金</t>
    <phoneticPr fontId="3" type="noConversion"/>
  </si>
  <si>
    <t>面积</t>
    <phoneticPr fontId="3" type="noConversion"/>
  </si>
  <si>
    <t>系数</t>
    <phoneticPr fontId="3" type="noConversion"/>
  </si>
  <si>
    <t>车库</t>
    <phoneticPr fontId="3" type="noConversion"/>
  </si>
  <si>
    <t>项目</t>
    <phoneticPr fontId="3" type="noConversion"/>
  </si>
  <si>
    <t>可出租面积</t>
    <phoneticPr fontId="3" type="noConversion"/>
  </si>
  <si>
    <t>折合租金</t>
    <phoneticPr fontId="3" type="noConversion"/>
  </si>
  <si>
    <t>-3</t>
    <phoneticPr fontId="3" type="noConversion"/>
  </si>
  <si>
    <t>一期车位720个</t>
    <phoneticPr fontId="3" type="noConversion"/>
  </si>
  <si>
    <t>月租车位900元/月，时租车位8元/小时。一期月租车位170个。时租车位可以按照85%停车率统计</t>
    <phoneticPr fontId="3" type="noConversion"/>
  </si>
  <si>
    <t>-3夹</t>
    <phoneticPr fontId="3" type="noConversion"/>
  </si>
  <si>
    <t>-2</t>
    <phoneticPr fontId="3" type="noConversion"/>
  </si>
  <si>
    <t>地下二层5.4米</t>
    <phoneticPr fontId="3" type="noConversion"/>
  </si>
  <si>
    <t>-1</t>
    <phoneticPr fontId="3" type="noConversion"/>
  </si>
  <si>
    <t>地下一层5.1米</t>
    <phoneticPr fontId="3" type="noConversion"/>
  </si>
  <si>
    <t>其中改造面积</t>
    <phoneticPr fontId="3" type="noConversion"/>
  </si>
  <si>
    <t>01</t>
    <phoneticPr fontId="3" type="noConversion"/>
  </si>
  <si>
    <t>一层6米</t>
    <phoneticPr fontId="3" type="noConversion"/>
  </si>
  <si>
    <t>02</t>
    <phoneticPr fontId="3" type="noConversion"/>
  </si>
  <si>
    <t>2-5层5.4米</t>
    <phoneticPr fontId="3" type="noConversion"/>
  </si>
  <si>
    <t>03</t>
    <phoneticPr fontId="3" type="noConversion"/>
  </si>
  <si>
    <t>04</t>
    <phoneticPr fontId="3" type="noConversion"/>
  </si>
  <si>
    <t>05</t>
    <phoneticPr fontId="3" type="noConversion"/>
  </si>
  <si>
    <t>06</t>
    <phoneticPr fontId="3" type="noConversion"/>
  </si>
  <si>
    <t>六层10.5米</t>
    <phoneticPr fontId="3" type="noConversion"/>
  </si>
  <si>
    <t>6夹层</t>
    <phoneticPr fontId="3" type="noConversion"/>
  </si>
  <si>
    <t>07</t>
    <phoneticPr fontId="3" type="noConversion"/>
  </si>
  <si>
    <t>屋顶四合院</t>
    <phoneticPr fontId="3" type="noConversion"/>
  </si>
  <si>
    <t>合计</t>
    <phoneticPr fontId="3" type="noConversion"/>
  </si>
  <si>
    <t>地下占比</t>
    <phoneticPr fontId="3" type="noConversion"/>
  </si>
  <si>
    <t>建成年代</t>
    <phoneticPr fontId="3" type="noConversion"/>
  </si>
  <si>
    <t>2014年</t>
    <phoneticPr fontId="3" type="noConversion"/>
  </si>
  <si>
    <t>改造</t>
    <phoneticPr fontId="3" type="noConversion"/>
  </si>
  <si>
    <t>车库—办公</t>
  </si>
  <si>
    <t>办公</t>
    <phoneticPr fontId="7" type="noConversion"/>
  </si>
  <si>
    <t>地块名称</t>
  </si>
  <si>
    <t>城市</t>
  </si>
  <si>
    <t>地块编号</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</si>
  <si>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</si>
  <si>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</si>
  <si>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</si>
  <si>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</si>
  <si>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</si>
  <si>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</si>
  <si>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</si>
  <si>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</si>
  <si>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</si>
  <si>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</si>
  <si>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</si>
  <si>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</si>
  <si>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</si>
  <si>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</si>
  <si>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</si>
  <si>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</si>
  <si>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</si>
  <si>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</si>
  <si>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</si>
  <si>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</si>
  <si>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</si>
  <si>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</si>
  <si>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</si>
  <si>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</si>
  <si>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</si>
  <si>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</si>
  <si>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 </t>
  </si>
  <si>
    <t xml:space="preserve"> --</t>
  </si>
  <si>
    <t xml:space="preserve"> 已成交</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</si>
  <si>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</si>
  <si>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</si>
  <si>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</si>
  <si>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</si>
  <si>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</si>
  <si>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</si>
  <si>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</si>
  <si>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</si>
  <si>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</si>
  <si>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</si>
  <si>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</si>
  <si>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 xml:space="preserve"> 福建省国有资产管理,闽高速,福建投资</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</si>
  <si>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</si>
  <si>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</si>
  <si>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</si>
  <si>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</si>
  <si>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</si>
  <si>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</si>
  <si>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</si>
  <si>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</si>
  <si>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</si>
  <si>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</si>
  <si>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</si>
  <si>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≤2.8</t>
  </si>
  <si>
    <t xml:space="preserve"> 含租赁住房用地</t>
  </si>
  <si>
    <t xml:space="preserve"> 北京首旅城市副中心投资有限公司  </t>
  </si>
  <si>
    <t xml:space="preserve"> 北京首旅集团</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</si>
  <si>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</si>
  <si>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</si>
  <si>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</si>
  <si>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</si>
  <si>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</si>
  <si>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</si>
  <si>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</si>
  <si>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</si>
  <si>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</si>
  <si>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北京新航城建设实业发展有限公司  </t>
  </si>
  <si>
    <t xml:space="preserve"> 北京新航城</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</si>
  <si>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</si>
  <si>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</si>
  <si>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</si>
  <si>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</si>
  <si>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</si>
  <si>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</si>
  <si>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 xml:space="preserve"> 中国太平洋人寿保险股份有限公司</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</si>
  <si>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</si>
  <si>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</si>
  <si>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</si>
  <si>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</si>
  <si>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</si>
  <si>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</si>
  <si>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</si>
  <si>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</si>
  <si>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</si>
  <si>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</si>
  <si>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</si>
  <si>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</si>
  <si>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</si>
  <si>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</si>
  <si>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</si>
  <si>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</si>
  <si>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</si>
  <si>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</si>
  <si>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</si>
  <si>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</si>
  <si>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</si>
  <si>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</si>
  <si>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</si>
  <si>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</si>
  <si>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</si>
  <si>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</si>
  <si>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</si>
  <si>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</si>
  <si>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</si>
  <si>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</si>
  <si>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</si>
  <si>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</si>
  <si>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</si>
  <si>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</si>
  <si>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</si>
  <si>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</si>
  <si>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北投集团</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</si>
  <si>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</si>
  <si>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</si>
  <si>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</si>
  <si>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</si>
  <si>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</si>
  <si>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</si>
  <si>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</si>
  <si>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</si>
  <si>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</si>
  <si>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</si>
  <si>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</si>
  <si>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</si>
  <si>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</si>
  <si>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</si>
  <si>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</si>
  <si>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</si>
  <si>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</si>
  <si>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</si>
  <si>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</si>
  <si>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</si>
  <si>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</si>
  <si>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</si>
  <si>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</si>
  <si>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</si>
  <si>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</si>
  <si>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</si>
  <si>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</si>
  <si>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</si>
  <si>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</si>
  <si>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</si>
  <si>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</si>
  <si>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</si>
  <si>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</si>
  <si>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</si>
  <si>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</si>
  <si>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</si>
  <si>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</si>
  <si>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</si>
  <si>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</si>
  <si>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</si>
  <si>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</si>
  <si>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</si>
  <si>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</si>
  <si>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</si>
  <si>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</si>
  <si>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</si>
  <si>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</si>
  <si>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</si>
  <si>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</si>
  <si>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</si>
  <si>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</si>
  <si>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</si>
  <si>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</si>
  <si>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</si>
  <si>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</si>
  <si>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</si>
  <si>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</si>
  <si>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</si>
  <si>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</si>
  <si>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</si>
  <si>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</si>
  <si>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</si>
  <si>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北京市海淀区西三旗1811-L04地块B4综合性商业金融服务业用地</t>
  </si>
  <si>
    <t>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</si>
  <si>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</si>
  <si>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</si>
  <si>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</si>
  <si>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</si>
  <si>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</si>
  <si>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</si>
  <si>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</si>
  <si>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</si>
  <si>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</si>
  <si>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</si>
  <si>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北京市昌平区沙河镇七里渠南北村土地一级开发项目QLQ-004地块B4综合性商业金融服务业用地</t>
  </si>
  <si>
    <t>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</si>
  <si>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</si>
  <si>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</si>
  <si>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</si>
  <si>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</si>
  <si>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</si>
  <si>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</si>
  <si>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</si>
  <si>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</si>
  <si>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</si>
  <si>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</si>
  <si>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</si>
  <si>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</si>
  <si>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</si>
  <si>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圣泉投资,泰富德投资集团</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</si>
  <si>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</si>
  <si>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</si>
  <si>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</si>
  <si>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</si>
  <si>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</si>
  <si>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北京市门头沟区永定镇MC00-0018-0060、0061地块B4综合性商业金融服务业用地</t>
  </si>
  <si>
    <t>京土整储挂(门)[2018]002号</t>
  </si>
  <si>
    <t xml:space="preserve"> 金融街融辰(北京)置业有限公司 、北京市京西置地有限责任公司联合体  </t>
  </si>
  <si>
    <t xml:space="preserve"> 金融街</t>
  </si>
  <si>
    <t>北京市石景山区中关村科技园区石景山园北I区1605-636地块B23研发设计用地</t>
  </si>
  <si>
    <t>京土整储挂(石)[2017]098号</t>
  </si>
  <si>
    <t xml:space="preserve"> B23研发设计用地</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</si>
  <si>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</si>
  <si>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</si>
  <si>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</si>
  <si>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</si>
  <si>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</si>
  <si>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</si>
  <si>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</si>
  <si>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</si>
  <si>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</si>
  <si>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</si>
  <si>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</si>
  <si>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</si>
  <si>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</si>
  <si>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</si>
  <si>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</si>
  <si>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</si>
  <si>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 xml:space="preserve"> 华夏人寿</t>
  </si>
  <si>
    <t>北京市门头沟区龙泉镇MC00-0010-6004地块B2商务用地</t>
  </si>
  <si>
    <t>京土整储挂(门)[2017]062号</t>
  </si>
  <si>
    <t xml:space="preserve"> 北京象地房地产开发有限公司  </t>
  </si>
  <si>
    <t xml:space="preserve"> 象地房地产</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</si>
  <si>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</si>
  <si>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</si>
  <si>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</si>
  <si>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</si>
  <si>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</si>
  <si>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</si>
  <si>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</si>
  <si>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通州区马驹桥镇YZ00-0606-0014地块</t>
  </si>
  <si>
    <t>京土整储挂(通)[2017]033号</t>
  </si>
  <si>
    <t xml:space="preserve"> 北京北建通成国际物流有限公司  </t>
  </si>
  <si>
    <t>顺义区高丽营镇02-08-01、02-08-02地块</t>
  </si>
  <si>
    <t>京土整储挂(顺)[2017]032号</t>
  </si>
  <si>
    <t xml:space="preserve"> 北京首都开发股份有限公司 、北京富力通达房地产开发有限公司联合体  </t>
  </si>
  <si>
    <t xml:space="preserve"> 首开股份,富力地产</t>
  </si>
  <si>
    <t>房山区长阳镇FS00-LX10-0092等地块</t>
  </si>
  <si>
    <t>京土整储挂(房)[2017]031号</t>
  </si>
  <si>
    <t xml:space="preserve"> B4综合性商业金融服务业用地、S41公用停车场用地、G3广场用地、F3其他类多功能用地</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</si>
  <si>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</si>
  <si>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</si>
  <si>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</si>
  <si>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</si>
  <si>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</si>
  <si>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</si>
  <si>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</si>
  <si>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</si>
  <si>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</si>
  <si>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</si>
  <si>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</si>
  <si>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</si>
  <si>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</si>
  <si>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</si>
  <si>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</si>
  <si>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</si>
  <si>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</si>
  <si>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</si>
  <si>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</si>
  <si>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</si>
  <si>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</si>
  <si>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</si>
  <si>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</si>
  <si>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</si>
  <si>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</si>
  <si>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大兴开发区北区1号地DX00-0301-0144地块</t>
  </si>
  <si>
    <t>京土整储挂(兴)[2016]027号</t>
  </si>
  <si>
    <t xml:space="preserve"> 北京筑兴房地产开发有限公司  </t>
  </si>
  <si>
    <t xml:space="preserve"> 中建地产</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</si>
  <si>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</si>
  <si>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</si>
  <si>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</si>
  <si>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</si>
  <si>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</si>
  <si>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</si>
  <si>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</si>
  <si>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t>
  </si>
  <si>
    <t xml:space="preserve"> 北京龙湖天行置业有限公司 、北京首都开发股份有限公司  </t>
  </si>
  <si>
    <t>房山区拱辰街道FS00-LX11-0007地块</t>
  </si>
  <si>
    <t>京土整储挂(房)[2016]022号</t>
  </si>
  <si>
    <t xml:space="preserve"> 北京旭辉合创投资有限公司  </t>
  </si>
  <si>
    <t xml:space="preserve"> 旭辉集团</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</si>
  <si>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</si>
  <si>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</si>
  <si>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</si>
  <si>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</si>
  <si>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</si>
  <si>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</si>
  <si>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</si>
  <si>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</si>
  <si>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</si>
  <si>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北京龙湖中佰置业有限公司 、北京龙湖天行置业有限公司联合体  </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</si>
  <si>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</si>
  <si>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</si>
  <si>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</si>
  <si>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</si>
  <si>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</si>
  <si>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</si>
  <si>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</si>
  <si>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</si>
  <si>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</si>
  <si>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</si>
  <si>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朝阳区北土城中路北侧OS-06A、OS-10B地块</t>
  </si>
  <si>
    <t>京土整储招(朝)[2015]081号</t>
  </si>
  <si>
    <t xml:space="preserve"> 北京城建投资发展股份有限公司 、北京新奥集团有限公司联合体  </t>
  </si>
  <si>
    <t>顺义区李桥镇SY00-0029-6012地块</t>
  </si>
  <si>
    <t>京土整储挂(顺)[2015]079号</t>
  </si>
  <si>
    <t xml:space="preserve"> 深耕拓展投资(北京)有限公司  </t>
  </si>
  <si>
    <t xml:space="preserve"> 当代置业</t>
  </si>
  <si>
    <t>大兴区北臧村生物医药基地DX00-0501-0010地块</t>
  </si>
  <si>
    <t>京土整储挂(兴)[2015]074号</t>
  </si>
  <si>
    <t>大兴区北臧村生物医药基地DX00-0501-0009地块</t>
  </si>
  <si>
    <t>京土整储挂(兴)[2015]073号</t>
  </si>
  <si>
    <t>石景山区苹果园交通枢纽M、N地块</t>
  </si>
  <si>
    <t>京土整储挂(石)[2015]061号</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</si>
  <si>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</si>
  <si>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</si>
  <si>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</si>
  <si>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</si>
  <si>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</si>
  <si>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</si>
  <si>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</si>
  <si>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</si>
  <si>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</si>
  <si>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</si>
  <si>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</si>
  <si>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</si>
  <si>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</si>
  <si>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</si>
  <si>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</si>
  <si>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</si>
  <si>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</si>
  <si>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</si>
  <si>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</si>
  <si>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</si>
  <si>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</si>
  <si>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</si>
  <si>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</si>
  <si>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</si>
  <si>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</si>
  <si>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 xml:space="preserve"> 中国中铁</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</si>
  <si>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</si>
  <si>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</si>
  <si>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</si>
  <si>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</si>
  <si>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</si>
  <si>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</si>
  <si>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</si>
  <si>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</si>
  <si>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</si>
  <si>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</si>
  <si>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</si>
  <si>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</si>
  <si>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</si>
  <si>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</si>
  <si>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</si>
  <si>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</si>
  <si>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</si>
  <si>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丰台区丽泽路E-01、E-05、E-06地块</t>
  </si>
  <si>
    <t>京土整储挂(丰)[2015]015号</t>
  </si>
  <si>
    <t xml:space="preserve"> C2商业金融用地</t>
  </si>
  <si>
    <t xml:space="preserve"> 深圳市平轩投资管理有限公司  </t>
  </si>
  <si>
    <t>通州区宋庄镇0301-1201地块</t>
  </si>
  <si>
    <t>京土整储挂(通)[2015]012号</t>
  </si>
  <si>
    <t xml:space="preserve"> 北京市文化置业有限公司  </t>
  </si>
  <si>
    <t>丰台区花乡四合庄(中关村科技园丰台园东区三期)1516-21地块</t>
  </si>
  <si>
    <t>京土整储招(丰)[2015]011号</t>
  </si>
  <si>
    <t xml:space="preserve"> 大连万达商业地产股份有限公司  </t>
  </si>
  <si>
    <t xml:space="preserve"> 大连万达</t>
  </si>
  <si>
    <t>顺义区赵全营镇板桥村F2-01地块</t>
  </si>
  <si>
    <t>京土整储挂(顺)[2015]006号</t>
  </si>
  <si>
    <t xml:space="preserve"> 北京郎园置业有限公司  </t>
  </si>
  <si>
    <t>顺义区顺义新城26街区SY00-0026-6001、6003地块</t>
  </si>
  <si>
    <t>京土整储挂(顺)[2015]005号</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</si>
  <si>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</si>
  <si>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</si>
  <si>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</si>
  <si>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t>https://j.map.baidu.com/16/6Kpu</t>
    <phoneticPr fontId="134" type="noConversion"/>
  </si>
  <si>
    <t>研发、办公</t>
  </si>
  <si>
    <t>商业、办公</t>
  </si>
  <si>
    <t>城市快速路</t>
  </si>
  <si>
    <t>主干道</t>
  </si>
  <si>
    <t>次干道</t>
  </si>
  <si>
    <t>支路</t>
  </si>
  <si>
    <t>高速路</t>
    <phoneticPr fontId="30" type="noConversion"/>
  </si>
  <si>
    <t>规则</t>
  </si>
  <si>
    <t>较规则</t>
  </si>
  <si>
    <t>较不规则</t>
  </si>
  <si>
    <t>不规则</t>
  </si>
  <si>
    <t>七通</t>
  </si>
  <si>
    <t>六通</t>
  </si>
  <si>
    <t>五通</t>
  </si>
  <si>
    <t>四通</t>
  </si>
  <si>
    <t>三通</t>
  </si>
  <si>
    <t>好</t>
  </si>
  <si>
    <t>差</t>
  </si>
  <si>
    <t>较合适</t>
    <phoneticPr fontId="3" type="noConversion"/>
  </si>
  <si>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</si>
  <si>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</si>
  <si>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</si>
  <si>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</si>
  <si>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</si>
  <si>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</si>
  <si>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</si>
  <si>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三通</t>
    <phoneticPr fontId="30" type="noConversion"/>
  </si>
  <si>
    <t>六通</t>
    <phoneticPr fontId="30" type="noConversion"/>
  </si>
  <si>
    <t>丰科路</t>
    <phoneticPr fontId="3" type="noConversion"/>
  </si>
  <si>
    <t>丽泽路</t>
    <phoneticPr fontId="3" type="noConversion"/>
  </si>
  <si>
    <t>京顺街</t>
    <phoneticPr fontId="3" type="noConversion"/>
  </si>
  <si>
    <t>广渠门外大街</t>
    <phoneticPr fontId="3" type="noConversion"/>
  </si>
  <si>
    <t>地下车库</t>
  </si>
  <si>
    <t>地下车库</t>
    <phoneticPr fontId="7" type="noConversion"/>
  </si>
  <si>
    <t>收益法-车库</t>
  </si>
  <si>
    <t>收益法-车库</t>
    <phoneticPr fontId="16" type="noConversion"/>
  </si>
  <si>
    <t>收益法（汇总）</t>
  </si>
  <si>
    <t>办公</t>
    <phoneticPr fontId="134" type="noConversion"/>
  </si>
  <si>
    <t>地下车库</t>
    <phoneticPr fontId="134" type="noConversion"/>
  </si>
  <si>
    <t>未包含在土地购买价格中</t>
  </si>
  <si>
    <t>全部缴纳</t>
  </si>
  <si>
    <t>公共服务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</si>
</sst>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
      <sz val="11"/>
      <color theme="1"/>
      <name val="Arial Unicode MS"/>
      <family val="2"/>
      <charset val="134"/>
    </font>
    <font>
      <sz val="12"/>
      <name val="Arial Unicode MS"/>
      <family val="2"/>
      <charset val="134"/>
    </font>
    <font>
      <b/>
      <sz val="11"/>
      <color theme="1"/>
      <name val="Arial Unicode MS"/>
      <family val="2"/>
      <charset val="134"/>
    </font>
    <font>
      <sz val="12"/>
      <color theme="1"/>
      <name val="宋体"/>
      <family val="2"/>
      <scheme val="minor"/>
    </font>
    <font>
      <sz val="10"/>
      <color theme="1"/>
      <name val="宋体"/>
      <family val="2"/>
      <scheme val="minor"/>
    </font>
    <font>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9" fontId="36" fillId="0" borderId="0" applyFont="0" applyFill="0" applyBorder="0" applyAlignment="0" applyProtection="0"/>
    <xf numFmtId="0" fontId="128" fillId="0" borderId="0">
      <alignment vertical="center"/>
    </xf>
    <xf numFmtId="179" fontId="128" fillId="0" borderId="0" applyFont="0" applyFill="0" applyBorder="0" applyAlignment="0" applyProtection="0">
      <alignment vertical="center"/>
    </xf>
    <xf numFmtId="0" fontId="272" fillId="0" borderId="0"/>
    <xf numFmtId="0" fontId="275" fillId="0" borderId="0" applyNumberFormat="0" applyFill="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36" fillId="0" borderId="0">
      <alignment vertical="center"/>
    </xf>
    <xf numFmtId="43" fontId="36" fillId="0" borderId="0" applyFont="0" applyFill="0" applyBorder="0" applyAlignment="0" applyProtection="0">
      <alignment vertical="center"/>
    </xf>
    <xf numFmtId="43" fontId="128" fillId="0" borderId="0" applyFont="0" applyFill="0" applyBorder="0" applyAlignment="0" applyProtection="0">
      <alignment vertical="center"/>
    </xf>
    <xf numFmtId="41" fontId="128" fillId="0" borderId="0" applyFont="0" applyFill="0" applyBorder="0" applyAlignment="0" applyProtection="0">
      <alignment vertical="center"/>
    </xf>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8" fillId="18" borderId="1"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269" fillId="0" borderId="0" xfId="4" applyFont="1" applyAlignment="1">
      <alignment vertical="center"/>
    </xf>
    <xf numFmtId="0" fontId="270" fillId="0" borderId="0" xfId="4" applyFont="1" applyAlignment="1">
      <alignment vertical="center"/>
    </xf>
    <xf numFmtId="0" fontId="269" fillId="0" borderId="0" xfId="4" applyFont="1" applyAlignment="1">
      <alignment horizontal="right" vertical="center"/>
    </xf>
    <xf numFmtId="14" fontId="269" fillId="0" borderId="0" xfId="4" applyNumberFormat="1" applyFont="1" applyAlignment="1">
      <alignment horizontal="right" vertical="center"/>
    </xf>
    <xf numFmtId="0" fontId="269" fillId="0" borderId="0" xfId="4" applyNumberFormat="1" applyFont="1" applyAlignment="1">
      <alignment horizontal="right" vertical="center"/>
    </xf>
    <xf numFmtId="0" fontId="271" fillId="0" borderId="0" xfId="4" applyFont="1" applyAlignment="1">
      <alignment vertical="center"/>
    </xf>
    <xf numFmtId="0" fontId="271" fillId="0" borderId="0" xfId="4" applyNumberFormat="1" applyFont="1" applyAlignment="1">
      <alignment horizontal="left" vertical="center"/>
    </xf>
    <xf numFmtId="0" fontId="269" fillId="0" borderId="1" xfId="4" applyNumberFormat="1" applyFont="1" applyFill="1" applyBorder="1" applyAlignment="1">
      <alignment vertical="center"/>
    </xf>
    <xf numFmtId="0" fontId="270" fillId="0" borderId="0" xfId="4" applyFont="1" applyFill="1" applyAlignment="1">
      <alignment vertical="center"/>
    </xf>
    <xf numFmtId="0" fontId="269" fillId="0" borderId="1" xfId="4" applyNumberFormat="1" applyFont="1" applyFill="1" applyBorder="1" applyAlignment="1">
      <alignment horizontal="left" vertical="center"/>
    </xf>
    <xf numFmtId="0" fontId="269" fillId="0" borderId="1" xfId="4" applyNumberFormat="1" applyFont="1" applyFill="1" applyBorder="1" applyAlignment="1">
      <alignment horizontal="right" vertical="center"/>
    </xf>
    <xf numFmtId="49" fontId="269" fillId="0" borderId="1" xfId="4" applyNumberFormat="1" applyFont="1" applyFill="1" applyBorder="1" applyAlignment="1">
      <alignment horizontal="right" vertical="center"/>
    </xf>
    <xf numFmtId="0" fontId="269" fillId="22" borderId="1" xfId="4" applyNumberFormat="1" applyFont="1" applyFill="1" applyBorder="1" applyAlignment="1">
      <alignment horizontal="left" vertical="center"/>
    </xf>
    <xf numFmtId="0" fontId="269" fillId="9" borderId="1" xfId="4" applyNumberFormat="1" applyFont="1" applyFill="1" applyBorder="1" applyAlignment="1">
      <alignment horizontal="left" vertical="center"/>
    </xf>
    <xf numFmtId="10" fontId="270" fillId="0" borderId="0" xfId="19" applyNumberFormat="1" applyFont="1" applyFill="1" applyAlignment="1">
      <alignment vertical="center"/>
    </xf>
    <xf numFmtId="0" fontId="269" fillId="5" borderId="1" xfId="4" applyNumberFormat="1" applyFont="1" applyFill="1" applyBorder="1" applyAlignment="1">
      <alignment horizontal="right" vertical="center"/>
    </xf>
    <xf numFmtId="196" fontId="269" fillId="0" borderId="1" xfId="4" applyNumberFormat="1" applyFont="1" applyFill="1" applyBorder="1" applyAlignment="1">
      <alignment horizontal="left" vertical="center"/>
    </xf>
    <xf numFmtId="0" fontId="271" fillId="0" borderId="1" xfId="4" applyNumberFormat="1" applyFont="1" applyFill="1" applyBorder="1" applyAlignment="1">
      <alignment horizontal="right" vertical="center"/>
    </xf>
    <xf numFmtId="49" fontId="271" fillId="0" borderId="1" xfId="4" applyNumberFormat="1" applyFont="1" applyFill="1" applyBorder="1" applyAlignment="1">
      <alignment horizontal="right" vertical="center"/>
    </xf>
    <xf numFmtId="0" fontId="271" fillId="0" borderId="0" xfId="4" applyFont="1" applyFill="1" applyAlignment="1">
      <alignment vertical="center"/>
    </xf>
    <xf numFmtId="10" fontId="269" fillId="0" borderId="1" xfId="19" applyNumberFormat="1" applyFont="1" applyFill="1" applyBorder="1" applyAlignment="1">
      <alignment horizontal="right" vertical="center"/>
    </xf>
    <xf numFmtId="0" fontId="269" fillId="0" borderId="0" xfId="4" applyFont="1" applyFill="1" applyAlignment="1">
      <alignment horizontal="left" vertical="center"/>
    </xf>
    <xf numFmtId="0" fontId="270" fillId="0" borderId="0" xfId="4" applyFont="1" applyFill="1" applyAlignment="1">
      <alignment horizontal="left" vertical="center"/>
    </xf>
    <xf numFmtId="0" fontId="270" fillId="0" borderId="0" xfId="4" applyFont="1"/>
    <xf numFmtId="14" fontId="270" fillId="0" borderId="0" xfId="4" applyNumberFormat="1" applyFont="1"/>
    <xf numFmtId="0" fontId="273" fillId="0" borderId="0" xfId="22" applyFont="1" applyAlignment="1">
      <alignment horizontal="left" vertical="center"/>
    </xf>
    <xf numFmtId="14" fontId="107" fillId="0" borderId="0" xfId="22" applyNumberFormat="1" applyFont="1" applyAlignment="1">
      <alignment horizontal="left" vertical="center"/>
    </xf>
    <xf numFmtId="0" fontId="273" fillId="5" borderId="0" xfId="22" applyFont="1" applyFill="1" applyAlignment="1">
      <alignment horizontal="left" vertical="center"/>
    </xf>
    <xf numFmtId="14" fontId="107" fillId="5" borderId="0" xfId="22" applyNumberFormat="1" applyFont="1" applyFill="1" applyAlignment="1">
      <alignment horizontal="left" vertical="center"/>
    </xf>
    <xf numFmtId="0" fontId="274" fillId="0" borderId="0" xfId="22" applyFont="1" applyAlignment="1">
      <alignment horizontal="left" vertical="center"/>
    </xf>
    <xf numFmtId="14" fontId="274" fillId="0" borderId="0" xfId="22" applyNumberFormat="1" applyFont="1" applyAlignment="1">
      <alignment horizontal="left" vertical="center"/>
    </xf>
    <xf numFmtId="0" fontId="275" fillId="0" borderId="0" xfId="23" applyAlignment="1">
      <alignment horizontal="left" vertical="center"/>
    </xf>
    <xf numFmtId="0" fontId="94" fillId="0" borderId="9"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9" fontId="128" fillId="2" borderId="37" xfId="0" applyNumberFormat="1"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196" fontId="269" fillId="5" borderId="1" xfId="4" applyNumberFormat="1" applyFont="1" applyFill="1" applyBorder="1" applyAlignment="1">
      <alignment horizontal="left" vertical="center"/>
    </xf>
    <xf numFmtId="0" fontId="53" fillId="16" borderId="24" xfId="0" applyFont="1" applyFill="1" applyBorder="1" applyAlignment="1" applyProtection="1">
      <alignment horizontal="center" vertical="center"/>
      <protection locked="0"/>
    </xf>
    <xf numFmtId="10" fontId="44" fillId="16" borderId="1" xfId="0"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0" fontId="100" fillId="16" borderId="23" xfId="0" applyFont="1" applyFill="1" applyBorder="1" applyAlignment="1" applyProtection="1">
      <alignment vertical="center"/>
      <protection locked="0"/>
    </xf>
    <xf numFmtId="179" fontId="44" fillId="16" borderId="23" xfId="0" applyNumberFormat="1" applyFont="1" applyFill="1" applyBorder="1" applyAlignment="1" applyProtection="1">
      <alignment horizontal="center" vertical="center"/>
      <protection locked="0"/>
    </xf>
    <xf numFmtId="176" fontId="44" fillId="16" borderId="24" xfId="1"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vertical="center"/>
      <protection locked="0"/>
    </xf>
    <xf numFmtId="9" fontId="47" fillId="18" borderId="5"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0" fontId="44"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5" borderId="13" xfId="4" applyNumberFormat="1" applyFont="1" applyFill="1" applyBorder="1" applyAlignment="1">
      <alignment horizontal="right" vertical="center"/>
    </xf>
    <xf numFmtId="0" fontId="269" fillId="5" borderId="2" xfId="4" applyNumberFormat="1" applyFont="1" applyFill="1" applyBorder="1" applyAlignment="1">
      <alignment horizontal="right" vertical="center"/>
    </xf>
    <xf numFmtId="0" fontId="269" fillId="0" borderId="13" xfId="4" applyNumberFormat="1" applyFont="1" applyFill="1" applyBorder="1" applyAlignment="1">
      <alignment horizontal="right" vertical="center"/>
    </xf>
    <xf numFmtId="0" fontId="269" fillId="0" borderId="2" xfId="4" applyNumberFormat="1" applyFont="1" applyFill="1" applyBorder="1" applyAlignment="1">
      <alignment horizontal="right" vertical="center"/>
    </xf>
    <xf numFmtId="0" fontId="269" fillId="0" borderId="13" xfId="4" applyNumberFormat="1" applyFont="1" applyFill="1" applyBorder="1" applyAlignment="1">
      <alignment horizontal="center" vertical="center"/>
    </xf>
    <xf numFmtId="0" fontId="269" fillId="0" borderId="2" xfId="4" applyNumberFormat="1"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31">
    <cellStyle name="百分比" xfId="17" builtinId="5"/>
    <cellStyle name="百分比 2" xfId="14"/>
    <cellStyle name="百分比 3" xfId="19"/>
    <cellStyle name="常规" xfId="0" builtinId="0"/>
    <cellStyle name="常规 10" xfId="22"/>
    <cellStyle name="常规 11" xfId="18"/>
    <cellStyle name="常规 11 2" xfId="24"/>
    <cellStyle name="常规 12" xfId="25"/>
    <cellStyle name="常规 14" xfId="26"/>
    <cellStyle name="常规 16" xfId="10"/>
    <cellStyle name="常规 2" xfId="1"/>
    <cellStyle name="常规 2 2" xfId="8"/>
    <cellStyle name="常规 2 2 2 2 3" xfId="15"/>
    <cellStyle name="常规 2 3" xfId="27"/>
    <cellStyle name="常规 22"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3" builtinId="8"/>
    <cellStyle name="千位分隔 2" xfId="28"/>
    <cellStyle name="千位分隔 22" xfId="21"/>
    <cellStyle name="千位分隔 3 2" xfId="29"/>
    <cellStyle name="千位分隔[0] 2" xfId="30"/>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0</xdr:rowOff>
    </xdr:from>
    <xdr:to>
      <xdr:col>18</xdr:col>
      <xdr:colOff>65263</xdr:colOff>
      <xdr:row>191</xdr:row>
      <xdr:rowOff>18362</xdr:rowOff>
    </xdr:to>
    <xdr:pic>
      <xdr:nvPicPr>
        <xdr:cNvPr id="2" name="图片 1">
          <a:extLst>
            <a:ext uri="{FF2B5EF4-FFF2-40B4-BE49-F238E27FC236}">
              <a16:creationId xmlns:a16="http://schemas.microsoft.com/office/drawing/2014/main" xmlns="" id="{A86289C3-8F3A-6DCF-DA4D-53978B10F8B0}"/>
            </a:ext>
          </a:extLst>
        </xdr:cNvPr>
        <xdr:cNvPicPr>
          <a:picLocks noChangeAspect="1"/>
        </xdr:cNvPicPr>
      </xdr:nvPicPr>
      <xdr:blipFill>
        <a:blip xmlns:r="http://schemas.openxmlformats.org/officeDocument/2006/relationships" r:embed="rId1"/>
        <a:stretch>
          <a:fillRect/>
        </a:stretch>
      </xdr:blipFill>
      <xdr:spPr>
        <a:xfrm>
          <a:off x="0" y="13735050"/>
          <a:ext cx="11295238" cy="5504762"/>
        </a:xfrm>
        <a:prstGeom prst="rect">
          <a:avLst/>
        </a:prstGeom>
      </xdr:spPr>
    </xdr:pic>
    <xdr:clientData/>
  </xdr:twoCellAnchor>
  <xdr:twoCellAnchor editAs="oneCell">
    <xdr:from>
      <xdr:col>0</xdr:col>
      <xdr:colOff>0</xdr:colOff>
      <xdr:row>191</xdr:row>
      <xdr:rowOff>0</xdr:rowOff>
    </xdr:from>
    <xdr:to>
      <xdr:col>17</xdr:col>
      <xdr:colOff>893951</xdr:colOff>
      <xdr:row>220</xdr:row>
      <xdr:rowOff>75638</xdr:rowOff>
    </xdr:to>
    <xdr:pic>
      <xdr:nvPicPr>
        <xdr:cNvPr id="3" name="图片 2">
          <a:extLst>
            <a:ext uri="{FF2B5EF4-FFF2-40B4-BE49-F238E27FC236}">
              <a16:creationId xmlns:a16="http://schemas.microsoft.com/office/drawing/2014/main" xmlns="" id="{C118A038-78B3-D995-0F73-92167842611D}"/>
            </a:ext>
          </a:extLst>
        </xdr:cNvPr>
        <xdr:cNvPicPr>
          <a:picLocks noChangeAspect="1"/>
        </xdr:cNvPicPr>
      </xdr:nvPicPr>
      <xdr:blipFill>
        <a:blip xmlns:r="http://schemas.openxmlformats.org/officeDocument/2006/relationships" r:embed="rId2"/>
        <a:stretch>
          <a:fillRect/>
        </a:stretch>
      </xdr:blipFill>
      <xdr:spPr>
        <a:xfrm>
          <a:off x="0" y="19221450"/>
          <a:ext cx="11190476" cy="4495238"/>
        </a:xfrm>
        <a:prstGeom prst="rect">
          <a:avLst/>
        </a:prstGeom>
      </xdr:spPr>
    </xdr:pic>
    <xdr:clientData/>
  </xdr:twoCellAnchor>
  <xdr:twoCellAnchor editAs="oneCell">
    <xdr:from>
      <xdr:col>0</xdr:col>
      <xdr:colOff>0</xdr:colOff>
      <xdr:row>221</xdr:row>
      <xdr:rowOff>0</xdr:rowOff>
    </xdr:from>
    <xdr:to>
      <xdr:col>17</xdr:col>
      <xdr:colOff>808237</xdr:colOff>
      <xdr:row>245</xdr:row>
      <xdr:rowOff>37638</xdr:rowOff>
    </xdr:to>
    <xdr:pic>
      <xdr:nvPicPr>
        <xdr:cNvPr id="4" name="图片 3">
          <a:extLst>
            <a:ext uri="{FF2B5EF4-FFF2-40B4-BE49-F238E27FC236}">
              <a16:creationId xmlns:a16="http://schemas.microsoft.com/office/drawing/2014/main" xmlns="" id="{C9C4323E-C883-3992-BB56-042335410626}"/>
            </a:ext>
          </a:extLst>
        </xdr:cNvPr>
        <xdr:cNvPicPr>
          <a:picLocks noChangeAspect="1"/>
        </xdr:cNvPicPr>
      </xdr:nvPicPr>
      <xdr:blipFill>
        <a:blip xmlns:r="http://schemas.openxmlformats.org/officeDocument/2006/relationships" r:embed="rId3"/>
        <a:stretch>
          <a:fillRect/>
        </a:stretch>
      </xdr:blipFill>
      <xdr:spPr>
        <a:xfrm>
          <a:off x="0" y="23793450"/>
          <a:ext cx="11104762" cy="3695238"/>
        </a:xfrm>
        <a:prstGeom prst="rect">
          <a:avLst/>
        </a:prstGeom>
      </xdr:spPr>
    </xdr:pic>
    <xdr:clientData/>
  </xdr:twoCellAnchor>
  <xdr:twoCellAnchor editAs="oneCell">
    <xdr:from>
      <xdr:col>0</xdr:col>
      <xdr:colOff>0</xdr:colOff>
      <xdr:row>245</xdr:row>
      <xdr:rowOff>0</xdr:rowOff>
    </xdr:from>
    <xdr:to>
      <xdr:col>17</xdr:col>
      <xdr:colOff>874903</xdr:colOff>
      <xdr:row>271</xdr:row>
      <xdr:rowOff>9029</xdr:rowOff>
    </xdr:to>
    <xdr:pic>
      <xdr:nvPicPr>
        <xdr:cNvPr id="5" name="图片 4">
          <a:extLst>
            <a:ext uri="{FF2B5EF4-FFF2-40B4-BE49-F238E27FC236}">
              <a16:creationId xmlns:a16="http://schemas.microsoft.com/office/drawing/2014/main" xmlns="" id="{26F6F456-5C15-F598-70E6-0CFD308EFFC3}"/>
            </a:ext>
          </a:extLst>
        </xdr:cNvPr>
        <xdr:cNvPicPr>
          <a:picLocks noChangeAspect="1"/>
        </xdr:cNvPicPr>
      </xdr:nvPicPr>
      <xdr:blipFill>
        <a:blip xmlns:r="http://schemas.openxmlformats.org/officeDocument/2006/relationships" r:embed="rId4"/>
        <a:stretch>
          <a:fillRect/>
        </a:stretch>
      </xdr:blipFill>
      <xdr:spPr>
        <a:xfrm>
          <a:off x="0" y="27451050"/>
          <a:ext cx="11171428" cy="3971429"/>
        </a:xfrm>
        <a:prstGeom prst="rect">
          <a:avLst/>
        </a:prstGeom>
      </xdr:spPr>
    </xdr:pic>
    <xdr:clientData/>
  </xdr:twoCellAnchor>
  <xdr:twoCellAnchor editAs="oneCell">
    <xdr:from>
      <xdr:col>0</xdr:col>
      <xdr:colOff>0</xdr:colOff>
      <xdr:row>271</xdr:row>
      <xdr:rowOff>0</xdr:rowOff>
    </xdr:from>
    <xdr:to>
      <xdr:col>17</xdr:col>
      <xdr:colOff>884427</xdr:colOff>
      <xdr:row>292</xdr:row>
      <xdr:rowOff>132933</xdr:rowOff>
    </xdr:to>
    <xdr:pic>
      <xdr:nvPicPr>
        <xdr:cNvPr id="6" name="图片 5">
          <a:extLst>
            <a:ext uri="{FF2B5EF4-FFF2-40B4-BE49-F238E27FC236}">
              <a16:creationId xmlns:a16="http://schemas.microsoft.com/office/drawing/2014/main" xmlns="" id="{30C1ECA5-253B-0092-7795-2D6B16448A1E}"/>
            </a:ext>
          </a:extLst>
        </xdr:cNvPr>
        <xdr:cNvPicPr>
          <a:picLocks noChangeAspect="1"/>
        </xdr:cNvPicPr>
      </xdr:nvPicPr>
      <xdr:blipFill>
        <a:blip xmlns:r="http://schemas.openxmlformats.org/officeDocument/2006/relationships" r:embed="rId5"/>
        <a:stretch>
          <a:fillRect/>
        </a:stretch>
      </xdr:blipFill>
      <xdr:spPr>
        <a:xfrm>
          <a:off x="0" y="31413450"/>
          <a:ext cx="11180952" cy="3333333"/>
        </a:xfrm>
        <a:prstGeom prst="rect">
          <a:avLst/>
        </a:prstGeom>
      </xdr:spPr>
    </xdr:pic>
    <xdr:clientData/>
  </xdr:twoCellAnchor>
  <xdr:twoCellAnchor editAs="oneCell">
    <xdr:from>
      <xdr:col>0</xdr:col>
      <xdr:colOff>0</xdr:colOff>
      <xdr:row>293</xdr:row>
      <xdr:rowOff>0</xdr:rowOff>
    </xdr:from>
    <xdr:to>
      <xdr:col>17</xdr:col>
      <xdr:colOff>855856</xdr:colOff>
      <xdr:row>326</xdr:row>
      <xdr:rowOff>123181</xdr:rowOff>
    </xdr:to>
    <xdr:pic>
      <xdr:nvPicPr>
        <xdr:cNvPr id="7" name="图片 6">
          <a:extLst>
            <a:ext uri="{FF2B5EF4-FFF2-40B4-BE49-F238E27FC236}">
              <a16:creationId xmlns:a16="http://schemas.microsoft.com/office/drawing/2014/main" xmlns="" id="{4A2D3EDD-9005-1AC5-4A67-5E9F9B9D1050}"/>
            </a:ext>
          </a:extLst>
        </xdr:cNvPr>
        <xdr:cNvPicPr>
          <a:picLocks noChangeAspect="1"/>
        </xdr:cNvPicPr>
      </xdr:nvPicPr>
      <xdr:blipFill>
        <a:blip xmlns:r="http://schemas.openxmlformats.org/officeDocument/2006/relationships" r:embed="rId6"/>
        <a:stretch>
          <a:fillRect/>
        </a:stretch>
      </xdr:blipFill>
      <xdr:spPr>
        <a:xfrm>
          <a:off x="0" y="34766250"/>
          <a:ext cx="11152381" cy="5152381"/>
        </a:xfrm>
        <a:prstGeom prst="rect">
          <a:avLst/>
        </a:prstGeom>
      </xdr:spPr>
    </xdr:pic>
    <xdr:clientData/>
  </xdr:twoCellAnchor>
  <xdr:twoCellAnchor editAs="oneCell">
    <xdr:from>
      <xdr:col>0</xdr:col>
      <xdr:colOff>0</xdr:colOff>
      <xdr:row>329</xdr:row>
      <xdr:rowOff>0</xdr:rowOff>
    </xdr:from>
    <xdr:to>
      <xdr:col>18</xdr:col>
      <xdr:colOff>103358</xdr:colOff>
      <xdr:row>366</xdr:row>
      <xdr:rowOff>75486</xdr:rowOff>
    </xdr:to>
    <xdr:pic>
      <xdr:nvPicPr>
        <xdr:cNvPr id="8" name="图片 7">
          <a:extLst>
            <a:ext uri="{FF2B5EF4-FFF2-40B4-BE49-F238E27FC236}">
              <a16:creationId xmlns:a16="http://schemas.microsoft.com/office/drawing/2014/main" xmlns="" id="{7129CBD2-E28B-13B9-72E7-0BA48B594C8C}"/>
            </a:ext>
          </a:extLst>
        </xdr:cNvPr>
        <xdr:cNvPicPr>
          <a:picLocks noChangeAspect="1"/>
        </xdr:cNvPicPr>
      </xdr:nvPicPr>
      <xdr:blipFill>
        <a:blip xmlns:r="http://schemas.openxmlformats.org/officeDocument/2006/relationships" r:embed="rId7"/>
        <a:stretch>
          <a:fillRect/>
        </a:stretch>
      </xdr:blipFill>
      <xdr:spPr>
        <a:xfrm>
          <a:off x="0" y="40252650"/>
          <a:ext cx="11333333" cy="5714286"/>
        </a:xfrm>
        <a:prstGeom prst="rect">
          <a:avLst/>
        </a:prstGeom>
      </xdr:spPr>
    </xdr:pic>
    <xdr:clientData/>
  </xdr:twoCellAnchor>
  <xdr:twoCellAnchor editAs="oneCell">
    <xdr:from>
      <xdr:col>0</xdr:col>
      <xdr:colOff>0</xdr:colOff>
      <xdr:row>367</xdr:row>
      <xdr:rowOff>0</xdr:rowOff>
    </xdr:from>
    <xdr:to>
      <xdr:col>17</xdr:col>
      <xdr:colOff>922522</xdr:colOff>
      <xdr:row>397</xdr:row>
      <xdr:rowOff>123238</xdr:rowOff>
    </xdr:to>
    <xdr:pic>
      <xdr:nvPicPr>
        <xdr:cNvPr id="9" name="图片 8">
          <a:extLst>
            <a:ext uri="{FF2B5EF4-FFF2-40B4-BE49-F238E27FC236}">
              <a16:creationId xmlns:a16="http://schemas.microsoft.com/office/drawing/2014/main" xmlns="" id="{16884C7B-6B64-BA7E-CE79-CBFDBF6F6C89}"/>
            </a:ext>
          </a:extLst>
        </xdr:cNvPr>
        <xdr:cNvPicPr>
          <a:picLocks noChangeAspect="1"/>
        </xdr:cNvPicPr>
      </xdr:nvPicPr>
      <xdr:blipFill>
        <a:blip xmlns:r="http://schemas.openxmlformats.org/officeDocument/2006/relationships" r:embed="rId8"/>
        <a:stretch>
          <a:fillRect/>
        </a:stretch>
      </xdr:blipFill>
      <xdr:spPr>
        <a:xfrm>
          <a:off x="0" y="46043850"/>
          <a:ext cx="11219047" cy="4695238"/>
        </a:xfrm>
        <a:prstGeom prst="rect">
          <a:avLst/>
        </a:prstGeom>
      </xdr:spPr>
    </xdr:pic>
    <xdr:clientData/>
  </xdr:twoCellAnchor>
  <xdr:twoCellAnchor editAs="oneCell">
    <xdr:from>
      <xdr:col>0</xdr:col>
      <xdr:colOff>0</xdr:colOff>
      <xdr:row>398</xdr:row>
      <xdr:rowOff>0</xdr:rowOff>
    </xdr:from>
    <xdr:to>
      <xdr:col>17</xdr:col>
      <xdr:colOff>846332</xdr:colOff>
      <xdr:row>422</xdr:row>
      <xdr:rowOff>47162</xdr:rowOff>
    </xdr:to>
    <xdr:pic>
      <xdr:nvPicPr>
        <xdr:cNvPr id="10" name="图片 9">
          <a:extLst>
            <a:ext uri="{FF2B5EF4-FFF2-40B4-BE49-F238E27FC236}">
              <a16:creationId xmlns:a16="http://schemas.microsoft.com/office/drawing/2014/main" xmlns="" id="{A6066855-BE07-35CE-B02A-1C352118541A}"/>
            </a:ext>
          </a:extLst>
        </xdr:cNvPr>
        <xdr:cNvPicPr>
          <a:picLocks noChangeAspect="1"/>
        </xdr:cNvPicPr>
      </xdr:nvPicPr>
      <xdr:blipFill>
        <a:blip xmlns:r="http://schemas.openxmlformats.org/officeDocument/2006/relationships" r:embed="rId9"/>
        <a:stretch>
          <a:fillRect/>
        </a:stretch>
      </xdr:blipFill>
      <xdr:spPr>
        <a:xfrm>
          <a:off x="0" y="50768250"/>
          <a:ext cx="11142857" cy="3704762"/>
        </a:xfrm>
        <a:prstGeom prst="rect">
          <a:avLst/>
        </a:prstGeom>
      </xdr:spPr>
    </xdr:pic>
    <xdr:clientData/>
  </xdr:twoCellAnchor>
  <xdr:twoCellAnchor editAs="oneCell">
    <xdr:from>
      <xdr:col>0</xdr:col>
      <xdr:colOff>0</xdr:colOff>
      <xdr:row>422</xdr:row>
      <xdr:rowOff>0</xdr:rowOff>
    </xdr:from>
    <xdr:to>
      <xdr:col>17</xdr:col>
      <xdr:colOff>893951</xdr:colOff>
      <xdr:row>446</xdr:row>
      <xdr:rowOff>142400</xdr:rowOff>
    </xdr:to>
    <xdr:pic>
      <xdr:nvPicPr>
        <xdr:cNvPr id="11" name="图片 10">
          <a:extLst>
            <a:ext uri="{FF2B5EF4-FFF2-40B4-BE49-F238E27FC236}">
              <a16:creationId xmlns:a16="http://schemas.microsoft.com/office/drawing/2014/main" xmlns="" id="{49810926-E425-CB30-27B7-7E8E9614FBB7}"/>
            </a:ext>
          </a:extLst>
        </xdr:cNvPr>
        <xdr:cNvPicPr>
          <a:picLocks noChangeAspect="1"/>
        </xdr:cNvPicPr>
      </xdr:nvPicPr>
      <xdr:blipFill>
        <a:blip xmlns:r="http://schemas.openxmlformats.org/officeDocument/2006/relationships" r:embed="rId10"/>
        <a:stretch>
          <a:fillRect/>
        </a:stretch>
      </xdr:blipFill>
      <xdr:spPr>
        <a:xfrm>
          <a:off x="0" y="54425850"/>
          <a:ext cx="11190476" cy="3800000"/>
        </a:xfrm>
        <a:prstGeom prst="rect">
          <a:avLst/>
        </a:prstGeom>
      </xdr:spPr>
    </xdr:pic>
    <xdr:clientData/>
  </xdr:twoCellAnchor>
  <xdr:twoCellAnchor editAs="oneCell">
    <xdr:from>
      <xdr:col>0</xdr:col>
      <xdr:colOff>0</xdr:colOff>
      <xdr:row>447</xdr:row>
      <xdr:rowOff>0</xdr:rowOff>
    </xdr:from>
    <xdr:to>
      <xdr:col>17</xdr:col>
      <xdr:colOff>912999</xdr:colOff>
      <xdr:row>475</xdr:row>
      <xdr:rowOff>85181</xdr:rowOff>
    </xdr:to>
    <xdr:pic>
      <xdr:nvPicPr>
        <xdr:cNvPr id="12" name="图片 11">
          <a:extLst>
            <a:ext uri="{FF2B5EF4-FFF2-40B4-BE49-F238E27FC236}">
              <a16:creationId xmlns:a16="http://schemas.microsoft.com/office/drawing/2014/main" xmlns="" id="{067795D0-8739-E527-A5AF-D1087054E85B}"/>
            </a:ext>
          </a:extLst>
        </xdr:cNvPr>
        <xdr:cNvPicPr>
          <a:picLocks noChangeAspect="1"/>
        </xdr:cNvPicPr>
      </xdr:nvPicPr>
      <xdr:blipFill>
        <a:blip xmlns:r="http://schemas.openxmlformats.org/officeDocument/2006/relationships" r:embed="rId11"/>
        <a:stretch>
          <a:fillRect/>
        </a:stretch>
      </xdr:blipFill>
      <xdr:spPr>
        <a:xfrm>
          <a:off x="0" y="58235850"/>
          <a:ext cx="11209524" cy="4352381"/>
        </a:xfrm>
        <a:prstGeom prst="rect">
          <a:avLst/>
        </a:prstGeom>
      </xdr:spPr>
    </xdr:pic>
    <xdr:clientData/>
  </xdr:twoCellAnchor>
  <xdr:twoCellAnchor editAs="oneCell">
    <xdr:from>
      <xdr:col>0</xdr:col>
      <xdr:colOff>28575</xdr:colOff>
      <xdr:row>481</xdr:row>
      <xdr:rowOff>76200</xdr:rowOff>
    </xdr:from>
    <xdr:to>
      <xdr:col>18</xdr:col>
      <xdr:colOff>8124</xdr:colOff>
      <xdr:row>514</xdr:row>
      <xdr:rowOff>132714</xdr:rowOff>
    </xdr:to>
    <xdr:pic>
      <xdr:nvPicPr>
        <xdr:cNvPr id="13" name="图片 12">
          <a:extLst>
            <a:ext uri="{FF2B5EF4-FFF2-40B4-BE49-F238E27FC236}">
              <a16:creationId xmlns:a16="http://schemas.microsoft.com/office/drawing/2014/main" xmlns="" id="{766AEB14-D727-9222-8FCA-9273665DE59E}"/>
            </a:ext>
          </a:extLst>
        </xdr:cNvPr>
        <xdr:cNvPicPr>
          <a:picLocks noChangeAspect="1"/>
        </xdr:cNvPicPr>
      </xdr:nvPicPr>
      <xdr:blipFill>
        <a:blip xmlns:r="http://schemas.openxmlformats.org/officeDocument/2006/relationships" r:embed="rId12"/>
        <a:stretch>
          <a:fillRect/>
        </a:stretch>
      </xdr:blipFill>
      <xdr:spPr>
        <a:xfrm>
          <a:off x="28575" y="63493650"/>
          <a:ext cx="11209524" cy="5085714"/>
        </a:xfrm>
        <a:prstGeom prst="rect">
          <a:avLst/>
        </a:prstGeom>
      </xdr:spPr>
    </xdr:pic>
    <xdr:clientData/>
  </xdr:twoCellAnchor>
  <xdr:twoCellAnchor editAs="oneCell">
    <xdr:from>
      <xdr:col>0</xdr:col>
      <xdr:colOff>0</xdr:colOff>
      <xdr:row>512</xdr:row>
      <xdr:rowOff>0</xdr:rowOff>
    </xdr:from>
    <xdr:to>
      <xdr:col>18</xdr:col>
      <xdr:colOff>46215</xdr:colOff>
      <xdr:row>548</xdr:row>
      <xdr:rowOff>18362</xdr:rowOff>
    </xdr:to>
    <xdr:pic>
      <xdr:nvPicPr>
        <xdr:cNvPr id="14" name="图片 13">
          <a:extLst>
            <a:ext uri="{FF2B5EF4-FFF2-40B4-BE49-F238E27FC236}">
              <a16:creationId xmlns:a16="http://schemas.microsoft.com/office/drawing/2014/main" xmlns="" id="{839D1D89-685C-49B2-B252-0040759CABE3}"/>
            </a:ext>
          </a:extLst>
        </xdr:cNvPr>
        <xdr:cNvPicPr>
          <a:picLocks noChangeAspect="1"/>
        </xdr:cNvPicPr>
      </xdr:nvPicPr>
      <xdr:blipFill>
        <a:blip xmlns:r="http://schemas.openxmlformats.org/officeDocument/2006/relationships" r:embed="rId13"/>
        <a:stretch>
          <a:fillRect/>
        </a:stretch>
      </xdr:blipFill>
      <xdr:spPr>
        <a:xfrm>
          <a:off x="0" y="68141850"/>
          <a:ext cx="11276190" cy="5504762"/>
        </a:xfrm>
        <a:prstGeom prst="rect">
          <a:avLst/>
        </a:prstGeom>
      </xdr:spPr>
    </xdr:pic>
    <xdr:clientData/>
  </xdr:twoCellAnchor>
  <xdr:twoCellAnchor editAs="oneCell">
    <xdr:from>
      <xdr:col>0</xdr:col>
      <xdr:colOff>0</xdr:colOff>
      <xdr:row>548</xdr:row>
      <xdr:rowOff>0</xdr:rowOff>
    </xdr:from>
    <xdr:to>
      <xdr:col>17</xdr:col>
      <xdr:colOff>836808</xdr:colOff>
      <xdr:row>577</xdr:row>
      <xdr:rowOff>142305</xdr:rowOff>
    </xdr:to>
    <xdr:pic>
      <xdr:nvPicPr>
        <xdr:cNvPr id="15" name="图片 14">
          <a:extLst>
            <a:ext uri="{FF2B5EF4-FFF2-40B4-BE49-F238E27FC236}">
              <a16:creationId xmlns:a16="http://schemas.microsoft.com/office/drawing/2014/main" xmlns="" id="{365CC49D-ADBC-48E7-9A04-47E304BCB93D}"/>
            </a:ext>
          </a:extLst>
        </xdr:cNvPr>
        <xdr:cNvPicPr>
          <a:picLocks noChangeAspect="1"/>
        </xdr:cNvPicPr>
      </xdr:nvPicPr>
      <xdr:blipFill>
        <a:blip xmlns:r="http://schemas.openxmlformats.org/officeDocument/2006/relationships" r:embed="rId14"/>
        <a:stretch>
          <a:fillRect/>
        </a:stretch>
      </xdr:blipFill>
      <xdr:spPr>
        <a:xfrm>
          <a:off x="0" y="73628250"/>
          <a:ext cx="11133333" cy="4561905"/>
        </a:xfrm>
        <a:prstGeom prst="rect">
          <a:avLst/>
        </a:prstGeom>
      </xdr:spPr>
    </xdr:pic>
    <xdr:clientData/>
  </xdr:twoCellAnchor>
  <xdr:twoCellAnchor editAs="oneCell">
    <xdr:from>
      <xdr:col>0</xdr:col>
      <xdr:colOff>0</xdr:colOff>
      <xdr:row>578</xdr:row>
      <xdr:rowOff>0</xdr:rowOff>
    </xdr:from>
    <xdr:to>
      <xdr:col>17</xdr:col>
      <xdr:colOff>827284</xdr:colOff>
      <xdr:row>601</xdr:row>
      <xdr:rowOff>85276</xdr:rowOff>
    </xdr:to>
    <xdr:pic>
      <xdr:nvPicPr>
        <xdr:cNvPr id="16" name="图片 15">
          <a:extLst>
            <a:ext uri="{FF2B5EF4-FFF2-40B4-BE49-F238E27FC236}">
              <a16:creationId xmlns:a16="http://schemas.microsoft.com/office/drawing/2014/main" xmlns="" id="{6DFEF36D-6EFC-4EE0-8EE6-11D22EFAC848}"/>
            </a:ext>
          </a:extLst>
        </xdr:cNvPr>
        <xdr:cNvPicPr>
          <a:picLocks noChangeAspect="1"/>
        </xdr:cNvPicPr>
      </xdr:nvPicPr>
      <xdr:blipFill>
        <a:blip xmlns:r="http://schemas.openxmlformats.org/officeDocument/2006/relationships" r:embed="rId15"/>
        <a:stretch>
          <a:fillRect/>
        </a:stretch>
      </xdr:blipFill>
      <xdr:spPr>
        <a:xfrm>
          <a:off x="0" y="78200250"/>
          <a:ext cx="11123809" cy="3590476"/>
        </a:xfrm>
        <a:prstGeom prst="rect">
          <a:avLst/>
        </a:prstGeom>
      </xdr:spPr>
    </xdr:pic>
    <xdr:clientData/>
  </xdr:twoCellAnchor>
  <xdr:twoCellAnchor editAs="oneCell">
    <xdr:from>
      <xdr:col>0</xdr:col>
      <xdr:colOff>0</xdr:colOff>
      <xdr:row>602</xdr:row>
      <xdr:rowOff>0</xdr:rowOff>
    </xdr:from>
    <xdr:to>
      <xdr:col>17</xdr:col>
      <xdr:colOff>798713</xdr:colOff>
      <xdr:row>627</xdr:row>
      <xdr:rowOff>75714</xdr:rowOff>
    </xdr:to>
    <xdr:pic>
      <xdr:nvPicPr>
        <xdr:cNvPr id="17" name="图片 16">
          <a:extLst>
            <a:ext uri="{FF2B5EF4-FFF2-40B4-BE49-F238E27FC236}">
              <a16:creationId xmlns:a16="http://schemas.microsoft.com/office/drawing/2014/main" xmlns="" id="{B373819A-89BD-4A6C-BE6B-FAD8D76A93AB}"/>
            </a:ext>
          </a:extLst>
        </xdr:cNvPr>
        <xdr:cNvPicPr>
          <a:picLocks noChangeAspect="1"/>
        </xdr:cNvPicPr>
      </xdr:nvPicPr>
      <xdr:blipFill>
        <a:blip xmlns:r="http://schemas.openxmlformats.org/officeDocument/2006/relationships" r:embed="rId16"/>
        <a:stretch>
          <a:fillRect/>
        </a:stretch>
      </xdr:blipFill>
      <xdr:spPr>
        <a:xfrm>
          <a:off x="0" y="81857850"/>
          <a:ext cx="11095238" cy="3885714"/>
        </a:xfrm>
        <a:prstGeom prst="rect">
          <a:avLst/>
        </a:prstGeom>
      </xdr:spPr>
    </xdr:pic>
    <xdr:clientData/>
  </xdr:twoCellAnchor>
  <xdr:twoCellAnchor editAs="oneCell">
    <xdr:from>
      <xdr:col>0</xdr:col>
      <xdr:colOff>0</xdr:colOff>
      <xdr:row>628</xdr:row>
      <xdr:rowOff>0</xdr:rowOff>
    </xdr:from>
    <xdr:to>
      <xdr:col>17</xdr:col>
      <xdr:colOff>865380</xdr:colOff>
      <xdr:row>658</xdr:row>
      <xdr:rowOff>75619</xdr:rowOff>
    </xdr:to>
    <xdr:pic>
      <xdr:nvPicPr>
        <xdr:cNvPr id="18" name="图片 17">
          <a:extLst>
            <a:ext uri="{FF2B5EF4-FFF2-40B4-BE49-F238E27FC236}">
              <a16:creationId xmlns:a16="http://schemas.microsoft.com/office/drawing/2014/main" xmlns="" id="{4AD686BF-3A68-4519-8348-B8E794D16F72}"/>
            </a:ext>
          </a:extLst>
        </xdr:cNvPr>
        <xdr:cNvPicPr>
          <a:picLocks noChangeAspect="1"/>
        </xdr:cNvPicPr>
      </xdr:nvPicPr>
      <xdr:blipFill>
        <a:blip xmlns:r="http://schemas.openxmlformats.org/officeDocument/2006/relationships" r:embed="rId17"/>
        <a:stretch>
          <a:fillRect/>
        </a:stretch>
      </xdr:blipFill>
      <xdr:spPr>
        <a:xfrm>
          <a:off x="0" y="85820250"/>
          <a:ext cx="11161905" cy="4647619"/>
        </a:xfrm>
        <a:prstGeom prst="rect">
          <a:avLst/>
        </a:prstGeom>
      </xdr:spPr>
    </xdr:pic>
    <xdr:clientData/>
  </xdr:twoCellAnchor>
  <xdr:twoCellAnchor editAs="oneCell">
    <xdr:from>
      <xdr:col>0</xdr:col>
      <xdr:colOff>0</xdr:colOff>
      <xdr:row>659</xdr:row>
      <xdr:rowOff>0</xdr:rowOff>
    </xdr:from>
    <xdr:to>
      <xdr:col>17</xdr:col>
      <xdr:colOff>817761</xdr:colOff>
      <xdr:row>676</xdr:row>
      <xdr:rowOff>56819</xdr:rowOff>
    </xdr:to>
    <xdr:pic>
      <xdr:nvPicPr>
        <xdr:cNvPr id="19" name="图片 18">
          <a:extLst>
            <a:ext uri="{FF2B5EF4-FFF2-40B4-BE49-F238E27FC236}">
              <a16:creationId xmlns:a16="http://schemas.microsoft.com/office/drawing/2014/main" xmlns="" id="{EB7C209B-8875-4A0F-B6B7-D1CE73FBDC32}"/>
            </a:ext>
          </a:extLst>
        </xdr:cNvPr>
        <xdr:cNvPicPr>
          <a:picLocks noChangeAspect="1"/>
        </xdr:cNvPicPr>
      </xdr:nvPicPr>
      <xdr:blipFill>
        <a:blip xmlns:r="http://schemas.openxmlformats.org/officeDocument/2006/relationships" r:embed="rId18"/>
        <a:stretch>
          <a:fillRect/>
        </a:stretch>
      </xdr:blipFill>
      <xdr:spPr>
        <a:xfrm>
          <a:off x="0" y="90544650"/>
          <a:ext cx="11114286" cy="2647619"/>
        </a:xfrm>
        <a:prstGeom prst="rect">
          <a:avLst/>
        </a:prstGeom>
      </xdr:spPr>
    </xdr:pic>
    <xdr:clientData/>
  </xdr:twoCellAnchor>
  <xdr:twoCellAnchor editAs="oneCell">
    <xdr:from>
      <xdr:col>0</xdr:col>
      <xdr:colOff>0</xdr:colOff>
      <xdr:row>676</xdr:row>
      <xdr:rowOff>0</xdr:rowOff>
    </xdr:from>
    <xdr:to>
      <xdr:col>17</xdr:col>
      <xdr:colOff>922522</xdr:colOff>
      <xdr:row>705</xdr:row>
      <xdr:rowOff>47067</xdr:rowOff>
    </xdr:to>
    <xdr:pic>
      <xdr:nvPicPr>
        <xdr:cNvPr id="20" name="图片 19">
          <a:extLst>
            <a:ext uri="{FF2B5EF4-FFF2-40B4-BE49-F238E27FC236}">
              <a16:creationId xmlns:a16="http://schemas.microsoft.com/office/drawing/2014/main" xmlns="" id="{F43069D9-615D-4F0B-A1F6-694606D882FB}"/>
            </a:ext>
          </a:extLst>
        </xdr:cNvPr>
        <xdr:cNvPicPr>
          <a:picLocks noChangeAspect="1"/>
        </xdr:cNvPicPr>
      </xdr:nvPicPr>
      <xdr:blipFill>
        <a:blip xmlns:r="http://schemas.openxmlformats.org/officeDocument/2006/relationships" r:embed="rId19"/>
        <a:stretch>
          <a:fillRect/>
        </a:stretch>
      </xdr:blipFill>
      <xdr:spPr>
        <a:xfrm>
          <a:off x="0" y="93135450"/>
          <a:ext cx="11219047" cy="4466667"/>
        </a:xfrm>
        <a:prstGeom prst="rect">
          <a:avLst/>
        </a:prstGeom>
      </xdr:spPr>
    </xdr:pic>
    <xdr:clientData/>
  </xdr:twoCellAnchor>
  <xdr:twoCellAnchor editAs="oneCell">
    <xdr:from>
      <xdr:col>0</xdr:col>
      <xdr:colOff>0</xdr:colOff>
      <xdr:row>95</xdr:row>
      <xdr:rowOff>0</xdr:rowOff>
    </xdr:from>
    <xdr:to>
      <xdr:col>14</xdr:col>
      <xdr:colOff>1008452</xdr:colOff>
      <xdr:row>129</xdr:row>
      <xdr:rowOff>66019</xdr:rowOff>
    </xdr:to>
    <xdr:pic>
      <xdr:nvPicPr>
        <xdr:cNvPr id="21" name="图片 20">
          <a:extLst>
            <a:ext uri="{FF2B5EF4-FFF2-40B4-BE49-F238E27FC236}">
              <a16:creationId xmlns:a16="http://schemas.microsoft.com/office/drawing/2014/main" xmlns="" id="{BADB98F2-0383-B748-BEF0-551348CC9D6D}"/>
            </a:ext>
          </a:extLst>
        </xdr:cNvPr>
        <xdr:cNvPicPr>
          <a:picLocks noChangeAspect="1"/>
        </xdr:cNvPicPr>
      </xdr:nvPicPr>
      <xdr:blipFill>
        <a:blip xmlns:r="http://schemas.openxmlformats.org/officeDocument/2006/relationships" r:embed="rId20"/>
        <a:stretch>
          <a:fillRect/>
        </a:stretch>
      </xdr:blipFill>
      <xdr:spPr>
        <a:xfrm>
          <a:off x="0" y="4591050"/>
          <a:ext cx="9580952"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7721;&#23041;&#22269;&#38469;&#24191;&#22330;&#22235;&#21306;-&#20108;&#23457;42&#20159;-&#21556;&#38634;20221128-1518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收益法-地下车库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8">
          <cell r="C18">
            <v>0</v>
          </cell>
        </row>
        <row r="19">
          <cell r="C19" t="str">
            <v>办公-研发楼</v>
          </cell>
        </row>
        <row r="20">
          <cell r="C20" t="str">
            <v>地下车库</v>
          </cell>
        </row>
        <row r="21">
          <cell r="C21">
            <v>0</v>
          </cell>
        </row>
        <row r="22">
          <cell r="C22">
            <v>0</v>
          </cell>
        </row>
        <row r="23">
          <cell r="C23">
            <v>0</v>
          </cell>
        </row>
        <row r="24">
          <cell r="C24">
            <v>0</v>
          </cell>
        </row>
        <row r="25">
          <cell r="C25">
            <v>0</v>
          </cell>
        </row>
        <row r="26">
          <cell r="C26">
            <v>0</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研发、办公</v>
          </cell>
          <cell r="D74" t="str">
            <v>商业、办公</v>
          </cell>
          <cell r="E74">
            <v>0</v>
          </cell>
          <cell r="F74">
            <v>0</v>
          </cell>
          <cell r="G74">
            <v>0</v>
          </cell>
          <cell r="H74">
            <v>0</v>
          </cell>
          <cell r="I74">
            <v>0</v>
          </cell>
          <cell r="J74">
            <v>0</v>
          </cell>
          <cell r="K74">
            <v>0</v>
          </cell>
          <cell r="L74">
            <v>0</v>
          </cell>
          <cell r="M74">
            <v>0</v>
          </cell>
        </row>
        <row r="105">
          <cell r="B105" t="str">
            <v>毗邻道路的类型与等级</v>
          </cell>
          <cell r="C105" t="str">
            <v>城市快速路</v>
          </cell>
          <cell r="D105" t="str">
            <v>主干道</v>
          </cell>
          <cell r="E105" t="str">
            <v>次干道</v>
          </cell>
          <cell r="F105" t="str">
            <v>支路</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一般</v>
          </cell>
          <cell r="F118" t="str">
            <v>较不规则</v>
          </cell>
          <cell r="G118" t="str">
            <v>不规则</v>
          </cell>
          <cell r="H118">
            <v>0</v>
          </cell>
          <cell r="I118">
            <v>0</v>
          </cell>
          <cell r="J118">
            <v>0</v>
          </cell>
          <cell r="K118">
            <v>0</v>
          </cell>
          <cell r="L118">
            <v>0</v>
          </cell>
          <cell r="M118">
            <v>0</v>
          </cell>
        </row>
        <row r="120">
          <cell r="B120" t="str">
            <v>临街宽度及深度</v>
          </cell>
          <cell r="C120" t="str">
            <v>较合适</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5"/>
      <sheetData sheetId="26"/>
      <sheetData sheetId="27"/>
      <sheetData sheetId="28"/>
      <sheetData sheetId="29"/>
      <sheetData sheetId="30"/>
      <sheetData sheetId="31"/>
      <sheetData sheetId="32"/>
      <sheetData sheetId="33"/>
      <sheetData sheetId="34"/>
      <sheetData sheetId="3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1">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4"/>
      <sheetData sheetId="45"/>
      <sheetData sheetId="46"/>
      <sheetData sheetId="4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6/6Kpu"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北京市丰台区南四环西路186号一区1号楼-4至7层01房地产抵押价值预评估</v>
      </c>
    </row>
    <row r="3" spans="1:2" s="1199" customFormat="1">
      <c r="A3" s="1197" t="s">
        <v>523</v>
      </c>
      <c r="B3" s="1198" t="str">
        <f>'预评函-封皮'!B40</f>
        <v>交通银行</v>
      </c>
    </row>
    <row r="4" spans="1:2" s="1199" customFormat="1">
      <c r="A4" s="1197" t="s">
        <v>524</v>
      </c>
      <c r="B4" s="1198" t="str">
        <f ca="1">'预评函-封皮'!B46</f>
        <v>郑燚（注册号：1120070131)、吴薇（注册号：1419970001)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受贵公司委托，我公司对北京市丰台区南四环西路186号一区1号楼-4至7层01房地产抵押价值进行了预评估。</v>
      </c>
    </row>
    <row r="7" spans="1:2" s="1199" customFormat="1">
      <c r="A7" s="1197" t="s">
        <v>566</v>
      </c>
      <c r="B7" s="1198" t="str">
        <f>'预评函-1'!A7</f>
        <v>估价对象为北京市丰台区南四环西路186号一区1号楼-4至7层01房地产，为所有。根据《不动产权证书》[]，估价对象（分摊）出让国有建设用地使用权面积为23586.72平方米，建筑面积为103096.2平方米。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丰台区南四环西路186号一区1号楼-4至7层01房地产,为开发建设的工业项目，该项目尚在开发建设中。根据《不动产权证书》[]，估价对象（分摊）出让国有建设用地使用权面积为23586.72平方米，规划建筑面积为103096.2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2023年3月7日（评估专业人员实地查勘之日）</v>
      </c>
    </row>
    <row r="13" spans="1:2" s="1199" customFormat="1">
      <c r="A13" s="1197" t="s">
        <v>529</v>
      </c>
      <c r="B13" s="1198"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300687</v>
      </c>
    </row>
    <row r="21" spans="1:2" s="1199" customFormat="1">
      <c r="A21" s="1197" t="s">
        <v>537</v>
      </c>
      <c r="B21" s="1198">
        <f ca="1">'预评函-2'!D7</f>
        <v>29166</v>
      </c>
    </row>
    <row r="22" spans="1:2" s="1199" customFormat="1">
      <c r="A22" s="1197" t="s">
        <v>538</v>
      </c>
      <c r="B22" s="1198" t="str">
        <f ca="1">'预评函-2'!D6</f>
        <v>叁拾亿零陆佰捌拾柒万元整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300687</v>
      </c>
    </row>
    <row r="31" spans="1:2" s="1199" customFormat="1">
      <c r="A31" s="1197" t="s">
        <v>576</v>
      </c>
      <c r="B31" s="1198">
        <f ca="1">'预评函-2'!D15</f>
        <v>29166</v>
      </c>
    </row>
    <row r="32" spans="1:2" s="1199" customFormat="1">
      <c r="A32" s="1197" t="s">
        <v>543</v>
      </c>
      <c r="B32" s="1198" t="str">
        <f ca="1">'预评函-2'!D14</f>
        <v>叁拾亿零陆佰捌拾柒万元整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北京市丰台区南四环西路186号一区1号楼-4至7层01房地产</v>
      </c>
    </row>
    <row r="42" spans="1:2" s="1199" customFormat="1">
      <c r="A42" s="1197" t="s">
        <v>590</v>
      </c>
      <c r="B42" s="1198" t="str">
        <f>'预评函-3'!B2</f>
        <v>建筑面积</v>
      </c>
    </row>
    <row r="43" spans="1:2" s="1199" customFormat="1">
      <c r="A43" s="1197" t="s">
        <v>591</v>
      </c>
      <c r="B43" s="1198">
        <f>'预评函-3'!B4</f>
        <v>103096.20000000001</v>
      </c>
    </row>
    <row r="44" spans="1:2" s="1199" customFormat="1">
      <c r="A44" s="1197" t="s">
        <v>575</v>
      </c>
      <c r="B44" s="1198" t="str">
        <f>'预评函-3'!C2</f>
        <v>(分摊)土地面积</v>
      </c>
    </row>
    <row r="45" spans="1:2" s="1199" customFormat="1">
      <c r="A45" s="1197" t="s">
        <v>547</v>
      </c>
      <c r="B45" s="1198">
        <f>'预评函-3'!C4</f>
        <v>23586.720000000001</v>
      </c>
    </row>
    <row r="46" spans="1:2" s="1199" customFormat="1">
      <c r="A46" s="1197" t="s">
        <v>573</v>
      </c>
      <c r="B46" s="1198" t="str">
        <f>'预评函-3'!D2</f>
        <v>出让国有建设用地使用权价值</v>
      </c>
    </row>
    <row r="47" spans="1:2" s="1199" customFormat="1">
      <c r="A47" s="1197" t="s">
        <v>548</v>
      </c>
      <c r="B47" s="1198">
        <f ca="1">'预评函-3'!D4</f>
        <v>166881</v>
      </c>
    </row>
    <row r="48" spans="1:2" s="1199" customFormat="1">
      <c r="A48" s="1197" t="s">
        <v>549</v>
      </c>
      <c r="B48" s="1198">
        <f ca="1">'预评函-3'!E4</f>
        <v>16187</v>
      </c>
    </row>
    <row r="49" spans="1:2" s="1199" customFormat="1">
      <c r="A49" s="1197" t="s">
        <v>550</v>
      </c>
      <c r="B49" s="1198" t="str">
        <f ca="1">'预评函-3'!D5</f>
        <v>壹拾陆亿陆仟捌佰捌拾壹万元整</v>
      </c>
    </row>
    <row r="50" spans="1:2" s="1199" customFormat="1">
      <c r="A50" s="1197" t="s">
        <v>574</v>
      </c>
      <c r="B50" s="1198" t="str">
        <f>'预评函-3'!F2</f>
        <v>在建建筑物价值</v>
      </c>
    </row>
    <row r="51" spans="1:2" s="1199" customFormat="1">
      <c r="A51" s="1197" t="s">
        <v>551</v>
      </c>
      <c r="B51" s="1198">
        <f ca="1">'预评函-3'!F4</f>
        <v>133806</v>
      </c>
    </row>
    <row r="52" spans="1:2" s="1199" customFormat="1">
      <c r="A52" s="1197" t="s">
        <v>552</v>
      </c>
      <c r="B52" s="1198">
        <f ca="1">'预评函-3'!G4</f>
        <v>12979</v>
      </c>
    </row>
    <row r="53" spans="1:2" s="1199" customFormat="1">
      <c r="A53" s="1197" t="s">
        <v>580</v>
      </c>
      <c r="B53" s="1198" t="str">
        <f ca="1">'预评函-3'!F5</f>
        <v>壹拾叁亿叁仟捌佰零陆万元整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吴薇</v>
      </c>
    </row>
    <row r="73" spans="1:2" s="1193" customFormat="1" ht="15" thickBot="1">
      <c r="A73" s="1200" t="s">
        <v>565</v>
      </c>
      <c r="B73" s="1201">
        <f ca="1">'预评函-4'!B5</f>
        <v>1419970001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3343</v>
      </c>
    </row>
    <row r="8" spans="1:23">
      <c r="A8" s="1542" t="s">
        <v>1026</v>
      </c>
      <c r="B8" s="1542" t="s">
        <v>1027</v>
      </c>
      <c r="C8" s="1543" t="s">
        <v>319</v>
      </c>
      <c r="F8" s="1544" t="s">
        <v>1028</v>
      </c>
      <c r="H8" s="1544" t="s">
        <v>2574</v>
      </c>
      <c r="I8" s="1544" t="s">
        <v>3344</v>
      </c>
    </row>
    <row r="9" spans="1:23">
      <c r="A9" s="1542" t="s">
        <v>1029</v>
      </c>
      <c r="B9" s="1542" t="s">
        <v>1030</v>
      </c>
      <c r="C9" s="1543" t="s">
        <v>320</v>
      </c>
      <c r="F9" s="1544" t="s">
        <v>1031</v>
      </c>
      <c r="H9" s="1544"/>
      <c r="I9" s="1547" t="s">
        <v>3345</v>
      </c>
    </row>
    <row r="10" spans="1:23">
      <c r="A10" s="1542" t="s">
        <v>1032</v>
      </c>
      <c r="B10" s="1542" t="s">
        <v>1033</v>
      </c>
      <c r="C10" s="1543" t="s">
        <v>321</v>
      </c>
      <c r="F10" s="1544" t="s">
        <v>2575</v>
      </c>
      <c r="I10" s="1547" t="s">
        <v>3346</v>
      </c>
    </row>
    <row r="11" spans="1:23">
      <c r="A11" s="1542" t="s">
        <v>1034</v>
      </c>
      <c r="B11" s="1542" t="s">
        <v>1035</v>
      </c>
      <c r="C11" s="1543" t="s">
        <v>322</v>
      </c>
      <c r="F11" s="1544" t="s">
        <v>13</v>
      </c>
      <c r="I11" s="1547" t="s">
        <v>3347</v>
      </c>
    </row>
    <row r="12" spans="1:23">
      <c r="A12" s="1542" t="s">
        <v>1036</v>
      </c>
      <c r="B12" s="1542" t="s">
        <v>1037</v>
      </c>
      <c r="C12" s="1543" t="s">
        <v>323</v>
      </c>
      <c r="I12" s="1547" t="s">
        <v>3348</v>
      </c>
    </row>
    <row r="13" spans="1:23">
      <c r="A13" s="1542" t="s">
        <v>1038</v>
      </c>
      <c r="B13" s="1542" t="s">
        <v>1039</v>
      </c>
      <c r="C13" s="1543" t="s">
        <v>324</v>
      </c>
      <c r="I13" s="1547" t="s">
        <v>3349</v>
      </c>
    </row>
    <row r="14" spans="1:23">
      <c r="A14" s="1542" t="s">
        <v>1040</v>
      </c>
      <c r="B14" s="1542" t="s">
        <v>1041</v>
      </c>
      <c r="C14" s="1544" t="s">
        <v>13</v>
      </c>
      <c r="I14" s="1547" t="s">
        <v>3350</v>
      </c>
    </row>
    <row r="15" spans="1:23">
      <c r="A15" s="1542" t="s">
        <v>1042</v>
      </c>
      <c r="B15" s="1542" t="s">
        <v>1043</v>
      </c>
      <c r="C15" s="1543"/>
      <c r="I15" s="1547" t="s">
        <v>3351</v>
      </c>
    </row>
    <row r="16" spans="1:23">
      <c r="A16" s="1542" t="s">
        <v>1044</v>
      </c>
      <c r="B16" s="1542" t="s">
        <v>312</v>
      </c>
      <c r="C16" s="1543"/>
    </row>
    <row r="17" spans="1:3">
      <c r="A17" s="1542" t="s">
        <v>1045</v>
      </c>
      <c r="B17" s="1542" t="s">
        <v>2287</v>
      </c>
      <c r="C17" s="1543"/>
    </row>
    <row r="18" spans="1:3">
      <c r="A18" s="1542" t="s">
        <v>1046</v>
      </c>
      <c r="B18" s="1542" t="s">
        <v>2430</v>
      </c>
      <c r="C18" s="1543"/>
    </row>
    <row r="19" spans="1:3">
      <c r="A19" s="1542" t="s">
        <v>1047</v>
      </c>
      <c r="B19" s="1542" t="s">
        <v>313</v>
      </c>
      <c r="C19" s="1543"/>
    </row>
    <row r="20" spans="1:3">
      <c r="A20" s="1542" t="s">
        <v>1048</v>
      </c>
      <c r="B20" s="1542" t="s">
        <v>3889</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5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0" t="s">
        <v>385</v>
      </c>
      <c r="C54" s="1547" t="s">
        <v>583</v>
      </c>
    </row>
    <row r="55" spans="1:4">
      <c r="A55" s="3558"/>
      <c r="B55" s="1550" t="s">
        <v>386</v>
      </c>
      <c r="C55" s="1547" t="s">
        <v>584</v>
      </c>
    </row>
    <row r="56" spans="1:4">
      <c r="A56" s="3558"/>
      <c r="B56" s="1550" t="s">
        <v>387</v>
      </c>
      <c r="C56" s="1547" t="s">
        <v>588</v>
      </c>
    </row>
    <row r="57" spans="1:4">
      <c r="A57" s="355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2497</v>
      </c>
      <c r="B1" s="3004"/>
      <c r="C1" s="3004"/>
      <c r="D1" s="3004"/>
      <c r="E1" s="3004"/>
      <c r="F1" s="3005"/>
      <c r="I1" s="3427" t="s">
        <v>2590</v>
      </c>
      <c r="J1" s="3216"/>
      <c r="K1" s="3216"/>
      <c r="L1" s="3216"/>
      <c r="M1" s="3216"/>
      <c r="N1" s="3428"/>
      <c r="O1" s="3428"/>
      <c r="P1" s="3428"/>
      <c r="Q1" s="3428"/>
      <c r="R1" s="3428"/>
    </row>
    <row r="2" spans="1:18">
      <c r="A2" s="3007"/>
      <c r="B2" s="3008"/>
      <c r="C2" s="3008"/>
      <c r="D2" s="3008"/>
      <c r="E2" s="3008"/>
      <c r="F2" s="3009"/>
      <c r="I2" s="3559" t="s">
        <v>2577</v>
      </c>
      <c r="J2" s="3559"/>
      <c r="K2" s="3559"/>
      <c r="L2" s="3559"/>
      <c r="M2" s="3559"/>
      <c r="N2" s="3559"/>
      <c r="O2" s="3559"/>
      <c r="P2" s="3559"/>
      <c r="Q2" s="3559"/>
      <c r="R2" s="3559"/>
    </row>
    <row r="3" spans="1:18">
      <c r="A3" s="3010" t="s">
        <v>2498</v>
      </c>
      <c r="B3" s="3011">
        <f>项目基本情况!D3</f>
        <v>44992</v>
      </c>
      <c r="C3" s="3013"/>
      <c r="D3" s="3013"/>
      <c r="E3" s="3013"/>
      <c r="F3" s="3009"/>
      <c r="I3" s="3429"/>
      <c r="J3" s="3429" t="s">
        <v>2581</v>
      </c>
      <c r="K3" s="3429" t="s">
        <v>2582</v>
      </c>
      <c r="L3" s="3429" t="s">
        <v>2583</v>
      </c>
      <c r="M3" s="3429" t="s">
        <v>2584</v>
      </c>
      <c r="N3" s="3430" t="s">
        <v>2585</v>
      </c>
      <c r="O3" s="3430" t="s">
        <v>2586</v>
      </c>
      <c r="P3" s="3430" t="s">
        <v>2587</v>
      </c>
      <c r="Q3" s="3430" t="s">
        <v>2588</v>
      </c>
      <c r="R3" s="3430" t="s">
        <v>2589</v>
      </c>
    </row>
    <row r="4" spans="1:18">
      <c r="A4" s="3010" t="s">
        <v>2499</v>
      </c>
      <c r="B4" s="3013" t="s">
        <v>2500</v>
      </c>
      <c r="C4" s="3013" t="s">
        <v>2501</v>
      </c>
      <c r="D4" s="3013" t="s">
        <v>2502</v>
      </c>
      <c r="E4" s="3013" t="s">
        <v>2503</v>
      </c>
      <c r="F4" s="3009"/>
      <c r="I4" s="3429" t="s">
        <v>2578</v>
      </c>
      <c r="J4" s="3429">
        <v>80</v>
      </c>
      <c r="K4" s="3429">
        <v>70</v>
      </c>
      <c r="L4" s="3429">
        <v>20</v>
      </c>
      <c r="M4" s="3429">
        <v>30</v>
      </c>
      <c r="N4" s="3013">
        <v>45</v>
      </c>
      <c r="O4" s="3013">
        <v>60</v>
      </c>
      <c r="P4" s="3013">
        <v>50</v>
      </c>
      <c r="Q4" s="3013">
        <v>20</v>
      </c>
      <c r="R4" s="3013">
        <v>375</v>
      </c>
    </row>
    <row r="5" spans="1:18">
      <c r="A5" s="3014">
        <v>40</v>
      </c>
      <c r="B5" s="3011">
        <v>46375</v>
      </c>
      <c r="C5" s="3013">
        <f>ROUNDDOWN(MIN((B5-B3)/365,A5),2)</f>
        <v>3.78</v>
      </c>
      <c r="D5" s="3015">
        <f>IF(ISERROR(ROUND(POWER(1+E5,A5-C5)*(POWER(1+E5,C5)-1)/(POWER(1+E5,A5)-1),3)),0,ROUND(POWER(1+E5,A5-C5)*(POWER(1+E5,C5)-1)/(POWER(1+E5,A5)-1),4))</f>
        <v>0.17399999999999999</v>
      </c>
      <c r="E5" s="3016">
        <v>0.04</v>
      </c>
      <c r="F5" s="3009"/>
      <c r="I5" s="3429" t="s">
        <v>2579</v>
      </c>
      <c r="J5" s="3429">
        <v>70</v>
      </c>
      <c r="K5" s="3429">
        <v>60</v>
      </c>
      <c r="L5" s="3429">
        <v>15</v>
      </c>
      <c r="M5" s="3429">
        <v>25</v>
      </c>
      <c r="N5" s="3013">
        <v>40</v>
      </c>
      <c r="O5" s="3013">
        <v>50</v>
      </c>
      <c r="P5" s="3013">
        <v>40</v>
      </c>
      <c r="Q5" s="3013">
        <v>15</v>
      </c>
      <c r="R5" s="3013">
        <v>315</v>
      </c>
    </row>
    <row r="6" spans="1:18">
      <c r="A6" s="3014">
        <v>50</v>
      </c>
      <c r="B6" s="3011">
        <v>50028</v>
      </c>
      <c r="C6" s="3013">
        <f>ROUNDDOWN(MIN((B6-B3)/365,A6),2)</f>
        <v>13.79</v>
      </c>
      <c r="D6" s="3015">
        <f>IF(ISERROR(ROUND(POWER(1+E6,A6-C6)*(POWER(1+E6,C6)-1)/(POWER(1+E6,A6)-1),3)),0,ROUND(POWER(1+E6,A6-C6)*(POWER(1+E6,C6)-1)/(POWER(1+E6,A6)-1),4))</f>
        <v>0.48620000000000002</v>
      </c>
      <c r="E6" s="3016">
        <v>0.04</v>
      </c>
      <c r="F6" s="3009"/>
      <c r="I6" s="3429" t="s">
        <v>2580</v>
      </c>
      <c r="J6" s="3429">
        <v>60</v>
      </c>
      <c r="K6" s="3429">
        <v>50</v>
      </c>
      <c r="L6" s="3429">
        <v>10</v>
      </c>
      <c r="M6" s="3429">
        <v>20</v>
      </c>
      <c r="N6" s="3013">
        <v>35</v>
      </c>
      <c r="O6" s="3013">
        <v>40</v>
      </c>
      <c r="P6" s="3013">
        <v>30</v>
      </c>
      <c r="Q6" s="3013">
        <v>10</v>
      </c>
      <c r="R6" s="3013">
        <v>255</v>
      </c>
    </row>
    <row r="7" spans="1:18">
      <c r="A7" s="3014">
        <v>70</v>
      </c>
      <c r="B7" s="3011">
        <v>57333</v>
      </c>
      <c r="C7" s="3013">
        <f>ROUNDDOWN(MIN((B7-B3)/365,A7),2)</f>
        <v>33.81</v>
      </c>
      <c r="D7" s="3015">
        <f>IF(ISERROR(ROUND(POWER(1+E7,A7-C7)*(POWER(1+E7,C7)-1)/(POWER(1+E7,A7)-1),3)),0,ROUND(POWER(1+E7,A7-C7)*(POWER(1+E7,C7)-1)/(POWER(1+E7,A7)-1),4))</f>
        <v>0.78490000000000004</v>
      </c>
      <c r="E7" s="3016">
        <v>0.04</v>
      </c>
      <c r="F7" s="3009"/>
    </row>
    <row r="8" spans="1:18">
      <c r="A8" s="3007"/>
      <c r="B8" s="3008"/>
      <c r="C8" s="3008"/>
      <c r="D8" s="3008"/>
      <c r="E8" s="3008"/>
      <c r="F8" s="3009"/>
    </row>
    <row r="9" spans="1:18">
      <c r="A9" s="3010" t="s">
        <v>2504</v>
      </c>
      <c r="B9" s="3013"/>
      <c r="C9" s="3013"/>
      <c r="D9" s="3013"/>
      <c r="E9" s="3013"/>
      <c r="F9" s="3017"/>
    </row>
    <row r="10" spans="1:18">
      <c r="A10" s="3010" t="s">
        <v>2505</v>
      </c>
      <c r="B10" s="3013"/>
      <c r="C10" s="3013"/>
      <c r="D10" s="3013" t="s">
        <v>2503</v>
      </c>
      <c r="E10" s="3013"/>
      <c r="F10" s="3017" t="s">
        <v>2502</v>
      </c>
    </row>
    <row r="11" spans="1:18">
      <c r="A11" s="3010" t="s">
        <v>2506</v>
      </c>
      <c r="B11" s="3018">
        <v>70</v>
      </c>
      <c r="C11" s="3013" t="s">
        <v>2507</v>
      </c>
      <c r="D11" s="3019">
        <v>4.4999999999999998E-2</v>
      </c>
      <c r="E11" s="3013" t="s">
        <v>2508</v>
      </c>
      <c r="F11" s="3020">
        <f>ROUND(1-(1/(POWER(1+D11,B11))),4)</f>
        <v>0.95409999999999995</v>
      </c>
    </row>
    <row r="12" spans="1:18">
      <c r="A12" s="3010" t="s">
        <v>2509</v>
      </c>
      <c r="B12" s="3018">
        <v>40</v>
      </c>
      <c r="C12" s="3013" t="s">
        <v>2510</v>
      </c>
      <c r="D12" s="3019">
        <v>4.4999999999999998E-2</v>
      </c>
      <c r="E12" s="3013" t="s">
        <v>2511</v>
      </c>
      <c r="F12" s="3020">
        <f>ROUND(1-(1/(POWER(1+D12,B12))),4)</f>
        <v>0.82809999999999995</v>
      </c>
    </row>
    <row r="13" spans="1:18">
      <c r="A13" s="3010" t="s">
        <v>2512</v>
      </c>
      <c r="B13" s="3013"/>
      <c r="C13" s="3013"/>
      <c r="D13" s="3008"/>
      <c r="E13" s="3008"/>
      <c r="F13" s="3009"/>
    </row>
    <row r="14" spans="1:18">
      <c r="A14" s="3010" t="s">
        <v>2513</v>
      </c>
      <c r="B14" s="3018">
        <v>5000</v>
      </c>
      <c r="C14" s="3012"/>
      <c r="D14" s="3008"/>
      <c r="E14" s="3008"/>
      <c r="F14" s="3009"/>
    </row>
    <row r="15" spans="1:18">
      <c r="A15" s="3010" t="s">
        <v>2514</v>
      </c>
      <c r="B15" s="3013">
        <f>ROUND(B14*F12/F11,2)</f>
        <v>4339.6899999999996</v>
      </c>
      <c r="C15" s="3013">
        <f>ROUND(F12/F11,4)</f>
        <v>0.8679</v>
      </c>
      <c r="D15" s="3008"/>
      <c r="E15" s="3008"/>
      <c r="F15" s="3009"/>
    </row>
    <row r="16" spans="1:18">
      <c r="A16" s="3010" t="s">
        <v>2515</v>
      </c>
      <c r="B16" s="3013"/>
      <c r="C16" s="3013"/>
      <c r="D16" s="3008"/>
      <c r="E16" s="3008"/>
      <c r="F16" s="3009"/>
    </row>
    <row r="17" spans="1:13">
      <c r="A17" s="3010" t="s">
        <v>2514</v>
      </c>
      <c r="B17" s="3019">
        <v>4810</v>
      </c>
      <c r="C17" s="3012"/>
      <c r="D17" s="3008"/>
      <c r="E17" s="3008"/>
      <c r="F17" s="3009"/>
    </row>
    <row r="18" spans="1:13" ht="14.25" thickBot="1">
      <c r="A18" s="3021" t="s">
        <v>2513</v>
      </c>
      <c r="B18" s="3022">
        <f>ROUND(B17*F11/F12,2)</f>
        <v>5541.87</v>
      </c>
      <c r="C18" s="3022">
        <f>ROUND(F11/F12,4)</f>
        <v>1.1521999999999999</v>
      </c>
      <c r="D18" s="3023"/>
      <c r="E18" s="3023"/>
      <c r="F18" s="3024"/>
    </row>
    <row r="19" spans="1:13" ht="14.25" thickBot="1"/>
    <row r="20" spans="1:13" s="3059" customFormat="1" ht="14.25" thickTop="1">
      <c r="A20" s="3056" t="s">
        <v>2516</v>
      </c>
      <c r="B20" s="3057"/>
      <c r="C20" s="3057"/>
      <c r="D20" s="3057"/>
      <c r="E20" s="3057"/>
      <c r="F20" s="3057"/>
      <c r="G20" s="3058"/>
      <c r="I20" s="3060" t="s">
        <v>2561</v>
      </c>
      <c r="J20" s="3060" t="s">
        <v>2566</v>
      </c>
      <c r="K20" s="3060"/>
      <c r="L20" s="3060"/>
      <c r="M20" s="3060"/>
    </row>
    <row r="21" spans="1:13">
      <c r="A21" s="3025"/>
      <c r="B21" s="3026" t="s">
        <v>2517</v>
      </c>
      <c r="C21" s="3026" t="s">
        <v>2518</v>
      </c>
      <c r="D21" s="3026" t="s">
        <v>2519</v>
      </c>
      <c r="E21" s="3026" t="s">
        <v>2520</v>
      </c>
      <c r="F21" s="3026" t="s">
        <v>2521</v>
      </c>
      <c r="G21" s="3027" t="s">
        <v>2522</v>
      </c>
      <c r="I21" s="3048">
        <v>5</v>
      </c>
      <c r="J21" s="3048">
        <v>54.2</v>
      </c>
    </row>
    <row r="22" spans="1:13">
      <c r="A22" s="3025" t="s">
        <v>2523</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2524</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2564</v>
      </c>
      <c r="M23" s="3048" t="s">
        <v>2565</v>
      </c>
    </row>
    <row r="24" spans="1:13">
      <c r="A24" s="3025" t="s">
        <v>2525</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2563</v>
      </c>
      <c r="M24" s="3048">
        <v>10</v>
      </c>
    </row>
    <row r="25" spans="1:13">
      <c r="A25" s="3025" t="s">
        <v>2526</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2567</v>
      </c>
      <c r="M25" s="3048">
        <v>8</v>
      </c>
    </row>
    <row r="26" spans="1:13">
      <c r="A26" s="3030"/>
      <c r="B26" s="3031"/>
      <c r="C26" s="3031"/>
      <c r="D26" s="3031"/>
      <c r="E26" s="3031"/>
      <c r="F26" s="3031"/>
      <c r="G26" s="3032"/>
      <c r="I26" s="3048">
        <v>30</v>
      </c>
      <c r="J26" s="3048">
        <v>90.5</v>
      </c>
      <c r="K26" s="3048">
        <f t="shared" si="2"/>
        <v>4.2000000000000028</v>
      </c>
      <c r="L26" s="3048" t="s">
        <v>2568</v>
      </c>
      <c r="M26" s="3048">
        <v>5</v>
      </c>
    </row>
    <row r="27" spans="1:13">
      <c r="A27" s="3030" t="s">
        <v>2527</v>
      </c>
      <c r="B27" s="3031"/>
      <c r="C27" s="3031"/>
      <c r="D27" s="3031"/>
      <c r="E27" s="3031"/>
      <c r="F27" s="3031"/>
      <c r="G27" s="3032"/>
      <c r="I27" s="3048">
        <v>35</v>
      </c>
      <c r="J27" s="3048">
        <v>93.8</v>
      </c>
      <c r="K27" s="3048">
        <f t="shared" si="2"/>
        <v>3.2999999999999972</v>
      </c>
      <c r="L27" s="3048" t="s">
        <v>2569</v>
      </c>
      <c r="M27" s="3048">
        <v>3</v>
      </c>
    </row>
    <row r="28" spans="1:13">
      <c r="A28" s="3030" t="s">
        <v>2528</v>
      </c>
      <c r="B28" s="3031"/>
      <c r="C28" s="3031"/>
      <c r="D28" s="3031"/>
      <c r="E28" s="3031"/>
      <c r="F28" s="3031"/>
      <c r="G28" s="3032"/>
      <c r="I28" s="3048">
        <v>40</v>
      </c>
      <c r="J28" s="3048">
        <v>96.4</v>
      </c>
      <c r="K28" s="3048">
        <f t="shared" si="2"/>
        <v>2.6000000000000085</v>
      </c>
      <c r="L28" s="3048" t="s">
        <v>2570</v>
      </c>
      <c r="M28" s="3048">
        <v>2</v>
      </c>
    </row>
    <row r="29" spans="1:13">
      <c r="A29" s="3030" t="s">
        <v>2529</v>
      </c>
      <c r="B29" s="3031"/>
      <c r="C29" s="3031"/>
      <c r="D29" s="3031"/>
      <c r="E29" s="3031"/>
      <c r="F29" s="3031"/>
      <c r="G29" s="3032"/>
      <c r="I29" s="3048">
        <v>45</v>
      </c>
      <c r="J29" s="3048">
        <v>98.4</v>
      </c>
      <c r="K29" s="3048">
        <f t="shared" si="2"/>
        <v>2</v>
      </c>
    </row>
    <row r="30" spans="1:13">
      <c r="A30" s="3030" t="s">
        <v>2530</v>
      </c>
      <c r="B30" s="3031"/>
      <c r="C30" s="3031"/>
      <c r="D30" s="3031"/>
      <c r="E30" s="3031"/>
      <c r="F30" s="3031"/>
      <c r="G30" s="3032"/>
      <c r="I30" s="3048">
        <v>50</v>
      </c>
      <c r="J30" s="3048">
        <v>100</v>
      </c>
      <c r="K30" s="3048">
        <f t="shared" si="2"/>
        <v>1.5999999999999943</v>
      </c>
    </row>
    <row r="31" spans="1:13">
      <c r="A31" s="3030" t="s">
        <v>2531</v>
      </c>
      <c r="B31" s="3031"/>
      <c r="C31" s="3031"/>
      <c r="D31" s="3031"/>
      <c r="E31" s="3031"/>
      <c r="F31" s="3031"/>
      <c r="G31" s="3032"/>
      <c r="I31" s="3048" t="s">
        <v>2562</v>
      </c>
    </row>
    <row r="32" spans="1:13">
      <c r="A32" s="3030" t="s">
        <v>2532</v>
      </c>
      <c r="B32" s="3031"/>
      <c r="C32" s="3031"/>
      <c r="D32" s="3031"/>
      <c r="E32" s="3031"/>
      <c r="F32" s="3031"/>
      <c r="G32" s="3032"/>
    </row>
    <row r="33" spans="1:13">
      <c r="A33" s="3030" t="s">
        <v>2533</v>
      </c>
      <c r="B33" s="3031"/>
      <c r="C33" s="3031"/>
      <c r="D33" s="3031"/>
      <c r="E33" s="3031"/>
      <c r="F33" s="3031"/>
      <c r="G33" s="3032"/>
      <c r="I33" s="3048" t="s">
        <v>2561</v>
      </c>
      <c r="J33" s="3048" t="s">
        <v>2571</v>
      </c>
    </row>
    <row r="34" spans="1:13">
      <c r="A34" s="3030" t="s">
        <v>2534</v>
      </c>
      <c r="B34" s="3031"/>
      <c r="C34" s="3031"/>
      <c r="D34" s="3031"/>
      <c r="E34" s="3031"/>
      <c r="F34" s="3031"/>
      <c r="G34" s="3032"/>
      <c r="I34" s="3048">
        <v>5</v>
      </c>
      <c r="J34" s="3048">
        <v>55.1</v>
      </c>
    </row>
    <row r="35" spans="1:13">
      <c r="A35" s="3030" t="s">
        <v>2535</v>
      </c>
      <c r="B35" s="3031"/>
      <c r="C35" s="3031"/>
      <c r="D35" s="3031"/>
      <c r="E35" s="3031"/>
      <c r="F35" s="3031"/>
      <c r="G35" s="3032"/>
      <c r="I35" s="3048">
        <v>10</v>
      </c>
      <c r="J35" s="3048">
        <v>67</v>
      </c>
      <c r="K35" s="3048">
        <f>J35-J34</f>
        <v>11.899999999999999</v>
      </c>
    </row>
    <row r="36" spans="1:13">
      <c r="A36" s="3030" t="s">
        <v>2536</v>
      </c>
      <c r="B36" s="3031"/>
      <c r="C36" s="3031"/>
      <c r="D36" s="3031"/>
      <c r="E36" s="3031"/>
      <c r="F36" s="3031"/>
      <c r="G36" s="3032"/>
      <c r="I36" s="3048">
        <v>15</v>
      </c>
      <c r="J36" s="3048">
        <v>76.3</v>
      </c>
      <c r="K36" s="3048">
        <f t="shared" ref="K36:K41" si="3">J36-J35</f>
        <v>9.2999999999999972</v>
      </c>
      <c r="L36" s="3048" t="s">
        <v>2564</v>
      </c>
      <c r="M36" s="3048" t="s">
        <v>2565</v>
      </c>
    </row>
    <row r="37" spans="1:13">
      <c r="A37" s="3030" t="s">
        <v>2537</v>
      </c>
      <c r="B37" s="3031"/>
      <c r="C37" s="3031"/>
      <c r="D37" s="3031"/>
      <c r="E37" s="3031"/>
      <c r="F37" s="3031"/>
      <c r="G37" s="3032"/>
      <c r="I37" s="3048">
        <v>20</v>
      </c>
      <c r="J37" s="3048">
        <v>83.6</v>
      </c>
      <c r="K37" s="3048">
        <f t="shared" si="3"/>
        <v>7.2999999999999972</v>
      </c>
      <c r="L37" s="3048" t="s">
        <v>2563</v>
      </c>
      <c r="M37" s="3048">
        <v>10</v>
      </c>
    </row>
    <row r="38" spans="1:13">
      <c r="A38" s="3030" t="s">
        <v>2538</v>
      </c>
      <c r="B38" s="3031"/>
      <c r="C38" s="3031"/>
      <c r="D38" s="3031"/>
      <c r="E38" s="3031"/>
      <c r="F38" s="3031"/>
      <c r="G38" s="3032"/>
      <c r="I38" s="3048">
        <v>25</v>
      </c>
      <c r="J38" s="3048">
        <v>89.3</v>
      </c>
      <c r="K38" s="3048">
        <f t="shared" si="3"/>
        <v>5.7000000000000028</v>
      </c>
      <c r="L38" s="3048" t="s">
        <v>2567</v>
      </c>
      <c r="M38" s="3048">
        <v>8</v>
      </c>
    </row>
    <row r="39" spans="1:13">
      <c r="A39" s="3030"/>
      <c r="B39" s="3031"/>
      <c r="C39" s="3031"/>
      <c r="D39" s="3031"/>
      <c r="E39" s="3031"/>
      <c r="F39" s="3031"/>
      <c r="G39" s="3032"/>
      <c r="I39" s="3048">
        <v>30</v>
      </c>
      <c r="J39" s="3048">
        <v>93.8</v>
      </c>
      <c r="K39" s="3048">
        <f t="shared" si="3"/>
        <v>4.5</v>
      </c>
      <c r="L39" s="3048" t="s">
        <v>2568</v>
      </c>
      <c r="M39" s="3048">
        <v>6</v>
      </c>
    </row>
    <row r="40" spans="1:13">
      <c r="A40" s="3033" t="s">
        <v>2539</v>
      </c>
      <c r="B40" s="3034"/>
      <c r="C40" s="3034"/>
      <c r="D40" s="3034"/>
      <c r="E40" s="3034"/>
      <c r="F40" s="3034"/>
      <c r="G40" s="3035"/>
      <c r="I40" s="3048">
        <v>35</v>
      </c>
      <c r="J40" s="3048">
        <v>97.2</v>
      </c>
      <c r="K40" s="3048">
        <f t="shared" si="3"/>
        <v>3.4000000000000057</v>
      </c>
      <c r="L40" s="3048" t="s">
        <v>2569</v>
      </c>
      <c r="M40" s="3048">
        <v>3</v>
      </c>
    </row>
    <row r="41" spans="1:13">
      <c r="A41" s="3036" t="s">
        <v>2540</v>
      </c>
      <c r="B41" s="3037" t="s">
        <v>2541</v>
      </c>
      <c r="C41" s="3038" t="s">
        <v>2542</v>
      </c>
      <c r="D41" s="3038" t="s">
        <v>2543</v>
      </c>
      <c r="E41" s="3039"/>
      <c r="F41" s="3040"/>
      <c r="G41" s="3041"/>
      <c r="I41" s="3048">
        <v>40</v>
      </c>
      <c r="J41" s="3048">
        <v>100</v>
      </c>
      <c r="K41" s="3048">
        <f t="shared" si="3"/>
        <v>2.7999999999999972</v>
      </c>
    </row>
    <row r="42" spans="1:13">
      <c r="A42" s="3036" t="s">
        <v>2544</v>
      </c>
      <c r="B42" s="3037" t="s">
        <v>2545</v>
      </c>
      <c r="C42" s="3038" t="s">
        <v>2546</v>
      </c>
      <c r="D42" s="3042" t="s">
        <v>2547</v>
      </c>
      <c r="E42" s="3034" t="s">
        <v>2548</v>
      </c>
      <c r="F42" s="3034"/>
      <c r="G42" s="3035"/>
    </row>
    <row r="43" spans="1:13">
      <c r="A43" s="3036" t="s">
        <v>2549</v>
      </c>
      <c r="B43" s="3037" t="s">
        <v>2550</v>
      </c>
      <c r="C43" s="3038" t="s">
        <v>2551</v>
      </c>
      <c r="D43" s="3038" t="s">
        <v>2552</v>
      </c>
      <c r="E43" s="3039" t="s">
        <v>2553</v>
      </c>
      <c r="F43" s="3040"/>
      <c r="G43" s="3041"/>
      <c r="I43" s="3048" t="s">
        <v>2561</v>
      </c>
      <c r="J43" s="3048" t="s">
        <v>2572</v>
      </c>
    </row>
    <row r="44" spans="1:13">
      <c r="A44" s="3036" t="s">
        <v>2554</v>
      </c>
      <c r="B44" s="3037" t="s">
        <v>2555</v>
      </c>
      <c r="C44" s="3038" t="s">
        <v>2556</v>
      </c>
      <c r="D44" s="3042">
        <v>0.5</v>
      </c>
      <c r="E44" s="3039" t="s">
        <v>2557</v>
      </c>
      <c r="F44" s="3040"/>
      <c r="G44" s="3041"/>
      <c r="I44" s="3048">
        <v>30</v>
      </c>
      <c r="J44" s="3048">
        <v>81.7</v>
      </c>
    </row>
    <row r="45" spans="1:13" ht="14.25" thickBot="1">
      <c r="A45" s="3043" t="s">
        <v>2558</v>
      </c>
      <c r="B45" s="3044" t="s">
        <v>2545</v>
      </c>
      <c r="C45" s="3045" t="s">
        <v>2545</v>
      </c>
      <c r="D45" s="3045" t="s">
        <v>2559</v>
      </c>
      <c r="E45" s="3046" t="s">
        <v>2560</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9" sqref="M1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9" customWidth="1"/>
    <col min="12" max="13" width="10" style="262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68" t="str">
        <f>IF(B10="北京市","北京市",C10)&amp;F10&amp;IF(结果表!G1="在建","出让国有建设用地使用权及在建建筑物",IF(结果表!G1="土地","出让国有建设用地使用权",))&amp;B9&amp;"预评估"</f>
        <v>北京市丰台区南四环西路186号一区1号楼-4至7层01房地产抵押价值预评估</v>
      </c>
      <c r="C1" s="3569"/>
      <c r="D1" s="3569"/>
      <c r="E1" s="3569"/>
      <c r="F1" s="3569"/>
      <c r="G1" s="3569"/>
      <c r="H1" s="3569"/>
      <c r="I1" s="3570"/>
      <c r="J1" s="2462"/>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北京市丰台区南四环西路186号一区1号楼-4至7层01房地产抵押价值</v>
      </c>
      <c r="T1" s="1741"/>
      <c r="U1" s="1741"/>
      <c r="V1" s="1741"/>
      <c r="W1" s="1741"/>
      <c r="X1" s="1741"/>
      <c r="Y1" s="1741"/>
      <c r="Z1" s="1741"/>
      <c r="AA1" s="1741"/>
      <c r="AB1" s="1741"/>
    </row>
    <row r="2" spans="1:30">
      <c r="A2" s="2363" t="s">
        <v>2169</v>
      </c>
      <c r="B2" s="2367"/>
      <c r="C2" s="2368"/>
      <c r="D2" s="2660"/>
      <c r="E2" s="2653"/>
      <c r="F2" s="2653"/>
      <c r="G2" s="2654"/>
      <c r="H2" s="2654"/>
      <c r="I2" s="2654"/>
      <c r="J2" s="2462"/>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北京市丰台区南四环西路186号一区1号楼-4至7层01房地产</v>
      </c>
      <c r="T2" s="1741"/>
      <c r="U2" s="1741"/>
      <c r="V2" s="1741"/>
      <c r="W2" s="1741"/>
      <c r="X2" s="1741"/>
      <c r="Y2" s="1741"/>
      <c r="Z2" s="1741"/>
      <c r="AA2" s="1741"/>
      <c r="AB2" s="1741"/>
    </row>
    <row r="3" spans="1:30">
      <c r="A3" s="298" t="s">
        <v>2170</v>
      </c>
      <c r="B3" s="2369">
        <v>44992</v>
      </c>
      <c r="C3" s="2370" t="s">
        <v>2171</v>
      </c>
      <c r="D3" s="2369">
        <f>B3</f>
        <v>44992</v>
      </c>
      <c r="E3" s="2654"/>
      <c r="F3" s="2654"/>
      <c r="G3" s="2654"/>
      <c r="H3" s="2654"/>
      <c r="I3" s="2654"/>
      <c r="J3" s="2462"/>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t="s">
        <v>3374</v>
      </c>
      <c r="C4" s="2372">
        <f ca="1">SUMIF(注册房地产估价师,B4,估价师及机构信息!B3:B24)</f>
        <v>1120070131</v>
      </c>
      <c r="D4" s="2371" t="s">
        <v>3411</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4.25" thickTop="1" thickBot="1">
      <c r="A5" s="2375" t="s">
        <v>2173</v>
      </c>
      <c r="B5" s="3441" t="s">
        <v>3412</v>
      </c>
      <c r="C5" s="2376"/>
      <c r="D5" s="2377"/>
      <c r="E5" s="2655"/>
      <c r="F5" s="2655"/>
      <c r="G5" s="2655"/>
      <c r="H5" s="2655"/>
      <c r="I5" s="2655"/>
      <c r="J5" s="2432"/>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ht="13.5" thickTop="1">
      <c r="A6" s="2378" t="s">
        <v>2174</v>
      </c>
      <c r="B6" s="3441" t="s">
        <v>3412</v>
      </c>
      <c r="C6" s="2379"/>
      <c r="D6" s="2380"/>
      <c r="E6" s="2653"/>
      <c r="F6" s="2655"/>
      <c r="G6" s="2655"/>
      <c r="H6" s="2655"/>
      <c r="I6" s="2655"/>
      <c r="J6" s="2432"/>
      <c r="K6" s="2606" t="str">
        <f>IF(COUNTIF(B6,"*上海银行*"),"上海银行","")</f>
        <v/>
      </c>
      <c r="L6" s="2604"/>
      <c r="M6" s="2604"/>
      <c r="N6" s="2432"/>
      <c r="O6" s="2443"/>
      <c r="P6" s="2432"/>
      <c r="Q6" s="2432"/>
      <c r="R6" s="2432"/>
    </row>
    <row r="7" spans="1:30">
      <c r="A7" s="2378" t="s">
        <v>2175</v>
      </c>
      <c r="B7" s="2381"/>
      <c r="C7" s="2379"/>
      <c r="D7" s="2380"/>
      <c r="E7" s="2653"/>
      <c r="F7" s="2655"/>
      <c r="G7" s="2655"/>
      <c r="H7" s="2655"/>
      <c r="I7" s="2655"/>
      <c r="J7" s="2432"/>
      <c r="K7" s="2607"/>
      <c r="L7" s="2604"/>
      <c r="M7" s="2604"/>
      <c r="N7" s="2432"/>
      <c r="O7" s="2443"/>
      <c r="P7" s="2432"/>
      <c r="Q7" s="2432"/>
      <c r="R7" s="2432"/>
    </row>
    <row r="8" spans="1:30">
      <c r="A8" s="2382" t="s">
        <v>2176</v>
      </c>
      <c r="B8" s="2383" t="s">
        <v>3373</v>
      </c>
      <c r="C8" s="2384"/>
      <c r="D8" s="3571" t="s">
        <v>2177</v>
      </c>
      <c r="E8" s="2385" t="s">
        <v>3375</v>
      </c>
      <c r="F8" s="2386"/>
      <c r="G8" s="2654"/>
      <c r="H8" s="2654"/>
      <c r="I8" s="2654"/>
      <c r="J8" s="2432"/>
      <c r="K8" s="2605"/>
      <c r="L8" s="2604"/>
      <c r="M8" s="2604"/>
      <c r="N8" s="2432"/>
      <c r="O8" s="2443"/>
      <c r="P8" s="2432"/>
      <c r="Q8" s="2432"/>
      <c r="R8" s="2432"/>
    </row>
    <row r="9" spans="1:30" ht="13.5" thickBot="1">
      <c r="A9" s="2387" t="s">
        <v>2178</v>
      </c>
      <c r="B9" s="2388" t="s">
        <v>3375</v>
      </c>
      <c r="C9" s="2389"/>
      <c r="D9" s="3572"/>
      <c r="E9" s="2388" t="s">
        <v>43</v>
      </c>
      <c r="F9" s="2390"/>
      <c r="G9" s="2656"/>
      <c r="H9" s="2656"/>
      <c r="I9" s="2656"/>
      <c r="J9" s="2432"/>
      <c r="K9" s="2607"/>
      <c r="L9" s="2604"/>
      <c r="M9" s="2604"/>
      <c r="N9" s="2432"/>
      <c r="O9" s="2443"/>
      <c r="P9" s="2432"/>
      <c r="Q9" s="2432"/>
      <c r="R9" s="2432"/>
    </row>
    <row r="10" spans="1:30" ht="13.5" thickTop="1">
      <c r="A10" s="2391" t="s">
        <v>2179</v>
      </c>
      <c r="B10" s="2392" t="s">
        <v>3376</v>
      </c>
      <c r="C10" s="2393"/>
      <c r="D10" s="2377"/>
      <c r="E10" s="2394" t="s">
        <v>2180</v>
      </c>
      <c r="F10" s="3458" t="s">
        <v>3413</v>
      </c>
      <c r="G10" s="2657"/>
      <c r="H10" s="2658"/>
      <c r="I10" s="2659"/>
      <c r="J10" s="2432"/>
      <c r="K10" s="2607"/>
      <c r="L10" s="2604"/>
      <c r="M10" s="2604"/>
      <c r="N10" s="2432"/>
      <c r="O10" s="2443"/>
      <c r="P10" s="2432"/>
      <c r="Q10" s="2432"/>
      <c r="R10" s="2432"/>
    </row>
    <row r="11" spans="1:30">
      <c r="A11" s="2395" t="s">
        <v>2181</v>
      </c>
      <c r="B11" s="3440" t="s">
        <v>3400</v>
      </c>
      <c r="C11" s="2396"/>
      <c r="D11" s="2397"/>
      <c r="E11" s="2366"/>
      <c r="F11" s="2366"/>
      <c r="G11" s="2366"/>
      <c r="H11" s="2366"/>
      <c r="I11" s="2366"/>
      <c r="J11" s="3051"/>
      <c r="K11" s="3050"/>
      <c r="L11" s="2604"/>
      <c r="M11" s="2604"/>
      <c r="N11" s="2432"/>
      <c r="O11" s="2443"/>
      <c r="P11" s="2432"/>
      <c r="Q11" s="2432"/>
      <c r="R11" s="2432"/>
    </row>
    <row r="12" spans="1:30">
      <c r="A12" s="2398" t="s">
        <v>2182</v>
      </c>
      <c r="B12" s="319" t="s">
        <v>2183</v>
      </c>
      <c r="C12" s="2399" t="s">
        <v>2184</v>
      </c>
      <c r="D12" s="2399" t="s">
        <v>2185</v>
      </c>
      <c r="E12" s="2399" t="s">
        <v>2186</v>
      </c>
      <c r="F12" s="2399" t="s">
        <v>2187</v>
      </c>
      <c r="G12" s="2399" t="s">
        <v>2188</v>
      </c>
      <c r="H12" s="2399" t="s">
        <v>2189</v>
      </c>
      <c r="I12" s="3049" t="s">
        <v>2573</v>
      </c>
      <c r="J12" s="3052"/>
      <c r="K12" s="2604"/>
      <c r="L12" s="2604"/>
      <c r="M12" s="2432"/>
      <c r="N12" s="2443"/>
      <c r="O12" s="2432"/>
      <c r="P12" s="2432"/>
      <c r="Q12" s="2432"/>
      <c r="AD12" s="1741"/>
    </row>
    <row r="13" spans="1:30">
      <c r="A13" s="3413" t="s">
        <v>3333</v>
      </c>
      <c r="B13" s="2400" t="s">
        <v>2190</v>
      </c>
      <c r="C13" s="852"/>
      <c r="D13" s="852"/>
      <c r="E13" s="852"/>
      <c r="F13" s="852">
        <v>57614</v>
      </c>
      <c r="G13" s="852"/>
      <c r="H13" s="852">
        <v>57614</v>
      </c>
      <c r="I13" s="852">
        <v>57614</v>
      </c>
      <c r="J13" s="3052"/>
      <c r="K13" s="2604"/>
      <c r="L13" s="2604"/>
      <c r="M13" s="2432"/>
      <c r="N13" s="2443"/>
      <c r="O13" s="2432"/>
      <c r="P13" s="2432"/>
      <c r="Q13" s="2432"/>
      <c r="AD13" s="1741"/>
    </row>
    <row r="14" spans="1:30">
      <c r="A14" s="1077"/>
      <c r="B14" s="2400" t="s">
        <v>2191</v>
      </c>
      <c r="C14" s="2401"/>
      <c r="D14" s="2401"/>
      <c r="E14" s="2401"/>
      <c r="F14" s="2401">
        <v>50</v>
      </c>
      <c r="G14" s="2401"/>
      <c r="H14" s="2401">
        <v>50</v>
      </c>
      <c r="I14" s="2401">
        <v>50</v>
      </c>
      <c r="J14" s="3053"/>
      <c r="K14" s="2604"/>
      <c r="L14" s="2604"/>
      <c r="M14" s="2432"/>
      <c r="N14" s="2443"/>
      <c r="O14" s="2432"/>
      <c r="P14" s="2432"/>
      <c r="Q14" s="2432"/>
      <c r="AD14" s="1741"/>
    </row>
    <row r="15" spans="1:30">
      <c r="A15" s="316"/>
      <c r="B15" s="2402" t="s">
        <v>2192</v>
      </c>
      <c r="C15" s="2403" t="str">
        <f>IF(A13="出让",IF(C13="","",ROUNDDOWN(MIN((C13-$D$3)/365,C14),2)),C14)</f>
        <v/>
      </c>
      <c r="D15" s="2403" t="str">
        <f>IF(A13="出让",IF(D13="","",ROUNDDOWN(MIN((D13-$D$3)/365,D14),2)),D14)</f>
        <v/>
      </c>
      <c r="E15" s="2403" t="str">
        <f>IF(A13="出让",IF(E13="","",ROUNDDOWN(MIN((E13-$D$3)/365,E14),2)),E14)</f>
        <v/>
      </c>
      <c r="F15" s="2403">
        <f>IF(A13="出让",IF(F13="","",ROUNDDOWN(MIN((F13-$D$3)/365,F14),2)),F14)</f>
        <v>34.58</v>
      </c>
      <c r="G15" s="2403" t="str">
        <f>IF(A13="出让",IF(G13="","",ROUNDDOWN(MIN((G13-$D$3)/365,G14),2)),G14)</f>
        <v/>
      </c>
      <c r="H15" s="2403">
        <f>IF(A13="出让",IF(H13="","",ROUNDDOWN(MIN((H13-$D$3)/365,H14),2)),H14)</f>
        <v>34.58</v>
      </c>
      <c r="I15" s="2403">
        <f>IF(A13="出让",IF(I13="","",ROUNDDOWN(MIN((I13-$D$3)/365,I14),2)),I14)</f>
        <v>34.58</v>
      </c>
      <c r="J15" s="3054"/>
      <c r="K15" s="2444"/>
      <c r="L15" s="2444"/>
      <c r="M15" s="2500"/>
      <c r="N15" s="2444"/>
      <c r="O15" s="2500"/>
      <c r="P15" s="2432"/>
      <c r="Q15" s="2432"/>
      <c r="AD15" s="1741"/>
    </row>
    <row r="16" spans="1:30">
      <c r="A16" s="2394" t="s">
        <v>2193</v>
      </c>
      <c r="B16" s="3578"/>
      <c r="C16" s="3579"/>
      <c r="D16" s="3580"/>
      <c r="E16" s="2406" t="s">
        <v>2194</v>
      </c>
      <c r="F16" s="3581"/>
      <c r="G16" s="3582"/>
      <c r="H16" s="3582"/>
      <c r="I16" s="3583"/>
      <c r="J16" s="2432"/>
      <c r="K16" s="2608"/>
      <c r="L16" s="2444"/>
      <c r="M16" s="2444"/>
      <c r="N16" s="2500"/>
      <c r="O16" s="2444"/>
      <c r="P16" s="2500"/>
      <c r="Q16" s="2432"/>
      <c r="R16" s="2432"/>
    </row>
    <row r="17" spans="1:28">
      <c r="A17" s="309" t="s">
        <v>2195</v>
      </c>
      <c r="B17" s="298" t="s">
        <v>2196</v>
      </c>
      <c r="C17" s="8">
        <f>'数据-汇总表'!E3</f>
        <v>103096.20000000001</v>
      </c>
      <c r="D17" s="2318" t="s">
        <v>2197</v>
      </c>
      <c r="E17" s="3584" t="s">
        <v>2198</v>
      </c>
      <c r="F17" s="3585"/>
      <c r="G17" s="3585"/>
      <c r="H17" s="3585"/>
      <c r="I17" s="3586"/>
      <c r="J17" s="2432"/>
      <c r="K17" s="2609"/>
      <c r="L17" s="2444"/>
      <c r="M17" s="2444"/>
      <c r="N17" s="2500"/>
      <c r="O17" s="2444"/>
      <c r="P17" s="2500"/>
      <c r="Q17" s="2432"/>
      <c r="R17" s="2432"/>
      <c r="S17" s="2432"/>
      <c r="T17" s="2432"/>
      <c r="U17" s="2432"/>
      <c r="V17" s="2432"/>
    </row>
    <row r="18" spans="1:28" ht="26.25" thickBot="1">
      <c r="A18" s="2407" t="s">
        <v>3377</v>
      </c>
      <c r="B18" s="1086" t="s">
        <v>2199</v>
      </c>
      <c r="C18" s="2408">
        <f>'数据-汇总表'!D3</f>
        <v>23586.720000000001</v>
      </c>
      <c r="D18" s="1088" t="s">
        <v>2200</v>
      </c>
      <c r="E18" s="3587" t="s">
        <v>3378</v>
      </c>
      <c r="F18" s="3588"/>
      <c r="G18" s="3588"/>
      <c r="H18" s="3588"/>
      <c r="I18" s="3589"/>
      <c r="J18" s="2432"/>
      <c r="K18" s="2609"/>
      <c r="L18" s="2444"/>
      <c r="M18" s="2444"/>
      <c r="N18" s="2500"/>
      <c r="O18" s="2444"/>
      <c r="P18" s="2500"/>
      <c r="Q18" s="2432"/>
      <c r="R18" s="2432"/>
      <c r="S18" s="2432"/>
      <c r="T18" s="2432"/>
      <c r="U18" s="2432"/>
      <c r="V18" s="2432"/>
    </row>
    <row r="19" spans="1:28" ht="37.5" thickTop="1" thickBot="1">
      <c r="A19" s="323" t="s">
        <v>1055</v>
      </c>
      <c r="B19" s="303" t="s">
        <v>2201</v>
      </c>
      <c r="C19" s="1559"/>
      <c r="D19" s="1560" t="s">
        <v>2202</v>
      </c>
      <c r="E19" s="1561"/>
      <c r="F19" s="1562" t="str">
        <f>IF(AND(C19="是",E19="否"),"是否提供他项权证或相关说明","")</f>
        <v/>
      </c>
      <c r="G19" s="1563"/>
      <c r="H19" s="2655"/>
      <c r="I19" s="2655"/>
      <c r="J19" s="2432"/>
      <c r="K19" s="2607"/>
      <c r="L19" s="2604"/>
      <c r="M19" s="2604"/>
      <c r="N19" s="2500"/>
      <c r="O19" s="2444"/>
      <c r="P19" s="2500"/>
      <c r="Q19" s="2432"/>
      <c r="R19" s="2432"/>
      <c r="S19" s="2432"/>
      <c r="T19" s="2432"/>
      <c r="U19" s="2432"/>
      <c r="V19" s="2432"/>
    </row>
    <row r="20" spans="1:28">
      <c r="A20" s="2623" t="s">
        <v>2203</v>
      </c>
      <c r="B20" s="3574" t="s">
        <v>2204</v>
      </c>
      <c r="C20" s="3575"/>
      <c r="D20" s="3576" t="s">
        <v>2205</v>
      </c>
      <c r="E20" s="3577"/>
      <c r="F20" s="2638" t="s">
        <v>1056</v>
      </c>
      <c r="G20" s="2655"/>
      <c r="H20" s="2655"/>
      <c r="I20" s="2655"/>
      <c r="J20" s="2432"/>
      <c r="K20" s="3573" t="s">
        <v>2206</v>
      </c>
      <c r="L20" s="68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5"/>
      <c r="O20" s="2404"/>
      <c r="P20" s="2405"/>
      <c r="Q20" s="2366"/>
      <c r="R20" s="2366"/>
      <c r="S20" s="2366"/>
      <c r="T20" s="2366"/>
      <c r="U20" s="2366"/>
      <c r="V20" s="2366"/>
      <c r="W20" s="1741"/>
      <c r="X20" s="1741"/>
      <c r="Y20" s="1741"/>
      <c r="Z20" s="1741"/>
      <c r="AA20" s="1741"/>
      <c r="AB20" s="1741"/>
    </row>
    <row r="21" spans="1:28" ht="24.75" thickBot="1">
      <c r="A21" s="2623"/>
      <c r="B21" s="2624" t="s">
        <v>2207</v>
      </c>
      <c r="C21" s="2625" t="s">
        <v>3379</v>
      </c>
      <c r="D21" s="1564" t="s">
        <v>2208</v>
      </c>
      <c r="E21" s="2626" t="s">
        <v>1057</v>
      </c>
      <c r="F21" s="2639"/>
      <c r="G21" s="2655"/>
      <c r="H21" s="2655"/>
      <c r="I21" s="2655"/>
      <c r="J21" s="2432"/>
      <c r="K21" s="3573"/>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1"/>
      <c r="X21" s="1741"/>
      <c r="Y21" s="1741"/>
      <c r="Z21" s="1741"/>
      <c r="AA21" s="1741"/>
      <c r="AB21" s="1741"/>
    </row>
    <row r="22" spans="1:28" ht="24.75" thickBot="1">
      <c r="A22" s="2623"/>
      <c r="B22" s="2627" t="s">
        <v>2209</v>
      </c>
      <c r="C22" s="2625" t="s">
        <v>1058</v>
      </c>
      <c r="D22" s="2654"/>
      <c r="E22" s="2654"/>
      <c r="F22" s="2654"/>
      <c r="G22" s="2655"/>
      <c r="H22" s="2655"/>
      <c r="I22" s="2655"/>
      <c r="J22" s="2432"/>
      <c r="K22" s="3573"/>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1"/>
      <c r="X22" s="1741"/>
      <c r="Y22" s="1741"/>
      <c r="Z22" s="1741"/>
      <c r="AA22" s="1741"/>
      <c r="AB22" s="1741"/>
    </row>
    <row r="23" spans="1:28">
      <c r="A23" s="2628" t="s">
        <v>2210</v>
      </c>
      <c r="B23" s="2493" t="s">
        <v>2211</v>
      </c>
      <c r="C23" s="2629"/>
      <c r="D23" s="2630" t="s">
        <v>2211</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1059</v>
      </c>
      <c r="C24" s="2632"/>
      <c r="D24" s="2628" t="s">
        <v>1059</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1060</v>
      </c>
      <c r="C25" s="2632"/>
      <c r="D25" s="2628" t="s">
        <v>1060</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1061</v>
      </c>
      <c r="C26" s="2636"/>
      <c r="D26" s="2634" t="s">
        <v>1061</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61" t="s">
        <v>2212</v>
      </c>
      <c r="B27" s="316" t="s">
        <v>2213</v>
      </c>
      <c r="C27" s="2409" t="s">
        <v>3386</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61"/>
      <c r="B28" s="298" t="s">
        <v>2214</v>
      </c>
      <c r="C28" s="2411"/>
      <c r="D28" s="2412"/>
      <c r="E28" s="2655"/>
      <c r="F28" s="2655"/>
      <c r="G28" s="2655"/>
      <c r="H28" s="2655"/>
      <c r="I28" s="2655"/>
      <c r="J28" s="2432"/>
      <c r="K28" s="2607"/>
      <c r="L28" s="2604"/>
      <c r="M28" s="2604"/>
      <c r="N28" s="2432"/>
      <c r="O28" s="2443"/>
      <c r="P28" s="2432"/>
      <c r="Q28" s="2432"/>
      <c r="R28" s="2432"/>
      <c r="S28" s="2432"/>
      <c r="T28" s="2432"/>
      <c r="U28" s="2432"/>
      <c r="V28" s="2432"/>
    </row>
    <row r="29" spans="1:28">
      <c r="A29" s="3561"/>
      <c r="B29" s="298" t="s">
        <v>2215</v>
      </c>
      <c r="C29" s="2413"/>
      <c r="D29" s="2414"/>
      <c r="E29" s="2655"/>
      <c r="F29" s="2655"/>
      <c r="G29" s="2655"/>
      <c r="H29" s="2655"/>
      <c r="I29" s="2655"/>
      <c r="J29" s="2432"/>
      <c r="K29" s="2607"/>
      <c r="L29" s="2604"/>
      <c r="M29" s="2604"/>
      <c r="N29" s="2432"/>
      <c r="O29" s="2443"/>
      <c r="P29" s="2432"/>
      <c r="Q29" s="2432"/>
      <c r="R29" s="2432"/>
      <c r="S29" s="2432"/>
      <c r="T29" s="2432"/>
      <c r="U29" s="2432"/>
      <c r="V29" s="2432"/>
    </row>
    <row r="30" spans="1:28">
      <c r="A30" s="3562"/>
      <c r="B30" s="298" t="s">
        <v>2216</v>
      </c>
      <c r="C30" s="3563"/>
      <c r="D30" s="3564"/>
      <c r="E30" s="2655"/>
      <c r="F30" s="2655"/>
      <c r="G30" s="2655"/>
      <c r="H30" s="2655"/>
      <c r="I30" s="2655"/>
      <c r="J30" s="2432"/>
      <c r="K30" s="2607"/>
      <c r="L30" s="2604"/>
      <c r="M30" s="2604"/>
      <c r="N30" s="2432"/>
      <c r="O30" s="2443"/>
      <c r="P30" s="2432"/>
      <c r="Q30" s="2432"/>
      <c r="R30" s="2432"/>
      <c r="S30" s="2432"/>
      <c r="T30" s="2432"/>
      <c r="U30" s="2432"/>
      <c r="V30" s="2432"/>
    </row>
    <row r="31" spans="1:28">
      <c r="A31" s="3565" t="s">
        <v>2217</v>
      </c>
      <c r="B31" s="2415"/>
      <c r="C31" s="2319" t="str">
        <f>IF(B31="现房","成新及维护状况正常否",IF(B31="在建","工程状态是否正常",IF(B31="土地","是否闲置","-")))</f>
        <v>-</v>
      </c>
      <c r="D31" s="1369"/>
      <c r="E31" s="2416"/>
      <c r="F31" s="2655"/>
      <c r="G31" s="2655"/>
      <c r="H31" s="2655"/>
      <c r="I31" s="2655"/>
      <c r="J31" s="2432"/>
      <c r="K31" s="2606"/>
      <c r="L31" s="2604"/>
      <c r="M31" s="2604"/>
      <c r="N31" s="2432"/>
      <c r="O31" s="2443"/>
      <c r="P31" s="2432"/>
      <c r="Q31" s="2432"/>
      <c r="R31" s="2432"/>
      <c r="S31" s="2432"/>
      <c r="T31" s="2432"/>
      <c r="U31" s="2432"/>
      <c r="V31" s="2432"/>
    </row>
    <row r="32" spans="1:28">
      <c r="A32" s="3566"/>
      <c r="B32" s="2415"/>
      <c r="C32" s="2319" t="str">
        <f>IF(B32="现房","成新及维护状况是否正常",IF(B32="在建","工程状态是否正常",IF(B32="土地","是否闲置","-")))</f>
        <v>-</v>
      </c>
      <c r="D32" s="1369"/>
      <c r="E32" s="2416"/>
      <c r="F32" s="2655"/>
      <c r="G32" s="2655"/>
      <c r="H32" s="2655"/>
      <c r="I32" s="2655"/>
      <c r="J32" s="2432"/>
      <c r="K32" s="2607"/>
      <c r="L32" s="2604"/>
      <c r="M32" s="2604"/>
      <c r="N32" s="2432"/>
      <c r="O32" s="2443"/>
      <c r="P32" s="2432"/>
      <c r="Q32" s="2432"/>
      <c r="R32" s="2432"/>
      <c r="S32" s="2432"/>
      <c r="T32" s="2432"/>
      <c r="U32" s="2432"/>
      <c r="V32" s="2432"/>
    </row>
    <row r="33" spans="1:30">
      <c r="A33" s="3566"/>
      <c r="B33" s="2418"/>
      <c r="C33" s="1586" t="str">
        <f>IF(B33="现房","成新及维护状况是否正常",IF(B33="在建","工程状态是否正常",IF(B33="土地","是否闲置","-")))</f>
        <v>-</v>
      </c>
      <c r="D33" s="1361"/>
      <c r="E33" s="2419"/>
      <c r="F33" s="2655"/>
      <c r="G33" s="2655"/>
      <c r="H33" s="2655"/>
      <c r="I33" s="2655"/>
      <c r="J33" s="2432"/>
      <c r="K33" s="2607"/>
      <c r="L33" s="2604"/>
      <c r="M33" s="2604"/>
      <c r="N33" s="2432"/>
      <c r="O33" s="2443"/>
      <c r="P33" s="2432"/>
      <c r="Q33" s="2432"/>
      <c r="R33" s="2432"/>
      <c r="S33" s="2432"/>
      <c r="T33" s="2432"/>
      <c r="U33" s="2432"/>
      <c r="V33" s="2432"/>
    </row>
    <row r="34" spans="1:30">
      <c r="A34" s="298" t="s">
        <v>2218</v>
      </c>
      <c r="B34" s="2022" t="s">
        <v>3380</v>
      </c>
      <c r="C34" s="2022" t="s">
        <v>3381</v>
      </c>
      <c r="D34" s="2022" t="s">
        <v>3382</v>
      </c>
      <c r="E34" s="2022" t="s">
        <v>3383</v>
      </c>
      <c r="F34" s="2022" t="s">
        <v>3384</v>
      </c>
      <c r="G34" s="2022" t="s">
        <v>3385</v>
      </c>
      <c r="H34" s="2022"/>
      <c r="I34" s="2655"/>
      <c r="J34" s="2432"/>
      <c r="K34" s="2420">
        <f>COUNTIF(B34:H34,"——")</f>
        <v>0</v>
      </c>
      <c r="L34" s="319" t="s">
        <v>2219</v>
      </c>
      <c r="M34" s="319" t="s">
        <v>2220</v>
      </c>
      <c r="N34" s="319" t="s">
        <v>2221</v>
      </c>
      <c r="O34" s="319" t="s">
        <v>2222</v>
      </c>
      <c r="P34" s="319" t="s">
        <v>2223</v>
      </c>
      <c r="Q34" s="319" t="s">
        <v>2224</v>
      </c>
      <c r="R34" s="319" t="s">
        <v>2225</v>
      </c>
      <c r="S34" s="3560" t="s">
        <v>2226</v>
      </c>
      <c r="T34" s="2421" t="str">
        <f>NUMBERSTRING(7-K34,1)&amp;"通"</f>
        <v>七通</v>
      </c>
      <c r="U34" s="2432"/>
      <c r="V34" s="2432"/>
    </row>
    <row r="35" spans="1:30">
      <c r="A35" s="2422"/>
      <c r="B35" s="3567" t="s">
        <v>2227</v>
      </c>
      <c r="C35" s="3567"/>
      <c r="D35" s="3567"/>
      <c r="E35" s="3567"/>
      <c r="F35" s="660">
        <f>C10</f>
        <v>0</v>
      </c>
      <c r="G35" s="2655"/>
      <c r="H35" s="2655"/>
      <c r="I35" s="2655"/>
      <c r="J35" s="2432"/>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通路、通电、通讯、通上水、通下水、平整</v>
      </c>
      <c r="R35" s="325" t="str">
        <f>B34&amp;"、"&amp;C34&amp;"、"&amp;D34&amp;"、"&amp;E34&amp;"、"&amp;F34&amp;"、"&amp;G34&amp;"、"&amp;H34</f>
        <v>通路、通电、通讯、通上水、通下水、平整、</v>
      </c>
      <c r="S35" s="3560"/>
      <c r="T35" s="325" t="str">
        <f>IF(T34="一通",L35,IF(T34="二通",M35,IF(T34="三通",N35,IF(T34="四通",O35,IF(T34="五通",P35,IF(T34="六通",Q35,R35))))))</f>
        <v>通路、通电、通讯、通上水、通下水、平整、</v>
      </c>
      <c r="U35" s="2432"/>
      <c r="V35" s="2432"/>
    </row>
    <row r="36" spans="1:30">
      <c r="A36" s="2423"/>
      <c r="B36" s="660" t="s">
        <v>2185</v>
      </c>
      <c r="C36" s="660" t="s">
        <v>2186</v>
      </c>
      <c r="D36" s="660" t="s">
        <v>2184</v>
      </c>
      <c r="E36" s="660" t="s">
        <v>2189</v>
      </c>
      <c r="F36" s="3055" t="s">
        <v>2576</v>
      </c>
      <c r="G36" s="2655"/>
      <c r="H36" s="2655"/>
      <c r="I36" s="2655"/>
      <c r="J36" s="2432"/>
      <c r="K36" s="2607"/>
      <c r="L36" s="2604"/>
      <c r="M36" s="2604"/>
      <c r="N36" s="2432"/>
      <c r="O36" s="2443"/>
      <c r="P36" s="2432"/>
      <c r="Q36" s="2432"/>
      <c r="R36" s="2432"/>
      <c r="S36" s="2432"/>
      <c r="T36" s="2432"/>
      <c r="U36" s="2432"/>
      <c r="V36" s="2432"/>
    </row>
    <row r="37" spans="1:30">
      <c r="A37" s="2621" t="s">
        <v>2228</v>
      </c>
      <c r="B37" s="2424"/>
      <c r="C37" s="2424" t="s">
        <v>303</v>
      </c>
      <c r="D37" s="2424"/>
      <c r="E37" s="2424" t="s">
        <v>307</v>
      </c>
      <c r="F37" s="2424"/>
      <c r="G37" s="2655"/>
      <c r="H37" s="2655"/>
      <c r="I37" s="2655"/>
      <c r="J37" s="2432"/>
      <c r="K37" s="2607"/>
      <c r="L37" s="2604"/>
      <c r="M37" s="2604"/>
      <c r="N37" s="2432"/>
      <c r="O37" s="2443"/>
      <c r="P37" s="2432"/>
      <c r="Q37" s="2432"/>
      <c r="R37" s="2432"/>
      <c r="S37" s="2432"/>
      <c r="T37" s="2432"/>
      <c r="U37" s="2432"/>
      <c r="V37" s="2432"/>
    </row>
    <row r="38" spans="1:30" ht="13.5" thickBot="1">
      <c r="A38" s="2622" t="s">
        <v>2229</v>
      </c>
      <c r="B38" s="2425"/>
      <c r="C38" s="2425" t="s">
        <v>247</v>
      </c>
      <c r="D38" s="2425"/>
      <c r="E38" s="2425" t="s">
        <v>2977</v>
      </c>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2230</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4"/>
      <c r="J40" s="2500"/>
      <c r="K40" s="2606"/>
      <c r="L40" s="2444"/>
      <c r="M40" s="2444"/>
      <c r="N40" s="2500"/>
      <c r="O40" s="2444"/>
      <c r="P40" s="2432"/>
      <c r="Q40" s="2432"/>
      <c r="R40" s="2432"/>
      <c r="S40" s="2432"/>
      <c r="T40" s="2432"/>
      <c r="U40" s="2432"/>
      <c r="V40" s="2432"/>
    </row>
    <row r="41" spans="1:30">
      <c r="A41" s="2429" t="s">
        <v>2231</v>
      </c>
      <c r="B41" s="1753"/>
      <c r="C41" s="1369"/>
      <c r="D41" s="2366"/>
      <c r="E41" s="2366"/>
      <c r="F41" s="2366"/>
      <c r="G41" s="2366"/>
      <c r="H41" s="2366"/>
      <c r="I41" s="1572"/>
      <c r="J41" s="2432"/>
      <c r="K41" s="2607"/>
      <c r="L41" s="2604"/>
      <c r="M41" s="2604"/>
      <c r="N41" s="2432"/>
      <c r="O41" s="2443"/>
      <c r="P41" s="2432"/>
      <c r="Q41" s="2432"/>
      <c r="R41" s="2432"/>
      <c r="S41" s="2432"/>
      <c r="T41" s="2432"/>
      <c r="U41" s="2432"/>
      <c r="V41" s="2432"/>
    </row>
    <row r="42" spans="1:30" ht="25.5">
      <c r="A42" s="319" t="s">
        <v>2232</v>
      </c>
      <c r="B42" s="8" t="s">
        <v>2233</v>
      </c>
      <c r="C42" s="8" t="s">
        <v>2234</v>
      </c>
      <c r="D42" s="8" t="s">
        <v>2235</v>
      </c>
      <c r="E42" s="8" t="s">
        <v>2236</v>
      </c>
      <c r="F42" s="8" t="s">
        <v>2237</v>
      </c>
      <c r="G42" s="8" t="s">
        <v>2238</v>
      </c>
      <c r="H42" s="8" t="s">
        <v>2239</v>
      </c>
      <c r="I42" s="8" t="s">
        <v>2240</v>
      </c>
      <c r="J42" s="2617" t="s">
        <v>2241</v>
      </c>
      <c r="K42" s="2618" t="s">
        <v>2242</v>
      </c>
      <c r="L42" s="2618" t="s">
        <v>2243</v>
      </c>
      <c r="M42" s="2618" t="s">
        <v>2244</v>
      </c>
      <c r="N42" s="2611" t="s">
        <v>2245</v>
      </c>
      <c r="O42" s="2611" t="s">
        <v>2246</v>
      </c>
      <c r="P42" s="2611" t="s">
        <v>2247</v>
      </c>
      <c r="Q42" s="2612" t="s">
        <v>2248</v>
      </c>
      <c r="R42" s="2612" t="s">
        <v>2249</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K29" sqref="K29"/>
    </sheetView>
  </sheetViews>
  <sheetFormatPr defaultRowHeight="17.25"/>
  <cols>
    <col min="1" max="1" width="9" style="3482"/>
    <col min="2" max="2" width="11.875" style="3482" bestFit="1" customWidth="1"/>
    <col min="3" max="3" width="12.25" style="3482" customWidth="1"/>
    <col min="4" max="4" width="9.25" style="3482" customWidth="1"/>
    <col min="5" max="5" width="11.625" style="3482" customWidth="1"/>
    <col min="6" max="6" width="12.875" style="3482" customWidth="1"/>
    <col min="7" max="7" width="10.375" style="3482" customWidth="1"/>
    <col min="8" max="8" width="13.75" style="3482" bestFit="1" customWidth="1"/>
    <col min="9" max="9" width="3.25" style="3482" customWidth="1"/>
    <col min="10" max="10" width="9" style="3482"/>
    <col min="11" max="11" width="10.625" style="3482" customWidth="1"/>
    <col min="12" max="13" width="9" style="3482"/>
    <col min="14" max="14" width="3.5" style="3482" customWidth="1"/>
    <col min="15" max="15" width="13" style="3482" bestFit="1" customWidth="1"/>
    <col min="16" max="16" width="11" style="3482" bestFit="1" customWidth="1"/>
    <col min="17" max="257" width="9" style="3482"/>
    <col min="258" max="258" width="11.875" style="3482" bestFit="1" customWidth="1"/>
    <col min="259" max="259" width="12.25" style="3482" customWidth="1"/>
    <col min="260" max="260" width="9.25" style="3482" customWidth="1"/>
    <col min="261" max="261" width="11.625" style="3482" customWidth="1"/>
    <col min="262" max="262" width="12.875" style="3482" customWidth="1"/>
    <col min="263" max="263" width="10.375" style="3482" customWidth="1"/>
    <col min="264" max="264" width="13.75" style="3482" bestFit="1" customWidth="1"/>
    <col min="265" max="265" width="3.25" style="3482" customWidth="1"/>
    <col min="266" max="266" width="9" style="3482"/>
    <col min="267" max="267" width="10.625" style="3482" customWidth="1"/>
    <col min="268" max="269" width="9" style="3482"/>
    <col min="270" max="270" width="3.5" style="3482" customWidth="1"/>
    <col min="271" max="271" width="13" style="3482" bestFit="1" customWidth="1"/>
    <col min="272" max="272" width="11" style="3482" bestFit="1" customWidth="1"/>
    <col min="273" max="513" width="9" style="3482"/>
    <col min="514" max="514" width="11.875" style="3482" bestFit="1" customWidth="1"/>
    <col min="515" max="515" width="12.25" style="3482" customWidth="1"/>
    <col min="516" max="516" width="9.25" style="3482" customWidth="1"/>
    <col min="517" max="517" width="11.625" style="3482" customWidth="1"/>
    <col min="518" max="518" width="12.875" style="3482" customWidth="1"/>
    <col min="519" max="519" width="10.375" style="3482" customWidth="1"/>
    <col min="520" max="520" width="13.75" style="3482" bestFit="1" customWidth="1"/>
    <col min="521" max="521" width="3.25" style="3482" customWidth="1"/>
    <col min="522" max="522" width="9" style="3482"/>
    <col min="523" max="523" width="10.625" style="3482" customWidth="1"/>
    <col min="524" max="525" width="9" style="3482"/>
    <col min="526" max="526" width="3.5" style="3482" customWidth="1"/>
    <col min="527" max="527" width="13" style="3482" bestFit="1" customWidth="1"/>
    <col min="528" max="528" width="11" style="3482" bestFit="1" customWidth="1"/>
    <col min="529" max="769" width="9" style="3482"/>
    <col min="770" max="770" width="11.875" style="3482" bestFit="1" customWidth="1"/>
    <col min="771" max="771" width="12.25" style="3482" customWidth="1"/>
    <col min="772" max="772" width="9.25" style="3482" customWidth="1"/>
    <col min="773" max="773" width="11.625" style="3482" customWidth="1"/>
    <col min="774" max="774" width="12.875" style="3482" customWidth="1"/>
    <col min="775" max="775" width="10.375" style="3482" customWidth="1"/>
    <col min="776" max="776" width="13.75" style="3482" bestFit="1" customWidth="1"/>
    <col min="777" max="777" width="3.25" style="3482" customWidth="1"/>
    <col min="778" max="778" width="9" style="3482"/>
    <col min="779" max="779" width="10.625" style="3482" customWidth="1"/>
    <col min="780" max="781" width="9" style="3482"/>
    <col min="782" max="782" width="3.5" style="3482" customWidth="1"/>
    <col min="783" max="783" width="13" style="3482" bestFit="1" customWidth="1"/>
    <col min="784" max="784" width="11" style="3482" bestFit="1" customWidth="1"/>
    <col min="785" max="1025" width="9" style="3482"/>
    <col min="1026" max="1026" width="11.875" style="3482" bestFit="1" customWidth="1"/>
    <col min="1027" max="1027" width="12.25" style="3482" customWidth="1"/>
    <col min="1028" max="1028" width="9.25" style="3482" customWidth="1"/>
    <col min="1029" max="1029" width="11.625" style="3482" customWidth="1"/>
    <col min="1030" max="1030" width="12.875" style="3482" customWidth="1"/>
    <col min="1031" max="1031" width="10.375" style="3482" customWidth="1"/>
    <col min="1032" max="1032" width="13.75" style="3482" bestFit="1" customWidth="1"/>
    <col min="1033" max="1033" width="3.25" style="3482" customWidth="1"/>
    <col min="1034" max="1034" width="9" style="3482"/>
    <col min="1035" max="1035" width="10.625" style="3482" customWidth="1"/>
    <col min="1036" max="1037" width="9" style="3482"/>
    <col min="1038" max="1038" width="3.5" style="3482" customWidth="1"/>
    <col min="1039" max="1039" width="13" style="3482" bestFit="1" customWidth="1"/>
    <col min="1040" max="1040" width="11" style="3482" bestFit="1" customWidth="1"/>
    <col min="1041" max="1281" width="9" style="3482"/>
    <col min="1282" max="1282" width="11.875" style="3482" bestFit="1" customWidth="1"/>
    <col min="1283" max="1283" width="12.25" style="3482" customWidth="1"/>
    <col min="1284" max="1284" width="9.25" style="3482" customWidth="1"/>
    <col min="1285" max="1285" width="11.625" style="3482" customWidth="1"/>
    <col min="1286" max="1286" width="12.875" style="3482" customWidth="1"/>
    <col min="1287" max="1287" width="10.375" style="3482" customWidth="1"/>
    <col min="1288" max="1288" width="13.75" style="3482" bestFit="1" customWidth="1"/>
    <col min="1289" max="1289" width="3.25" style="3482" customWidth="1"/>
    <col min="1290" max="1290" width="9" style="3482"/>
    <col min="1291" max="1291" width="10.625" style="3482" customWidth="1"/>
    <col min="1292" max="1293" width="9" style="3482"/>
    <col min="1294" max="1294" width="3.5" style="3482" customWidth="1"/>
    <col min="1295" max="1295" width="13" style="3482" bestFit="1" customWidth="1"/>
    <col min="1296" max="1296" width="11" style="3482" bestFit="1" customWidth="1"/>
    <col min="1297" max="1537" width="9" style="3482"/>
    <col min="1538" max="1538" width="11.875" style="3482" bestFit="1" customWidth="1"/>
    <col min="1539" max="1539" width="12.25" style="3482" customWidth="1"/>
    <col min="1540" max="1540" width="9.25" style="3482" customWidth="1"/>
    <col min="1541" max="1541" width="11.625" style="3482" customWidth="1"/>
    <col min="1542" max="1542" width="12.875" style="3482" customWidth="1"/>
    <col min="1543" max="1543" width="10.375" style="3482" customWidth="1"/>
    <col min="1544" max="1544" width="13.75" style="3482" bestFit="1" customWidth="1"/>
    <col min="1545" max="1545" width="3.25" style="3482" customWidth="1"/>
    <col min="1546" max="1546" width="9" style="3482"/>
    <col min="1547" max="1547" width="10.625" style="3482" customWidth="1"/>
    <col min="1548" max="1549" width="9" style="3482"/>
    <col min="1550" max="1550" width="3.5" style="3482" customWidth="1"/>
    <col min="1551" max="1551" width="13" style="3482" bestFit="1" customWidth="1"/>
    <col min="1552" max="1552" width="11" style="3482" bestFit="1" customWidth="1"/>
    <col min="1553" max="1793" width="9" style="3482"/>
    <col min="1794" max="1794" width="11.875" style="3482" bestFit="1" customWidth="1"/>
    <col min="1795" max="1795" width="12.25" style="3482" customWidth="1"/>
    <col min="1796" max="1796" width="9.25" style="3482" customWidth="1"/>
    <col min="1797" max="1797" width="11.625" style="3482" customWidth="1"/>
    <col min="1798" max="1798" width="12.875" style="3482" customWidth="1"/>
    <col min="1799" max="1799" width="10.375" style="3482" customWidth="1"/>
    <col min="1800" max="1800" width="13.75" style="3482" bestFit="1" customWidth="1"/>
    <col min="1801" max="1801" width="3.25" style="3482" customWidth="1"/>
    <col min="1802" max="1802" width="9" style="3482"/>
    <col min="1803" max="1803" width="10.625" style="3482" customWidth="1"/>
    <col min="1804" max="1805" width="9" style="3482"/>
    <col min="1806" max="1806" width="3.5" style="3482" customWidth="1"/>
    <col min="1807" max="1807" width="13" style="3482" bestFit="1" customWidth="1"/>
    <col min="1808" max="1808" width="11" style="3482" bestFit="1" customWidth="1"/>
    <col min="1809" max="2049" width="9" style="3482"/>
    <col min="2050" max="2050" width="11.875" style="3482" bestFit="1" customWidth="1"/>
    <col min="2051" max="2051" width="12.25" style="3482" customWidth="1"/>
    <col min="2052" max="2052" width="9.25" style="3482" customWidth="1"/>
    <col min="2053" max="2053" width="11.625" style="3482" customWidth="1"/>
    <col min="2054" max="2054" width="12.875" style="3482" customWidth="1"/>
    <col min="2055" max="2055" width="10.375" style="3482" customWidth="1"/>
    <col min="2056" max="2056" width="13.75" style="3482" bestFit="1" customWidth="1"/>
    <col min="2057" max="2057" width="3.25" style="3482" customWidth="1"/>
    <col min="2058" max="2058" width="9" style="3482"/>
    <col min="2059" max="2059" width="10.625" style="3482" customWidth="1"/>
    <col min="2060" max="2061" width="9" style="3482"/>
    <col min="2062" max="2062" width="3.5" style="3482" customWidth="1"/>
    <col min="2063" max="2063" width="13" style="3482" bestFit="1" customWidth="1"/>
    <col min="2064" max="2064" width="11" style="3482" bestFit="1" customWidth="1"/>
    <col min="2065" max="2305" width="9" style="3482"/>
    <col min="2306" max="2306" width="11.875" style="3482" bestFit="1" customWidth="1"/>
    <col min="2307" max="2307" width="12.25" style="3482" customWidth="1"/>
    <col min="2308" max="2308" width="9.25" style="3482" customWidth="1"/>
    <col min="2309" max="2309" width="11.625" style="3482" customWidth="1"/>
    <col min="2310" max="2310" width="12.875" style="3482" customWidth="1"/>
    <col min="2311" max="2311" width="10.375" style="3482" customWidth="1"/>
    <col min="2312" max="2312" width="13.75" style="3482" bestFit="1" customWidth="1"/>
    <col min="2313" max="2313" width="3.25" style="3482" customWidth="1"/>
    <col min="2314" max="2314" width="9" style="3482"/>
    <col min="2315" max="2315" width="10.625" style="3482" customWidth="1"/>
    <col min="2316" max="2317" width="9" style="3482"/>
    <col min="2318" max="2318" width="3.5" style="3482" customWidth="1"/>
    <col min="2319" max="2319" width="13" style="3482" bestFit="1" customWidth="1"/>
    <col min="2320" max="2320" width="11" style="3482" bestFit="1" customWidth="1"/>
    <col min="2321" max="2561" width="9" style="3482"/>
    <col min="2562" max="2562" width="11.875" style="3482" bestFit="1" customWidth="1"/>
    <col min="2563" max="2563" width="12.25" style="3482" customWidth="1"/>
    <col min="2564" max="2564" width="9.25" style="3482" customWidth="1"/>
    <col min="2565" max="2565" width="11.625" style="3482" customWidth="1"/>
    <col min="2566" max="2566" width="12.875" style="3482" customWidth="1"/>
    <col min="2567" max="2567" width="10.375" style="3482" customWidth="1"/>
    <col min="2568" max="2568" width="13.75" style="3482" bestFit="1" customWidth="1"/>
    <col min="2569" max="2569" width="3.25" style="3482" customWidth="1"/>
    <col min="2570" max="2570" width="9" style="3482"/>
    <col min="2571" max="2571" width="10.625" style="3482" customWidth="1"/>
    <col min="2572" max="2573" width="9" style="3482"/>
    <col min="2574" max="2574" width="3.5" style="3482" customWidth="1"/>
    <col min="2575" max="2575" width="13" style="3482" bestFit="1" customWidth="1"/>
    <col min="2576" max="2576" width="11" style="3482" bestFit="1" customWidth="1"/>
    <col min="2577" max="2817" width="9" style="3482"/>
    <col min="2818" max="2818" width="11.875" style="3482" bestFit="1" customWidth="1"/>
    <col min="2819" max="2819" width="12.25" style="3482" customWidth="1"/>
    <col min="2820" max="2820" width="9.25" style="3482" customWidth="1"/>
    <col min="2821" max="2821" width="11.625" style="3482" customWidth="1"/>
    <col min="2822" max="2822" width="12.875" style="3482" customWidth="1"/>
    <col min="2823" max="2823" width="10.375" style="3482" customWidth="1"/>
    <col min="2824" max="2824" width="13.75" style="3482" bestFit="1" customWidth="1"/>
    <col min="2825" max="2825" width="3.25" style="3482" customWidth="1"/>
    <col min="2826" max="2826" width="9" style="3482"/>
    <col min="2827" max="2827" width="10.625" style="3482" customWidth="1"/>
    <col min="2828" max="2829" width="9" style="3482"/>
    <col min="2830" max="2830" width="3.5" style="3482" customWidth="1"/>
    <col min="2831" max="2831" width="13" style="3482" bestFit="1" customWidth="1"/>
    <col min="2832" max="2832" width="11" style="3482" bestFit="1" customWidth="1"/>
    <col min="2833" max="3073" width="9" style="3482"/>
    <col min="3074" max="3074" width="11.875" style="3482" bestFit="1" customWidth="1"/>
    <col min="3075" max="3075" width="12.25" style="3482" customWidth="1"/>
    <col min="3076" max="3076" width="9.25" style="3482" customWidth="1"/>
    <col min="3077" max="3077" width="11.625" style="3482" customWidth="1"/>
    <col min="3078" max="3078" width="12.875" style="3482" customWidth="1"/>
    <col min="3079" max="3079" width="10.375" style="3482" customWidth="1"/>
    <col min="3080" max="3080" width="13.75" style="3482" bestFit="1" customWidth="1"/>
    <col min="3081" max="3081" width="3.25" style="3482" customWidth="1"/>
    <col min="3082" max="3082" width="9" style="3482"/>
    <col min="3083" max="3083" width="10.625" style="3482" customWidth="1"/>
    <col min="3084" max="3085" width="9" style="3482"/>
    <col min="3086" max="3086" width="3.5" style="3482" customWidth="1"/>
    <col min="3087" max="3087" width="13" style="3482" bestFit="1" customWidth="1"/>
    <col min="3088" max="3088" width="11" style="3482" bestFit="1" customWidth="1"/>
    <col min="3089" max="3329" width="9" style="3482"/>
    <col min="3330" max="3330" width="11.875" style="3482" bestFit="1" customWidth="1"/>
    <col min="3331" max="3331" width="12.25" style="3482" customWidth="1"/>
    <col min="3332" max="3332" width="9.25" style="3482" customWidth="1"/>
    <col min="3333" max="3333" width="11.625" style="3482" customWidth="1"/>
    <col min="3334" max="3334" width="12.875" style="3482" customWidth="1"/>
    <col min="3335" max="3335" width="10.375" style="3482" customWidth="1"/>
    <col min="3336" max="3336" width="13.75" style="3482" bestFit="1" customWidth="1"/>
    <col min="3337" max="3337" width="3.25" style="3482" customWidth="1"/>
    <col min="3338" max="3338" width="9" style="3482"/>
    <col min="3339" max="3339" width="10.625" style="3482" customWidth="1"/>
    <col min="3340" max="3341" width="9" style="3482"/>
    <col min="3342" max="3342" width="3.5" style="3482" customWidth="1"/>
    <col min="3343" max="3343" width="13" style="3482" bestFit="1" customWidth="1"/>
    <col min="3344" max="3344" width="11" style="3482" bestFit="1" customWidth="1"/>
    <col min="3345" max="3585" width="9" style="3482"/>
    <col min="3586" max="3586" width="11.875" style="3482" bestFit="1" customWidth="1"/>
    <col min="3587" max="3587" width="12.25" style="3482" customWidth="1"/>
    <col min="3588" max="3588" width="9.25" style="3482" customWidth="1"/>
    <col min="3589" max="3589" width="11.625" style="3482" customWidth="1"/>
    <col min="3590" max="3590" width="12.875" style="3482" customWidth="1"/>
    <col min="3591" max="3591" width="10.375" style="3482" customWidth="1"/>
    <col min="3592" max="3592" width="13.75" style="3482" bestFit="1" customWidth="1"/>
    <col min="3593" max="3593" width="3.25" style="3482" customWidth="1"/>
    <col min="3594" max="3594" width="9" style="3482"/>
    <col min="3595" max="3595" width="10.625" style="3482" customWidth="1"/>
    <col min="3596" max="3597" width="9" style="3482"/>
    <col min="3598" max="3598" width="3.5" style="3482" customWidth="1"/>
    <col min="3599" max="3599" width="13" style="3482" bestFit="1" customWidth="1"/>
    <col min="3600" max="3600" width="11" style="3482" bestFit="1" customWidth="1"/>
    <col min="3601" max="3841" width="9" style="3482"/>
    <col min="3842" max="3842" width="11.875" style="3482" bestFit="1" customWidth="1"/>
    <col min="3843" max="3843" width="12.25" style="3482" customWidth="1"/>
    <col min="3844" max="3844" width="9.25" style="3482" customWidth="1"/>
    <col min="3845" max="3845" width="11.625" style="3482" customWidth="1"/>
    <col min="3846" max="3846" width="12.875" style="3482" customWidth="1"/>
    <col min="3847" max="3847" width="10.375" style="3482" customWidth="1"/>
    <col min="3848" max="3848" width="13.75" style="3482" bestFit="1" customWidth="1"/>
    <col min="3849" max="3849" width="3.25" style="3482" customWidth="1"/>
    <col min="3850" max="3850" width="9" style="3482"/>
    <col min="3851" max="3851" width="10.625" style="3482" customWidth="1"/>
    <col min="3852" max="3853" width="9" style="3482"/>
    <col min="3854" max="3854" width="3.5" style="3482" customWidth="1"/>
    <col min="3855" max="3855" width="13" style="3482" bestFit="1" customWidth="1"/>
    <col min="3856" max="3856" width="11" style="3482" bestFit="1" customWidth="1"/>
    <col min="3857" max="4097" width="9" style="3482"/>
    <col min="4098" max="4098" width="11.875" style="3482" bestFit="1" customWidth="1"/>
    <col min="4099" max="4099" width="12.25" style="3482" customWidth="1"/>
    <col min="4100" max="4100" width="9.25" style="3482" customWidth="1"/>
    <col min="4101" max="4101" width="11.625" style="3482" customWidth="1"/>
    <col min="4102" max="4102" width="12.875" style="3482" customWidth="1"/>
    <col min="4103" max="4103" width="10.375" style="3482" customWidth="1"/>
    <col min="4104" max="4104" width="13.75" style="3482" bestFit="1" customWidth="1"/>
    <col min="4105" max="4105" width="3.25" style="3482" customWidth="1"/>
    <col min="4106" max="4106" width="9" style="3482"/>
    <col min="4107" max="4107" width="10.625" style="3482" customWidth="1"/>
    <col min="4108" max="4109" width="9" style="3482"/>
    <col min="4110" max="4110" width="3.5" style="3482" customWidth="1"/>
    <col min="4111" max="4111" width="13" style="3482" bestFit="1" customWidth="1"/>
    <col min="4112" max="4112" width="11" style="3482" bestFit="1" customWidth="1"/>
    <col min="4113" max="4353" width="9" style="3482"/>
    <col min="4354" max="4354" width="11.875" style="3482" bestFit="1" customWidth="1"/>
    <col min="4355" max="4355" width="12.25" style="3482" customWidth="1"/>
    <col min="4356" max="4356" width="9.25" style="3482" customWidth="1"/>
    <col min="4357" max="4357" width="11.625" style="3482" customWidth="1"/>
    <col min="4358" max="4358" width="12.875" style="3482" customWidth="1"/>
    <col min="4359" max="4359" width="10.375" style="3482" customWidth="1"/>
    <col min="4360" max="4360" width="13.75" style="3482" bestFit="1" customWidth="1"/>
    <col min="4361" max="4361" width="3.25" style="3482" customWidth="1"/>
    <col min="4362" max="4362" width="9" style="3482"/>
    <col min="4363" max="4363" width="10.625" style="3482" customWidth="1"/>
    <col min="4364" max="4365" width="9" style="3482"/>
    <col min="4366" max="4366" width="3.5" style="3482" customWidth="1"/>
    <col min="4367" max="4367" width="13" style="3482" bestFit="1" customWidth="1"/>
    <col min="4368" max="4368" width="11" style="3482" bestFit="1" customWidth="1"/>
    <col min="4369" max="4609" width="9" style="3482"/>
    <col min="4610" max="4610" width="11.875" style="3482" bestFit="1" customWidth="1"/>
    <col min="4611" max="4611" width="12.25" style="3482" customWidth="1"/>
    <col min="4612" max="4612" width="9.25" style="3482" customWidth="1"/>
    <col min="4613" max="4613" width="11.625" style="3482" customWidth="1"/>
    <col min="4614" max="4614" width="12.875" style="3482" customWidth="1"/>
    <col min="4615" max="4615" width="10.375" style="3482" customWidth="1"/>
    <col min="4616" max="4616" width="13.75" style="3482" bestFit="1" customWidth="1"/>
    <col min="4617" max="4617" width="3.25" style="3482" customWidth="1"/>
    <col min="4618" max="4618" width="9" style="3482"/>
    <col min="4619" max="4619" width="10.625" style="3482" customWidth="1"/>
    <col min="4620" max="4621" width="9" style="3482"/>
    <col min="4622" max="4622" width="3.5" style="3482" customWidth="1"/>
    <col min="4623" max="4623" width="13" style="3482" bestFit="1" customWidth="1"/>
    <col min="4624" max="4624" width="11" style="3482" bestFit="1" customWidth="1"/>
    <col min="4625" max="4865" width="9" style="3482"/>
    <col min="4866" max="4866" width="11.875" style="3482" bestFit="1" customWidth="1"/>
    <col min="4867" max="4867" width="12.25" style="3482" customWidth="1"/>
    <col min="4868" max="4868" width="9.25" style="3482" customWidth="1"/>
    <col min="4869" max="4869" width="11.625" style="3482" customWidth="1"/>
    <col min="4870" max="4870" width="12.875" style="3482" customWidth="1"/>
    <col min="4871" max="4871" width="10.375" style="3482" customWidth="1"/>
    <col min="4872" max="4872" width="13.75" style="3482" bestFit="1" customWidth="1"/>
    <col min="4873" max="4873" width="3.25" style="3482" customWidth="1"/>
    <col min="4874" max="4874" width="9" style="3482"/>
    <col min="4875" max="4875" width="10.625" style="3482" customWidth="1"/>
    <col min="4876" max="4877" width="9" style="3482"/>
    <col min="4878" max="4878" width="3.5" style="3482" customWidth="1"/>
    <col min="4879" max="4879" width="13" style="3482" bestFit="1" customWidth="1"/>
    <col min="4880" max="4880" width="11" style="3482" bestFit="1" customWidth="1"/>
    <col min="4881" max="5121" width="9" style="3482"/>
    <col min="5122" max="5122" width="11.875" style="3482" bestFit="1" customWidth="1"/>
    <col min="5123" max="5123" width="12.25" style="3482" customWidth="1"/>
    <col min="5124" max="5124" width="9.25" style="3482" customWidth="1"/>
    <col min="5125" max="5125" width="11.625" style="3482" customWidth="1"/>
    <col min="5126" max="5126" width="12.875" style="3482" customWidth="1"/>
    <col min="5127" max="5127" width="10.375" style="3482" customWidth="1"/>
    <col min="5128" max="5128" width="13.75" style="3482" bestFit="1" customWidth="1"/>
    <col min="5129" max="5129" width="3.25" style="3482" customWidth="1"/>
    <col min="5130" max="5130" width="9" style="3482"/>
    <col min="5131" max="5131" width="10.625" style="3482" customWidth="1"/>
    <col min="5132" max="5133" width="9" style="3482"/>
    <col min="5134" max="5134" width="3.5" style="3482" customWidth="1"/>
    <col min="5135" max="5135" width="13" style="3482" bestFit="1" customWidth="1"/>
    <col min="5136" max="5136" width="11" style="3482" bestFit="1" customWidth="1"/>
    <col min="5137" max="5377" width="9" style="3482"/>
    <col min="5378" max="5378" width="11.875" style="3482" bestFit="1" customWidth="1"/>
    <col min="5379" max="5379" width="12.25" style="3482" customWidth="1"/>
    <col min="5380" max="5380" width="9.25" style="3482" customWidth="1"/>
    <col min="5381" max="5381" width="11.625" style="3482" customWidth="1"/>
    <col min="5382" max="5382" width="12.875" style="3482" customWidth="1"/>
    <col min="5383" max="5383" width="10.375" style="3482" customWidth="1"/>
    <col min="5384" max="5384" width="13.75" style="3482" bestFit="1" customWidth="1"/>
    <col min="5385" max="5385" width="3.25" style="3482" customWidth="1"/>
    <col min="5386" max="5386" width="9" style="3482"/>
    <col min="5387" max="5387" width="10.625" style="3482" customWidth="1"/>
    <col min="5388" max="5389" width="9" style="3482"/>
    <col min="5390" max="5390" width="3.5" style="3482" customWidth="1"/>
    <col min="5391" max="5391" width="13" style="3482" bestFit="1" customWidth="1"/>
    <col min="5392" max="5392" width="11" style="3482" bestFit="1" customWidth="1"/>
    <col min="5393" max="5633" width="9" style="3482"/>
    <col min="5634" max="5634" width="11.875" style="3482" bestFit="1" customWidth="1"/>
    <col min="5635" max="5635" width="12.25" style="3482" customWidth="1"/>
    <col min="5636" max="5636" width="9.25" style="3482" customWidth="1"/>
    <col min="5637" max="5637" width="11.625" style="3482" customWidth="1"/>
    <col min="5638" max="5638" width="12.875" style="3482" customWidth="1"/>
    <col min="5639" max="5639" width="10.375" style="3482" customWidth="1"/>
    <col min="5640" max="5640" width="13.75" style="3482" bestFit="1" customWidth="1"/>
    <col min="5641" max="5641" width="3.25" style="3482" customWidth="1"/>
    <col min="5642" max="5642" width="9" style="3482"/>
    <col min="5643" max="5643" width="10.625" style="3482" customWidth="1"/>
    <col min="5644" max="5645" width="9" style="3482"/>
    <col min="5646" max="5646" width="3.5" style="3482" customWidth="1"/>
    <col min="5647" max="5647" width="13" style="3482" bestFit="1" customWidth="1"/>
    <col min="5648" max="5648" width="11" style="3482" bestFit="1" customWidth="1"/>
    <col min="5649" max="5889" width="9" style="3482"/>
    <col min="5890" max="5890" width="11.875" style="3482" bestFit="1" customWidth="1"/>
    <col min="5891" max="5891" width="12.25" style="3482" customWidth="1"/>
    <col min="5892" max="5892" width="9.25" style="3482" customWidth="1"/>
    <col min="5893" max="5893" width="11.625" style="3482" customWidth="1"/>
    <col min="5894" max="5894" width="12.875" style="3482" customWidth="1"/>
    <col min="5895" max="5895" width="10.375" style="3482" customWidth="1"/>
    <col min="5896" max="5896" width="13.75" style="3482" bestFit="1" customWidth="1"/>
    <col min="5897" max="5897" width="3.25" style="3482" customWidth="1"/>
    <col min="5898" max="5898" width="9" style="3482"/>
    <col min="5899" max="5899" width="10.625" style="3482" customWidth="1"/>
    <col min="5900" max="5901" width="9" style="3482"/>
    <col min="5902" max="5902" width="3.5" style="3482" customWidth="1"/>
    <col min="5903" max="5903" width="13" style="3482" bestFit="1" customWidth="1"/>
    <col min="5904" max="5904" width="11" style="3482" bestFit="1" customWidth="1"/>
    <col min="5905" max="6145" width="9" style="3482"/>
    <col min="6146" max="6146" width="11.875" style="3482" bestFit="1" customWidth="1"/>
    <col min="6147" max="6147" width="12.25" style="3482" customWidth="1"/>
    <col min="6148" max="6148" width="9.25" style="3482" customWidth="1"/>
    <col min="6149" max="6149" width="11.625" style="3482" customWidth="1"/>
    <col min="6150" max="6150" width="12.875" style="3482" customWidth="1"/>
    <col min="6151" max="6151" width="10.375" style="3482" customWidth="1"/>
    <col min="6152" max="6152" width="13.75" style="3482" bestFit="1" customWidth="1"/>
    <col min="6153" max="6153" width="3.25" style="3482" customWidth="1"/>
    <col min="6154" max="6154" width="9" style="3482"/>
    <col min="6155" max="6155" width="10.625" style="3482" customWidth="1"/>
    <col min="6156" max="6157" width="9" style="3482"/>
    <col min="6158" max="6158" width="3.5" style="3482" customWidth="1"/>
    <col min="6159" max="6159" width="13" style="3482" bestFit="1" customWidth="1"/>
    <col min="6160" max="6160" width="11" style="3482" bestFit="1" customWidth="1"/>
    <col min="6161" max="6401" width="9" style="3482"/>
    <col min="6402" max="6402" width="11.875" style="3482" bestFit="1" customWidth="1"/>
    <col min="6403" max="6403" width="12.25" style="3482" customWidth="1"/>
    <col min="6404" max="6404" width="9.25" style="3482" customWidth="1"/>
    <col min="6405" max="6405" width="11.625" style="3482" customWidth="1"/>
    <col min="6406" max="6406" width="12.875" style="3482" customWidth="1"/>
    <col min="6407" max="6407" width="10.375" style="3482" customWidth="1"/>
    <col min="6408" max="6408" width="13.75" style="3482" bestFit="1" customWidth="1"/>
    <col min="6409" max="6409" width="3.25" style="3482" customWidth="1"/>
    <col min="6410" max="6410" width="9" style="3482"/>
    <col min="6411" max="6411" width="10.625" style="3482" customWidth="1"/>
    <col min="6412" max="6413" width="9" style="3482"/>
    <col min="6414" max="6414" width="3.5" style="3482" customWidth="1"/>
    <col min="6415" max="6415" width="13" style="3482" bestFit="1" customWidth="1"/>
    <col min="6416" max="6416" width="11" style="3482" bestFit="1" customWidth="1"/>
    <col min="6417" max="6657" width="9" style="3482"/>
    <col min="6658" max="6658" width="11.875" style="3482" bestFit="1" customWidth="1"/>
    <col min="6659" max="6659" width="12.25" style="3482" customWidth="1"/>
    <col min="6660" max="6660" width="9.25" style="3482" customWidth="1"/>
    <col min="6661" max="6661" width="11.625" style="3482" customWidth="1"/>
    <col min="6662" max="6662" width="12.875" style="3482" customWidth="1"/>
    <col min="6663" max="6663" width="10.375" style="3482" customWidth="1"/>
    <col min="6664" max="6664" width="13.75" style="3482" bestFit="1" customWidth="1"/>
    <col min="6665" max="6665" width="3.25" style="3482" customWidth="1"/>
    <col min="6666" max="6666" width="9" style="3482"/>
    <col min="6667" max="6667" width="10.625" style="3482" customWidth="1"/>
    <col min="6668" max="6669" width="9" style="3482"/>
    <col min="6670" max="6670" width="3.5" style="3482" customWidth="1"/>
    <col min="6671" max="6671" width="13" style="3482" bestFit="1" customWidth="1"/>
    <col min="6672" max="6672" width="11" style="3482" bestFit="1" customWidth="1"/>
    <col min="6673" max="6913" width="9" style="3482"/>
    <col min="6914" max="6914" width="11.875" style="3482" bestFit="1" customWidth="1"/>
    <col min="6915" max="6915" width="12.25" style="3482" customWidth="1"/>
    <col min="6916" max="6916" width="9.25" style="3482" customWidth="1"/>
    <col min="6917" max="6917" width="11.625" style="3482" customWidth="1"/>
    <col min="6918" max="6918" width="12.875" style="3482" customWidth="1"/>
    <col min="6919" max="6919" width="10.375" style="3482" customWidth="1"/>
    <col min="6920" max="6920" width="13.75" style="3482" bestFit="1" customWidth="1"/>
    <col min="6921" max="6921" width="3.25" style="3482" customWidth="1"/>
    <col min="6922" max="6922" width="9" style="3482"/>
    <col min="6923" max="6923" width="10.625" style="3482" customWidth="1"/>
    <col min="6924" max="6925" width="9" style="3482"/>
    <col min="6926" max="6926" width="3.5" style="3482" customWidth="1"/>
    <col min="6927" max="6927" width="13" style="3482" bestFit="1" customWidth="1"/>
    <col min="6928" max="6928" width="11" style="3482" bestFit="1" customWidth="1"/>
    <col min="6929" max="7169" width="9" style="3482"/>
    <col min="7170" max="7170" width="11.875" style="3482" bestFit="1" customWidth="1"/>
    <col min="7171" max="7171" width="12.25" style="3482" customWidth="1"/>
    <col min="7172" max="7172" width="9.25" style="3482" customWidth="1"/>
    <col min="7173" max="7173" width="11.625" style="3482" customWidth="1"/>
    <col min="7174" max="7174" width="12.875" style="3482" customWidth="1"/>
    <col min="7175" max="7175" width="10.375" style="3482" customWidth="1"/>
    <col min="7176" max="7176" width="13.75" style="3482" bestFit="1" customWidth="1"/>
    <col min="7177" max="7177" width="3.25" style="3482" customWidth="1"/>
    <col min="7178" max="7178" width="9" style="3482"/>
    <col min="7179" max="7179" width="10.625" style="3482" customWidth="1"/>
    <col min="7180" max="7181" width="9" style="3482"/>
    <col min="7182" max="7182" width="3.5" style="3482" customWidth="1"/>
    <col min="7183" max="7183" width="13" style="3482" bestFit="1" customWidth="1"/>
    <col min="7184" max="7184" width="11" style="3482" bestFit="1" customWidth="1"/>
    <col min="7185" max="7425" width="9" style="3482"/>
    <col min="7426" max="7426" width="11.875" style="3482" bestFit="1" customWidth="1"/>
    <col min="7427" max="7427" width="12.25" style="3482" customWidth="1"/>
    <col min="7428" max="7428" width="9.25" style="3482" customWidth="1"/>
    <col min="7429" max="7429" width="11.625" style="3482" customWidth="1"/>
    <col min="7430" max="7430" width="12.875" style="3482" customWidth="1"/>
    <col min="7431" max="7431" width="10.375" style="3482" customWidth="1"/>
    <col min="7432" max="7432" width="13.75" style="3482" bestFit="1" customWidth="1"/>
    <col min="7433" max="7433" width="3.25" style="3482" customWidth="1"/>
    <col min="7434" max="7434" width="9" style="3482"/>
    <col min="7435" max="7435" width="10.625" style="3482" customWidth="1"/>
    <col min="7436" max="7437" width="9" style="3482"/>
    <col min="7438" max="7438" width="3.5" style="3482" customWidth="1"/>
    <col min="7439" max="7439" width="13" style="3482" bestFit="1" customWidth="1"/>
    <col min="7440" max="7440" width="11" style="3482" bestFit="1" customWidth="1"/>
    <col min="7441" max="7681" width="9" style="3482"/>
    <col min="7682" max="7682" width="11.875" style="3482" bestFit="1" customWidth="1"/>
    <col min="7683" max="7683" width="12.25" style="3482" customWidth="1"/>
    <col min="7684" max="7684" width="9.25" style="3482" customWidth="1"/>
    <col min="7685" max="7685" width="11.625" style="3482" customWidth="1"/>
    <col min="7686" max="7686" width="12.875" style="3482" customWidth="1"/>
    <col min="7687" max="7687" width="10.375" style="3482" customWidth="1"/>
    <col min="7688" max="7688" width="13.75" style="3482" bestFit="1" customWidth="1"/>
    <col min="7689" max="7689" width="3.25" style="3482" customWidth="1"/>
    <col min="7690" max="7690" width="9" style="3482"/>
    <col min="7691" max="7691" width="10.625" style="3482" customWidth="1"/>
    <col min="7692" max="7693" width="9" style="3482"/>
    <col min="7694" max="7694" width="3.5" style="3482" customWidth="1"/>
    <col min="7695" max="7695" width="13" style="3482" bestFit="1" customWidth="1"/>
    <col min="7696" max="7696" width="11" style="3482" bestFit="1" customWidth="1"/>
    <col min="7697" max="7937" width="9" style="3482"/>
    <col min="7938" max="7938" width="11.875" style="3482" bestFit="1" customWidth="1"/>
    <col min="7939" max="7939" width="12.25" style="3482" customWidth="1"/>
    <col min="7940" max="7940" width="9.25" style="3482" customWidth="1"/>
    <col min="7941" max="7941" width="11.625" style="3482" customWidth="1"/>
    <col min="7942" max="7942" width="12.875" style="3482" customWidth="1"/>
    <col min="7943" max="7943" width="10.375" style="3482" customWidth="1"/>
    <col min="7944" max="7944" width="13.75" style="3482" bestFit="1" customWidth="1"/>
    <col min="7945" max="7945" width="3.25" style="3482" customWidth="1"/>
    <col min="7946" max="7946" width="9" style="3482"/>
    <col min="7947" max="7947" width="10.625" style="3482" customWidth="1"/>
    <col min="7948" max="7949" width="9" style="3482"/>
    <col min="7950" max="7950" width="3.5" style="3482" customWidth="1"/>
    <col min="7951" max="7951" width="13" style="3482" bestFit="1" customWidth="1"/>
    <col min="7952" max="7952" width="11" style="3482" bestFit="1" customWidth="1"/>
    <col min="7953" max="8193" width="9" style="3482"/>
    <col min="8194" max="8194" width="11.875" style="3482" bestFit="1" customWidth="1"/>
    <col min="8195" max="8195" width="12.25" style="3482" customWidth="1"/>
    <col min="8196" max="8196" width="9.25" style="3482" customWidth="1"/>
    <col min="8197" max="8197" width="11.625" style="3482" customWidth="1"/>
    <col min="8198" max="8198" width="12.875" style="3482" customWidth="1"/>
    <col min="8199" max="8199" width="10.375" style="3482" customWidth="1"/>
    <col min="8200" max="8200" width="13.75" style="3482" bestFit="1" customWidth="1"/>
    <col min="8201" max="8201" width="3.25" style="3482" customWidth="1"/>
    <col min="8202" max="8202" width="9" style="3482"/>
    <col min="8203" max="8203" width="10.625" style="3482" customWidth="1"/>
    <col min="8204" max="8205" width="9" style="3482"/>
    <col min="8206" max="8206" width="3.5" style="3482" customWidth="1"/>
    <col min="8207" max="8207" width="13" style="3482" bestFit="1" customWidth="1"/>
    <col min="8208" max="8208" width="11" style="3482" bestFit="1" customWidth="1"/>
    <col min="8209" max="8449" width="9" style="3482"/>
    <col min="8450" max="8450" width="11.875" style="3482" bestFit="1" customWidth="1"/>
    <col min="8451" max="8451" width="12.25" style="3482" customWidth="1"/>
    <col min="8452" max="8452" width="9.25" style="3482" customWidth="1"/>
    <col min="8453" max="8453" width="11.625" style="3482" customWidth="1"/>
    <col min="8454" max="8454" width="12.875" style="3482" customWidth="1"/>
    <col min="8455" max="8455" width="10.375" style="3482" customWidth="1"/>
    <col min="8456" max="8456" width="13.75" style="3482" bestFit="1" customWidth="1"/>
    <col min="8457" max="8457" width="3.25" style="3482" customWidth="1"/>
    <col min="8458" max="8458" width="9" style="3482"/>
    <col min="8459" max="8459" width="10.625" style="3482" customWidth="1"/>
    <col min="8460" max="8461" width="9" style="3482"/>
    <col min="8462" max="8462" width="3.5" style="3482" customWidth="1"/>
    <col min="8463" max="8463" width="13" style="3482" bestFit="1" customWidth="1"/>
    <col min="8464" max="8464" width="11" style="3482" bestFit="1" customWidth="1"/>
    <col min="8465" max="8705" width="9" style="3482"/>
    <col min="8706" max="8706" width="11.875" style="3482" bestFit="1" customWidth="1"/>
    <col min="8707" max="8707" width="12.25" style="3482" customWidth="1"/>
    <col min="8708" max="8708" width="9.25" style="3482" customWidth="1"/>
    <col min="8709" max="8709" width="11.625" style="3482" customWidth="1"/>
    <col min="8710" max="8710" width="12.875" style="3482" customWidth="1"/>
    <col min="8711" max="8711" width="10.375" style="3482" customWidth="1"/>
    <col min="8712" max="8712" width="13.75" style="3482" bestFit="1" customWidth="1"/>
    <col min="8713" max="8713" width="3.25" style="3482" customWidth="1"/>
    <col min="8714" max="8714" width="9" style="3482"/>
    <col min="8715" max="8715" width="10.625" style="3482" customWidth="1"/>
    <col min="8716" max="8717" width="9" style="3482"/>
    <col min="8718" max="8718" width="3.5" style="3482" customWidth="1"/>
    <col min="8719" max="8719" width="13" style="3482" bestFit="1" customWidth="1"/>
    <col min="8720" max="8720" width="11" style="3482" bestFit="1" customWidth="1"/>
    <col min="8721" max="8961" width="9" style="3482"/>
    <col min="8962" max="8962" width="11.875" style="3482" bestFit="1" customWidth="1"/>
    <col min="8963" max="8963" width="12.25" style="3482" customWidth="1"/>
    <col min="8964" max="8964" width="9.25" style="3482" customWidth="1"/>
    <col min="8965" max="8965" width="11.625" style="3482" customWidth="1"/>
    <col min="8966" max="8966" width="12.875" style="3482" customWidth="1"/>
    <col min="8967" max="8967" width="10.375" style="3482" customWidth="1"/>
    <col min="8968" max="8968" width="13.75" style="3482" bestFit="1" customWidth="1"/>
    <col min="8969" max="8969" width="3.25" style="3482" customWidth="1"/>
    <col min="8970" max="8970" width="9" style="3482"/>
    <col min="8971" max="8971" width="10.625" style="3482" customWidth="1"/>
    <col min="8972" max="8973" width="9" style="3482"/>
    <col min="8974" max="8974" width="3.5" style="3482" customWidth="1"/>
    <col min="8975" max="8975" width="13" style="3482" bestFit="1" customWidth="1"/>
    <col min="8976" max="8976" width="11" style="3482" bestFit="1" customWidth="1"/>
    <col min="8977" max="9217" width="9" style="3482"/>
    <col min="9218" max="9218" width="11.875" style="3482" bestFit="1" customWidth="1"/>
    <col min="9219" max="9219" width="12.25" style="3482" customWidth="1"/>
    <col min="9220" max="9220" width="9.25" style="3482" customWidth="1"/>
    <col min="9221" max="9221" width="11.625" style="3482" customWidth="1"/>
    <col min="9222" max="9222" width="12.875" style="3482" customWidth="1"/>
    <col min="9223" max="9223" width="10.375" style="3482" customWidth="1"/>
    <col min="9224" max="9224" width="13.75" style="3482" bestFit="1" customWidth="1"/>
    <col min="9225" max="9225" width="3.25" style="3482" customWidth="1"/>
    <col min="9226" max="9226" width="9" style="3482"/>
    <col min="9227" max="9227" width="10.625" style="3482" customWidth="1"/>
    <col min="9228" max="9229" width="9" style="3482"/>
    <col min="9230" max="9230" width="3.5" style="3482" customWidth="1"/>
    <col min="9231" max="9231" width="13" style="3482" bestFit="1" customWidth="1"/>
    <col min="9232" max="9232" width="11" style="3482" bestFit="1" customWidth="1"/>
    <col min="9233" max="9473" width="9" style="3482"/>
    <col min="9474" max="9474" width="11.875" style="3482" bestFit="1" customWidth="1"/>
    <col min="9475" max="9475" width="12.25" style="3482" customWidth="1"/>
    <col min="9476" max="9476" width="9.25" style="3482" customWidth="1"/>
    <col min="9477" max="9477" width="11.625" style="3482" customWidth="1"/>
    <col min="9478" max="9478" width="12.875" style="3482" customWidth="1"/>
    <col min="9479" max="9479" width="10.375" style="3482" customWidth="1"/>
    <col min="9480" max="9480" width="13.75" style="3482" bestFit="1" customWidth="1"/>
    <col min="9481" max="9481" width="3.25" style="3482" customWidth="1"/>
    <col min="9482" max="9482" width="9" style="3482"/>
    <col min="9483" max="9483" width="10.625" style="3482" customWidth="1"/>
    <col min="9484" max="9485" width="9" style="3482"/>
    <col min="9486" max="9486" width="3.5" style="3482" customWidth="1"/>
    <col min="9487" max="9487" width="13" style="3482" bestFit="1" customWidth="1"/>
    <col min="9488" max="9488" width="11" style="3482" bestFit="1" customWidth="1"/>
    <col min="9489" max="9729" width="9" style="3482"/>
    <col min="9730" max="9730" width="11.875" style="3482" bestFit="1" customWidth="1"/>
    <col min="9731" max="9731" width="12.25" style="3482" customWidth="1"/>
    <col min="9732" max="9732" width="9.25" style="3482" customWidth="1"/>
    <col min="9733" max="9733" width="11.625" style="3482" customWidth="1"/>
    <col min="9734" max="9734" width="12.875" style="3482" customWidth="1"/>
    <col min="9735" max="9735" width="10.375" style="3482" customWidth="1"/>
    <col min="9736" max="9736" width="13.75" style="3482" bestFit="1" customWidth="1"/>
    <col min="9737" max="9737" width="3.25" style="3482" customWidth="1"/>
    <col min="9738" max="9738" width="9" style="3482"/>
    <col min="9739" max="9739" width="10.625" style="3482" customWidth="1"/>
    <col min="9740" max="9741" width="9" style="3482"/>
    <col min="9742" max="9742" width="3.5" style="3482" customWidth="1"/>
    <col min="9743" max="9743" width="13" style="3482" bestFit="1" customWidth="1"/>
    <col min="9744" max="9744" width="11" style="3482" bestFit="1" customWidth="1"/>
    <col min="9745" max="9985" width="9" style="3482"/>
    <col min="9986" max="9986" width="11.875" style="3482" bestFit="1" customWidth="1"/>
    <col min="9987" max="9987" width="12.25" style="3482" customWidth="1"/>
    <col min="9988" max="9988" width="9.25" style="3482" customWidth="1"/>
    <col min="9989" max="9989" width="11.625" style="3482" customWidth="1"/>
    <col min="9990" max="9990" width="12.875" style="3482" customWidth="1"/>
    <col min="9991" max="9991" width="10.375" style="3482" customWidth="1"/>
    <col min="9992" max="9992" width="13.75" style="3482" bestFit="1" customWidth="1"/>
    <col min="9993" max="9993" width="3.25" style="3482" customWidth="1"/>
    <col min="9994" max="9994" width="9" style="3482"/>
    <col min="9995" max="9995" width="10.625" style="3482" customWidth="1"/>
    <col min="9996" max="9997" width="9" style="3482"/>
    <col min="9998" max="9998" width="3.5" style="3482" customWidth="1"/>
    <col min="9999" max="9999" width="13" style="3482" bestFit="1" customWidth="1"/>
    <col min="10000" max="10000" width="11" style="3482" bestFit="1" customWidth="1"/>
    <col min="10001" max="10241" width="9" style="3482"/>
    <col min="10242" max="10242" width="11.875" style="3482" bestFit="1" customWidth="1"/>
    <col min="10243" max="10243" width="12.25" style="3482" customWidth="1"/>
    <col min="10244" max="10244" width="9.25" style="3482" customWidth="1"/>
    <col min="10245" max="10245" width="11.625" style="3482" customWidth="1"/>
    <col min="10246" max="10246" width="12.875" style="3482" customWidth="1"/>
    <col min="10247" max="10247" width="10.375" style="3482" customWidth="1"/>
    <col min="10248" max="10248" width="13.75" style="3482" bestFit="1" customWidth="1"/>
    <col min="10249" max="10249" width="3.25" style="3482" customWidth="1"/>
    <col min="10250" max="10250" width="9" style="3482"/>
    <col min="10251" max="10251" width="10.625" style="3482" customWidth="1"/>
    <col min="10252" max="10253" width="9" style="3482"/>
    <col min="10254" max="10254" width="3.5" style="3482" customWidth="1"/>
    <col min="10255" max="10255" width="13" style="3482" bestFit="1" customWidth="1"/>
    <col min="10256" max="10256" width="11" style="3482" bestFit="1" customWidth="1"/>
    <col min="10257" max="10497" width="9" style="3482"/>
    <col min="10498" max="10498" width="11.875" style="3482" bestFit="1" customWidth="1"/>
    <col min="10499" max="10499" width="12.25" style="3482" customWidth="1"/>
    <col min="10500" max="10500" width="9.25" style="3482" customWidth="1"/>
    <col min="10501" max="10501" width="11.625" style="3482" customWidth="1"/>
    <col min="10502" max="10502" width="12.875" style="3482" customWidth="1"/>
    <col min="10503" max="10503" width="10.375" style="3482" customWidth="1"/>
    <col min="10504" max="10504" width="13.75" style="3482" bestFit="1" customWidth="1"/>
    <col min="10505" max="10505" width="3.25" style="3482" customWidth="1"/>
    <col min="10506" max="10506" width="9" style="3482"/>
    <col min="10507" max="10507" width="10.625" style="3482" customWidth="1"/>
    <col min="10508" max="10509" width="9" style="3482"/>
    <col min="10510" max="10510" width="3.5" style="3482" customWidth="1"/>
    <col min="10511" max="10511" width="13" style="3482" bestFit="1" customWidth="1"/>
    <col min="10512" max="10512" width="11" style="3482" bestFit="1" customWidth="1"/>
    <col min="10513" max="10753" width="9" style="3482"/>
    <col min="10754" max="10754" width="11.875" style="3482" bestFit="1" customWidth="1"/>
    <col min="10755" max="10755" width="12.25" style="3482" customWidth="1"/>
    <col min="10756" max="10756" width="9.25" style="3482" customWidth="1"/>
    <col min="10757" max="10757" width="11.625" style="3482" customWidth="1"/>
    <col min="10758" max="10758" width="12.875" style="3482" customWidth="1"/>
    <col min="10759" max="10759" width="10.375" style="3482" customWidth="1"/>
    <col min="10760" max="10760" width="13.75" style="3482" bestFit="1" customWidth="1"/>
    <col min="10761" max="10761" width="3.25" style="3482" customWidth="1"/>
    <col min="10762" max="10762" width="9" style="3482"/>
    <col min="10763" max="10763" width="10.625" style="3482" customWidth="1"/>
    <col min="10764" max="10765" width="9" style="3482"/>
    <col min="10766" max="10766" width="3.5" style="3482" customWidth="1"/>
    <col min="10767" max="10767" width="13" style="3482" bestFit="1" customWidth="1"/>
    <col min="10768" max="10768" width="11" style="3482" bestFit="1" customWidth="1"/>
    <col min="10769" max="11009" width="9" style="3482"/>
    <col min="11010" max="11010" width="11.875" style="3482" bestFit="1" customWidth="1"/>
    <col min="11011" max="11011" width="12.25" style="3482" customWidth="1"/>
    <col min="11012" max="11012" width="9.25" style="3482" customWidth="1"/>
    <col min="11013" max="11013" width="11.625" style="3482" customWidth="1"/>
    <col min="11014" max="11014" width="12.875" style="3482" customWidth="1"/>
    <col min="11015" max="11015" width="10.375" style="3482" customWidth="1"/>
    <col min="11016" max="11016" width="13.75" style="3482" bestFit="1" customWidth="1"/>
    <col min="11017" max="11017" width="3.25" style="3482" customWidth="1"/>
    <col min="11018" max="11018" width="9" style="3482"/>
    <col min="11019" max="11019" width="10.625" style="3482" customWidth="1"/>
    <col min="11020" max="11021" width="9" style="3482"/>
    <col min="11022" max="11022" width="3.5" style="3482" customWidth="1"/>
    <col min="11023" max="11023" width="13" style="3482" bestFit="1" customWidth="1"/>
    <col min="11024" max="11024" width="11" style="3482" bestFit="1" customWidth="1"/>
    <col min="11025" max="11265" width="9" style="3482"/>
    <col min="11266" max="11266" width="11.875" style="3482" bestFit="1" customWidth="1"/>
    <col min="11267" max="11267" width="12.25" style="3482" customWidth="1"/>
    <col min="11268" max="11268" width="9.25" style="3482" customWidth="1"/>
    <col min="11269" max="11269" width="11.625" style="3482" customWidth="1"/>
    <col min="11270" max="11270" width="12.875" style="3482" customWidth="1"/>
    <col min="11271" max="11271" width="10.375" style="3482" customWidth="1"/>
    <col min="11272" max="11272" width="13.75" style="3482" bestFit="1" customWidth="1"/>
    <col min="11273" max="11273" width="3.25" style="3482" customWidth="1"/>
    <col min="11274" max="11274" width="9" style="3482"/>
    <col min="11275" max="11275" width="10.625" style="3482" customWidth="1"/>
    <col min="11276" max="11277" width="9" style="3482"/>
    <col min="11278" max="11278" width="3.5" style="3482" customWidth="1"/>
    <col min="11279" max="11279" width="13" style="3482" bestFit="1" customWidth="1"/>
    <col min="11280" max="11280" width="11" style="3482" bestFit="1" customWidth="1"/>
    <col min="11281" max="11521" width="9" style="3482"/>
    <col min="11522" max="11522" width="11.875" style="3482" bestFit="1" customWidth="1"/>
    <col min="11523" max="11523" width="12.25" style="3482" customWidth="1"/>
    <col min="11524" max="11524" width="9.25" style="3482" customWidth="1"/>
    <col min="11525" max="11525" width="11.625" style="3482" customWidth="1"/>
    <col min="11526" max="11526" width="12.875" style="3482" customWidth="1"/>
    <col min="11527" max="11527" width="10.375" style="3482" customWidth="1"/>
    <col min="11528" max="11528" width="13.75" style="3482" bestFit="1" customWidth="1"/>
    <col min="11529" max="11529" width="3.25" style="3482" customWidth="1"/>
    <col min="11530" max="11530" width="9" style="3482"/>
    <col min="11531" max="11531" width="10.625" style="3482" customWidth="1"/>
    <col min="11532" max="11533" width="9" style="3482"/>
    <col min="11534" max="11534" width="3.5" style="3482" customWidth="1"/>
    <col min="11535" max="11535" width="13" style="3482" bestFit="1" customWidth="1"/>
    <col min="11536" max="11536" width="11" style="3482" bestFit="1" customWidth="1"/>
    <col min="11537" max="11777" width="9" style="3482"/>
    <col min="11778" max="11778" width="11.875" style="3482" bestFit="1" customWidth="1"/>
    <col min="11779" max="11779" width="12.25" style="3482" customWidth="1"/>
    <col min="11780" max="11780" width="9.25" style="3482" customWidth="1"/>
    <col min="11781" max="11781" width="11.625" style="3482" customWidth="1"/>
    <col min="11782" max="11782" width="12.875" style="3482" customWidth="1"/>
    <col min="11783" max="11783" width="10.375" style="3482" customWidth="1"/>
    <col min="11784" max="11784" width="13.75" style="3482" bestFit="1" customWidth="1"/>
    <col min="11785" max="11785" width="3.25" style="3482" customWidth="1"/>
    <col min="11786" max="11786" width="9" style="3482"/>
    <col min="11787" max="11787" width="10.625" style="3482" customWidth="1"/>
    <col min="11788" max="11789" width="9" style="3482"/>
    <col min="11790" max="11790" width="3.5" style="3482" customWidth="1"/>
    <col min="11791" max="11791" width="13" style="3482" bestFit="1" customWidth="1"/>
    <col min="11792" max="11792" width="11" style="3482" bestFit="1" customWidth="1"/>
    <col min="11793" max="12033" width="9" style="3482"/>
    <col min="12034" max="12034" width="11.875" style="3482" bestFit="1" customWidth="1"/>
    <col min="12035" max="12035" width="12.25" style="3482" customWidth="1"/>
    <col min="12036" max="12036" width="9.25" style="3482" customWidth="1"/>
    <col min="12037" max="12037" width="11.625" style="3482" customWidth="1"/>
    <col min="12038" max="12038" width="12.875" style="3482" customWidth="1"/>
    <col min="12039" max="12039" width="10.375" style="3482" customWidth="1"/>
    <col min="12040" max="12040" width="13.75" style="3482" bestFit="1" customWidth="1"/>
    <col min="12041" max="12041" width="3.25" style="3482" customWidth="1"/>
    <col min="12042" max="12042" width="9" style="3482"/>
    <col min="12043" max="12043" width="10.625" style="3482" customWidth="1"/>
    <col min="12044" max="12045" width="9" style="3482"/>
    <col min="12046" max="12046" width="3.5" style="3482" customWidth="1"/>
    <col min="12047" max="12047" width="13" style="3482" bestFit="1" customWidth="1"/>
    <col min="12048" max="12048" width="11" style="3482" bestFit="1" customWidth="1"/>
    <col min="12049" max="12289" width="9" style="3482"/>
    <col min="12290" max="12290" width="11.875" style="3482" bestFit="1" customWidth="1"/>
    <col min="12291" max="12291" width="12.25" style="3482" customWidth="1"/>
    <col min="12292" max="12292" width="9.25" style="3482" customWidth="1"/>
    <col min="12293" max="12293" width="11.625" style="3482" customWidth="1"/>
    <col min="12294" max="12294" width="12.875" style="3482" customWidth="1"/>
    <col min="12295" max="12295" width="10.375" style="3482" customWidth="1"/>
    <col min="12296" max="12296" width="13.75" style="3482" bestFit="1" customWidth="1"/>
    <col min="12297" max="12297" width="3.25" style="3482" customWidth="1"/>
    <col min="12298" max="12298" width="9" style="3482"/>
    <col min="12299" max="12299" width="10.625" style="3482" customWidth="1"/>
    <col min="12300" max="12301" width="9" style="3482"/>
    <col min="12302" max="12302" width="3.5" style="3482" customWidth="1"/>
    <col min="12303" max="12303" width="13" style="3482" bestFit="1" customWidth="1"/>
    <col min="12304" max="12304" width="11" style="3482" bestFit="1" customWidth="1"/>
    <col min="12305" max="12545" width="9" style="3482"/>
    <col min="12546" max="12546" width="11.875" style="3482" bestFit="1" customWidth="1"/>
    <col min="12547" max="12547" width="12.25" style="3482" customWidth="1"/>
    <col min="12548" max="12548" width="9.25" style="3482" customWidth="1"/>
    <col min="12549" max="12549" width="11.625" style="3482" customWidth="1"/>
    <col min="12550" max="12550" width="12.875" style="3482" customWidth="1"/>
    <col min="12551" max="12551" width="10.375" style="3482" customWidth="1"/>
    <col min="12552" max="12552" width="13.75" style="3482" bestFit="1" customWidth="1"/>
    <col min="12553" max="12553" width="3.25" style="3482" customWidth="1"/>
    <col min="12554" max="12554" width="9" style="3482"/>
    <col min="12555" max="12555" width="10.625" style="3482" customWidth="1"/>
    <col min="12556" max="12557" width="9" style="3482"/>
    <col min="12558" max="12558" width="3.5" style="3482" customWidth="1"/>
    <col min="12559" max="12559" width="13" style="3482" bestFit="1" customWidth="1"/>
    <col min="12560" max="12560" width="11" style="3482" bestFit="1" customWidth="1"/>
    <col min="12561" max="12801" width="9" style="3482"/>
    <col min="12802" max="12802" width="11.875" style="3482" bestFit="1" customWidth="1"/>
    <col min="12803" max="12803" width="12.25" style="3482" customWidth="1"/>
    <col min="12804" max="12804" width="9.25" style="3482" customWidth="1"/>
    <col min="12805" max="12805" width="11.625" style="3482" customWidth="1"/>
    <col min="12806" max="12806" width="12.875" style="3482" customWidth="1"/>
    <col min="12807" max="12807" width="10.375" style="3482" customWidth="1"/>
    <col min="12808" max="12808" width="13.75" style="3482" bestFit="1" customWidth="1"/>
    <col min="12809" max="12809" width="3.25" style="3482" customWidth="1"/>
    <col min="12810" max="12810" width="9" style="3482"/>
    <col min="12811" max="12811" width="10.625" style="3482" customWidth="1"/>
    <col min="12812" max="12813" width="9" style="3482"/>
    <col min="12814" max="12814" width="3.5" style="3482" customWidth="1"/>
    <col min="12815" max="12815" width="13" style="3482" bestFit="1" customWidth="1"/>
    <col min="12816" max="12816" width="11" style="3482" bestFit="1" customWidth="1"/>
    <col min="12817" max="13057" width="9" style="3482"/>
    <col min="13058" max="13058" width="11.875" style="3482" bestFit="1" customWidth="1"/>
    <col min="13059" max="13059" width="12.25" style="3482" customWidth="1"/>
    <col min="13060" max="13060" width="9.25" style="3482" customWidth="1"/>
    <col min="13061" max="13061" width="11.625" style="3482" customWidth="1"/>
    <col min="13062" max="13062" width="12.875" style="3482" customWidth="1"/>
    <col min="13063" max="13063" width="10.375" style="3482" customWidth="1"/>
    <col min="13064" max="13064" width="13.75" style="3482" bestFit="1" customWidth="1"/>
    <col min="13065" max="13065" width="3.25" style="3482" customWidth="1"/>
    <col min="13066" max="13066" width="9" style="3482"/>
    <col min="13067" max="13067" width="10.625" style="3482" customWidth="1"/>
    <col min="13068" max="13069" width="9" style="3482"/>
    <col min="13070" max="13070" width="3.5" style="3482" customWidth="1"/>
    <col min="13071" max="13071" width="13" style="3482" bestFit="1" customWidth="1"/>
    <col min="13072" max="13072" width="11" style="3482" bestFit="1" customWidth="1"/>
    <col min="13073" max="13313" width="9" style="3482"/>
    <col min="13314" max="13314" width="11.875" style="3482" bestFit="1" customWidth="1"/>
    <col min="13315" max="13315" width="12.25" style="3482" customWidth="1"/>
    <col min="13316" max="13316" width="9.25" style="3482" customWidth="1"/>
    <col min="13317" max="13317" width="11.625" style="3482" customWidth="1"/>
    <col min="13318" max="13318" width="12.875" style="3482" customWidth="1"/>
    <col min="13319" max="13319" width="10.375" style="3482" customWidth="1"/>
    <col min="13320" max="13320" width="13.75" style="3482" bestFit="1" customWidth="1"/>
    <col min="13321" max="13321" width="3.25" style="3482" customWidth="1"/>
    <col min="13322" max="13322" width="9" style="3482"/>
    <col min="13323" max="13323" width="10.625" style="3482" customWidth="1"/>
    <col min="13324" max="13325" width="9" style="3482"/>
    <col min="13326" max="13326" width="3.5" style="3482" customWidth="1"/>
    <col min="13327" max="13327" width="13" style="3482" bestFit="1" customWidth="1"/>
    <col min="13328" max="13328" width="11" style="3482" bestFit="1" customWidth="1"/>
    <col min="13329" max="13569" width="9" style="3482"/>
    <col min="13570" max="13570" width="11.875" style="3482" bestFit="1" customWidth="1"/>
    <col min="13571" max="13571" width="12.25" style="3482" customWidth="1"/>
    <col min="13572" max="13572" width="9.25" style="3482" customWidth="1"/>
    <col min="13573" max="13573" width="11.625" style="3482" customWidth="1"/>
    <col min="13574" max="13574" width="12.875" style="3482" customWidth="1"/>
    <col min="13575" max="13575" width="10.375" style="3482" customWidth="1"/>
    <col min="13576" max="13576" width="13.75" style="3482" bestFit="1" customWidth="1"/>
    <col min="13577" max="13577" width="3.25" style="3482" customWidth="1"/>
    <col min="13578" max="13578" width="9" style="3482"/>
    <col min="13579" max="13579" width="10.625" style="3482" customWidth="1"/>
    <col min="13580" max="13581" width="9" style="3482"/>
    <col min="13582" max="13582" width="3.5" style="3482" customWidth="1"/>
    <col min="13583" max="13583" width="13" style="3482" bestFit="1" customWidth="1"/>
    <col min="13584" max="13584" width="11" style="3482" bestFit="1" customWidth="1"/>
    <col min="13585" max="13825" width="9" style="3482"/>
    <col min="13826" max="13826" width="11.875" style="3482" bestFit="1" customWidth="1"/>
    <col min="13827" max="13827" width="12.25" style="3482" customWidth="1"/>
    <col min="13828" max="13828" width="9.25" style="3482" customWidth="1"/>
    <col min="13829" max="13829" width="11.625" style="3482" customWidth="1"/>
    <col min="13830" max="13830" width="12.875" style="3482" customWidth="1"/>
    <col min="13831" max="13831" width="10.375" style="3482" customWidth="1"/>
    <col min="13832" max="13832" width="13.75" style="3482" bestFit="1" customWidth="1"/>
    <col min="13833" max="13833" width="3.25" style="3482" customWidth="1"/>
    <col min="13834" max="13834" width="9" style="3482"/>
    <col min="13835" max="13835" width="10.625" style="3482" customWidth="1"/>
    <col min="13836" max="13837" width="9" style="3482"/>
    <col min="13838" max="13838" width="3.5" style="3482" customWidth="1"/>
    <col min="13839" max="13839" width="13" style="3482" bestFit="1" customWidth="1"/>
    <col min="13840" max="13840" width="11" style="3482" bestFit="1" customWidth="1"/>
    <col min="13841" max="14081" width="9" style="3482"/>
    <col min="14082" max="14082" width="11.875" style="3482" bestFit="1" customWidth="1"/>
    <col min="14083" max="14083" width="12.25" style="3482" customWidth="1"/>
    <col min="14084" max="14084" width="9.25" style="3482" customWidth="1"/>
    <col min="14085" max="14085" width="11.625" style="3482" customWidth="1"/>
    <col min="14086" max="14086" width="12.875" style="3482" customWidth="1"/>
    <col min="14087" max="14087" width="10.375" style="3482" customWidth="1"/>
    <col min="14088" max="14088" width="13.75" style="3482" bestFit="1" customWidth="1"/>
    <col min="14089" max="14089" width="3.25" style="3482" customWidth="1"/>
    <col min="14090" max="14090" width="9" style="3482"/>
    <col min="14091" max="14091" width="10.625" style="3482" customWidth="1"/>
    <col min="14092" max="14093" width="9" style="3482"/>
    <col min="14094" max="14094" width="3.5" style="3482" customWidth="1"/>
    <col min="14095" max="14095" width="13" style="3482" bestFit="1" customWidth="1"/>
    <col min="14096" max="14096" width="11" style="3482" bestFit="1" customWidth="1"/>
    <col min="14097" max="14337" width="9" style="3482"/>
    <col min="14338" max="14338" width="11.875" style="3482" bestFit="1" customWidth="1"/>
    <col min="14339" max="14339" width="12.25" style="3482" customWidth="1"/>
    <col min="14340" max="14340" width="9.25" style="3482" customWidth="1"/>
    <col min="14341" max="14341" width="11.625" style="3482" customWidth="1"/>
    <col min="14342" max="14342" width="12.875" style="3482" customWidth="1"/>
    <col min="14343" max="14343" width="10.375" style="3482" customWidth="1"/>
    <col min="14344" max="14344" width="13.75" style="3482" bestFit="1" customWidth="1"/>
    <col min="14345" max="14345" width="3.25" style="3482" customWidth="1"/>
    <col min="14346" max="14346" width="9" style="3482"/>
    <col min="14347" max="14347" width="10.625" style="3482" customWidth="1"/>
    <col min="14348" max="14349" width="9" style="3482"/>
    <col min="14350" max="14350" width="3.5" style="3482" customWidth="1"/>
    <col min="14351" max="14351" width="13" style="3482" bestFit="1" customWidth="1"/>
    <col min="14352" max="14352" width="11" style="3482" bestFit="1" customWidth="1"/>
    <col min="14353" max="14593" width="9" style="3482"/>
    <col min="14594" max="14594" width="11.875" style="3482" bestFit="1" customWidth="1"/>
    <col min="14595" max="14595" width="12.25" style="3482" customWidth="1"/>
    <col min="14596" max="14596" width="9.25" style="3482" customWidth="1"/>
    <col min="14597" max="14597" width="11.625" style="3482" customWidth="1"/>
    <col min="14598" max="14598" width="12.875" style="3482" customWidth="1"/>
    <col min="14599" max="14599" width="10.375" style="3482" customWidth="1"/>
    <col min="14600" max="14600" width="13.75" style="3482" bestFit="1" customWidth="1"/>
    <col min="14601" max="14601" width="3.25" style="3482" customWidth="1"/>
    <col min="14602" max="14602" width="9" style="3482"/>
    <col min="14603" max="14603" width="10.625" style="3482" customWidth="1"/>
    <col min="14604" max="14605" width="9" style="3482"/>
    <col min="14606" max="14606" width="3.5" style="3482" customWidth="1"/>
    <col min="14607" max="14607" width="13" style="3482" bestFit="1" customWidth="1"/>
    <col min="14608" max="14608" width="11" style="3482" bestFit="1" customWidth="1"/>
    <col min="14609" max="14849" width="9" style="3482"/>
    <col min="14850" max="14850" width="11.875" style="3482" bestFit="1" customWidth="1"/>
    <col min="14851" max="14851" width="12.25" style="3482" customWidth="1"/>
    <col min="14852" max="14852" width="9.25" style="3482" customWidth="1"/>
    <col min="14853" max="14853" width="11.625" style="3482" customWidth="1"/>
    <col min="14854" max="14854" width="12.875" style="3482" customWidth="1"/>
    <col min="14855" max="14855" width="10.375" style="3482" customWidth="1"/>
    <col min="14856" max="14856" width="13.75" style="3482" bestFit="1" customWidth="1"/>
    <col min="14857" max="14857" width="3.25" style="3482" customWidth="1"/>
    <col min="14858" max="14858" width="9" style="3482"/>
    <col min="14859" max="14859" width="10.625" style="3482" customWidth="1"/>
    <col min="14860" max="14861" width="9" style="3482"/>
    <col min="14862" max="14862" width="3.5" style="3482" customWidth="1"/>
    <col min="14863" max="14863" width="13" style="3482" bestFit="1" customWidth="1"/>
    <col min="14864" max="14864" width="11" style="3482" bestFit="1" customWidth="1"/>
    <col min="14865" max="15105" width="9" style="3482"/>
    <col min="15106" max="15106" width="11.875" style="3482" bestFit="1" customWidth="1"/>
    <col min="15107" max="15107" width="12.25" style="3482" customWidth="1"/>
    <col min="15108" max="15108" width="9.25" style="3482" customWidth="1"/>
    <col min="15109" max="15109" width="11.625" style="3482" customWidth="1"/>
    <col min="15110" max="15110" width="12.875" style="3482" customWidth="1"/>
    <col min="15111" max="15111" width="10.375" style="3482" customWidth="1"/>
    <col min="15112" max="15112" width="13.75" style="3482" bestFit="1" customWidth="1"/>
    <col min="15113" max="15113" width="3.25" style="3482" customWidth="1"/>
    <col min="15114" max="15114" width="9" style="3482"/>
    <col min="15115" max="15115" width="10.625" style="3482" customWidth="1"/>
    <col min="15116" max="15117" width="9" style="3482"/>
    <col min="15118" max="15118" width="3.5" style="3482" customWidth="1"/>
    <col min="15119" max="15119" width="13" style="3482" bestFit="1" customWidth="1"/>
    <col min="15120" max="15120" width="11" style="3482" bestFit="1" customWidth="1"/>
    <col min="15121" max="15361" width="9" style="3482"/>
    <col min="15362" max="15362" width="11.875" style="3482" bestFit="1" customWidth="1"/>
    <col min="15363" max="15363" width="12.25" style="3482" customWidth="1"/>
    <col min="15364" max="15364" width="9.25" style="3482" customWidth="1"/>
    <col min="15365" max="15365" width="11.625" style="3482" customWidth="1"/>
    <col min="15366" max="15366" width="12.875" style="3482" customWidth="1"/>
    <col min="15367" max="15367" width="10.375" style="3482" customWidth="1"/>
    <col min="15368" max="15368" width="13.75" style="3482" bestFit="1" customWidth="1"/>
    <col min="15369" max="15369" width="3.25" style="3482" customWidth="1"/>
    <col min="15370" max="15370" width="9" style="3482"/>
    <col min="15371" max="15371" width="10.625" style="3482" customWidth="1"/>
    <col min="15372" max="15373" width="9" style="3482"/>
    <col min="15374" max="15374" width="3.5" style="3482" customWidth="1"/>
    <col min="15375" max="15375" width="13" style="3482" bestFit="1" customWidth="1"/>
    <col min="15376" max="15376" width="11" style="3482" bestFit="1" customWidth="1"/>
    <col min="15377" max="15617" width="9" style="3482"/>
    <col min="15618" max="15618" width="11.875" style="3482" bestFit="1" customWidth="1"/>
    <col min="15619" max="15619" width="12.25" style="3482" customWidth="1"/>
    <col min="15620" max="15620" width="9.25" style="3482" customWidth="1"/>
    <col min="15621" max="15621" width="11.625" style="3482" customWidth="1"/>
    <col min="15622" max="15622" width="12.875" style="3482" customWidth="1"/>
    <col min="15623" max="15623" width="10.375" style="3482" customWidth="1"/>
    <col min="15624" max="15624" width="13.75" style="3482" bestFit="1" customWidth="1"/>
    <col min="15625" max="15625" width="3.25" style="3482" customWidth="1"/>
    <col min="15626" max="15626" width="9" style="3482"/>
    <col min="15627" max="15627" width="10.625" style="3482" customWidth="1"/>
    <col min="15628" max="15629" width="9" style="3482"/>
    <col min="15630" max="15630" width="3.5" style="3482" customWidth="1"/>
    <col min="15631" max="15631" width="13" style="3482" bestFit="1" customWidth="1"/>
    <col min="15632" max="15632" width="11" style="3482" bestFit="1" customWidth="1"/>
    <col min="15633" max="15873" width="9" style="3482"/>
    <col min="15874" max="15874" width="11.875" style="3482" bestFit="1" customWidth="1"/>
    <col min="15875" max="15875" width="12.25" style="3482" customWidth="1"/>
    <col min="15876" max="15876" width="9.25" style="3482" customWidth="1"/>
    <col min="15877" max="15877" width="11.625" style="3482" customWidth="1"/>
    <col min="15878" max="15878" width="12.875" style="3482" customWidth="1"/>
    <col min="15879" max="15879" width="10.375" style="3482" customWidth="1"/>
    <col min="15880" max="15880" width="13.75" style="3482" bestFit="1" customWidth="1"/>
    <col min="15881" max="15881" width="3.25" style="3482" customWidth="1"/>
    <col min="15882" max="15882" width="9" style="3482"/>
    <col min="15883" max="15883" width="10.625" style="3482" customWidth="1"/>
    <col min="15884" max="15885" width="9" style="3482"/>
    <col min="15886" max="15886" width="3.5" style="3482" customWidth="1"/>
    <col min="15887" max="15887" width="13" style="3482" bestFit="1" customWidth="1"/>
    <col min="15888" max="15888" width="11" style="3482" bestFit="1" customWidth="1"/>
    <col min="15889" max="16129" width="9" style="3482"/>
    <col min="16130" max="16130" width="11.875" style="3482" bestFit="1" customWidth="1"/>
    <col min="16131" max="16131" width="12.25" style="3482" customWidth="1"/>
    <col min="16132" max="16132" width="9.25" style="3482" customWidth="1"/>
    <col min="16133" max="16133" width="11.625" style="3482" customWidth="1"/>
    <col min="16134" max="16134" width="12.875" style="3482" customWidth="1"/>
    <col min="16135" max="16135" width="10.375" style="3482" customWidth="1"/>
    <col min="16136" max="16136" width="13.75" style="3482" bestFit="1" customWidth="1"/>
    <col min="16137" max="16137" width="3.25" style="3482" customWidth="1"/>
    <col min="16138" max="16138" width="9" style="3482"/>
    <col min="16139" max="16139" width="10.625" style="3482" customWidth="1"/>
    <col min="16140" max="16141" width="9" style="3482"/>
    <col min="16142" max="16142" width="3.5" style="3482" customWidth="1"/>
    <col min="16143" max="16143" width="13" style="3482" bestFit="1" customWidth="1"/>
    <col min="16144" max="16144" width="11" style="3482" bestFit="1" customWidth="1"/>
    <col min="16145" max="16384" width="9" style="3482"/>
  </cols>
  <sheetData>
    <row r="1" spans="1:22" s="3460" customFormat="1">
      <c r="A1" s="3459"/>
      <c r="B1" s="3459" t="s">
        <v>3414</v>
      </c>
    </row>
    <row r="2" spans="1:22" s="3460" customFormat="1">
      <c r="A2" s="3461" t="s">
        <v>3415</v>
      </c>
      <c r="B2" s="3461" t="s">
        <v>3416</v>
      </c>
    </row>
    <row r="3" spans="1:22" s="3460" customFormat="1">
      <c r="A3" s="3461" t="s">
        <v>3417</v>
      </c>
      <c r="B3" s="3462">
        <v>57614</v>
      </c>
    </row>
    <row r="4" spans="1:22" s="3460" customFormat="1">
      <c r="A4" s="3461" t="s">
        <v>2327</v>
      </c>
      <c r="B4" s="3463">
        <v>23586.720000000001</v>
      </c>
    </row>
    <row r="5" spans="1:22" s="3460" customFormat="1">
      <c r="A5" s="3464" t="s">
        <v>3418</v>
      </c>
      <c r="B5" s="3465"/>
    </row>
    <row r="6" spans="1:22" s="3460" customFormat="1"/>
    <row r="7" spans="1:22" s="3467" customFormat="1">
      <c r="A7" s="3466" t="s">
        <v>3419</v>
      </c>
      <c r="B7" s="3466" t="s">
        <v>3420</v>
      </c>
      <c r="C7" s="3466" t="s">
        <v>3421</v>
      </c>
      <c r="D7" s="3466" t="s">
        <v>3422</v>
      </c>
      <c r="E7" s="3466" t="s">
        <v>3423</v>
      </c>
      <c r="F7" s="3466" t="s">
        <v>3424</v>
      </c>
      <c r="G7" s="3466" t="s">
        <v>3425</v>
      </c>
      <c r="H7" s="3466" t="s">
        <v>3426</v>
      </c>
      <c r="J7" s="3468" t="s">
        <v>3427</v>
      </c>
      <c r="K7" s="3468" t="s">
        <v>3428</v>
      </c>
      <c r="L7" s="3468" t="s">
        <v>3429</v>
      </c>
      <c r="M7" s="3468" t="s">
        <v>3427</v>
      </c>
      <c r="S7" s="3467">
        <f>P9*Q9/(K8+K9)/30</f>
        <v>1.0201185321061055</v>
      </c>
    </row>
    <row r="8" spans="1:22" s="3467" customFormat="1">
      <c r="A8" s="3469">
        <v>1</v>
      </c>
      <c r="B8" s="3470">
        <v>-4</v>
      </c>
      <c r="C8" s="3469">
        <v>14394.53</v>
      </c>
      <c r="D8" s="3469">
        <v>11197.71</v>
      </c>
      <c r="E8" s="3469">
        <f>C8-D8</f>
        <v>3196.8200000000015</v>
      </c>
      <c r="F8" s="3469">
        <f>E8</f>
        <v>3196.8200000000015</v>
      </c>
      <c r="G8" s="3469" t="s">
        <v>3430</v>
      </c>
      <c r="H8" s="3469"/>
      <c r="J8" s="3471">
        <v>-4</v>
      </c>
      <c r="K8" s="3471">
        <f>F8</f>
        <v>3196.8200000000015</v>
      </c>
      <c r="L8" s="3471"/>
      <c r="M8" s="3471">
        <v>1</v>
      </c>
      <c r="O8" s="3468" t="s">
        <v>3431</v>
      </c>
      <c r="P8" s="3468" t="s">
        <v>3432</v>
      </c>
      <c r="Q8" s="3468" t="s">
        <v>3433</v>
      </c>
      <c r="R8" s="3468"/>
    </row>
    <row r="9" spans="1:22" s="3467" customFormat="1">
      <c r="A9" s="3469">
        <v>2</v>
      </c>
      <c r="B9" s="3470" t="s">
        <v>3434</v>
      </c>
      <c r="C9" s="3469">
        <v>17977.189999999999</v>
      </c>
      <c r="D9" s="3469"/>
      <c r="E9" s="3469">
        <f t="shared" ref="E9:E20" si="0">C9-D9</f>
        <v>17977.189999999999</v>
      </c>
      <c r="F9" s="3469">
        <f>E9</f>
        <v>17977.189999999999</v>
      </c>
      <c r="G9" s="3469" t="s">
        <v>2638</v>
      </c>
      <c r="H9" s="3469"/>
      <c r="J9" s="3471">
        <v>-3</v>
      </c>
      <c r="K9" s="3471">
        <f>F9</f>
        <v>17977.189999999999</v>
      </c>
      <c r="L9" s="3471"/>
      <c r="M9" s="3471">
        <v>1</v>
      </c>
      <c r="O9" s="3468" t="s">
        <v>2638</v>
      </c>
      <c r="P9" s="3468">
        <v>720</v>
      </c>
      <c r="Q9" s="3468">
        <v>900</v>
      </c>
      <c r="R9" s="3468"/>
      <c r="S9" s="3467" t="s">
        <v>3435</v>
      </c>
      <c r="U9" s="3467">
        <f>(K9+K8)/P9</f>
        <v>29.408347222222226</v>
      </c>
      <c r="V9" s="3467" t="s">
        <v>3436</v>
      </c>
    </row>
    <row r="10" spans="1:22" s="3467" customFormat="1">
      <c r="A10" s="3469">
        <v>3</v>
      </c>
      <c r="B10" s="3470" t="s">
        <v>3437</v>
      </c>
      <c r="C10" s="3469">
        <v>119.62</v>
      </c>
      <c r="D10" s="3469"/>
      <c r="E10" s="3469">
        <f t="shared" si="0"/>
        <v>119.62</v>
      </c>
      <c r="F10" s="3469"/>
      <c r="G10" s="3469"/>
      <c r="H10" s="3469"/>
      <c r="J10" s="3472">
        <v>-2</v>
      </c>
      <c r="K10" s="3472">
        <f t="shared" ref="K10:K17" si="1">F11</f>
        <v>17013.259999999998</v>
      </c>
      <c r="L10" s="3472">
        <v>0.25</v>
      </c>
      <c r="M10" s="3472">
        <f>M12*L10</f>
        <v>2.1749999999999998</v>
      </c>
      <c r="O10" s="3468" t="s">
        <v>2604</v>
      </c>
      <c r="P10" s="3468">
        <f>K10+K11+K12</f>
        <v>34661.1</v>
      </c>
      <c r="Q10" s="3468">
        <f>ROUND(SUMPRODUCT(M10:M12,K10:K12)/P10,2)</f>
        <v>4.42</v>
      </c>
      <c r="R10" s="3468"/>
    </row>
    <row r="11" spans="1:22" s="3467" customFormat="1">
      <c r="A11" s="3469">
        <v>4</v>
      </c>
      <c r="B11" s="3470" t="s">
        <v>3438</v>
      </c>
      <c r="C11" s="3469">
        <v>17013.259999999998</v>
      </c>
      <c r="D11" s="3469"/>
      <c r="E11" s="3469">
        <f t="shared" si="0"/>
        <v>17013.259999999998</v>
      </c>
      <c r="F11" s="3469">
        <f t="shared" ref="F11:F17" si="2">E11</f>
        <v>17013.259999999998</v>
      </c>
      <c r="G11" s="3469" t="s">
        <v>2604</v>
      </c>
      <c r="H11" s="3469" t="s">
        <v>3439</v>
      </c>
      <c r="J11" s="3472">
        <v>-1</v>
      </c>
      <c r="K11" s="3472">
        <f t="shared" si="1"/>
        <v>8575.7099999999991</v>
      </c>
      <c r="L11" s="3472">
        <v>0.5</v>
      </c>
      <c r="M11" s="3472">
        <f>M12*L11</f>
        <v>4.3499999999999996</v>
      </c>
      <c r="O11" s="3468" t="s">
        <v>460</v>
      </c>
      <c r="P11" s="3468">
        <f>SUM(K13:K18)</f>
        <v>61083.22</v>
      </c>
      <c r="Q11" s="3468">
        <f>ROUND(SUMPRODUCT(M13:M18,K13:K18)/P11,2)</f>
        <v>5.38</v>
      </c>
      <c r="R11" s="3468"/>
    </row>
    <row r="12" spans="1:22" s="3467" customFormat="1">
      <c r="A12" s="3469">
        <v>5</v>
      </c>
      <c r="B12" s="3470" t="s">
        <v>3440</v>
      </c>
      <c r="C12" s="3469">
        <v>8575.7099999999991</v>
      </c>
      <c r="D12" s="3469"/>
      <c r="E12" s="3469">
        <f t="shared" si="0"/>
        <v>8575.7099999999991</v>
      </c>
      <c r="F12" s="3469">
        <f t="shared" si="2"/>
        <v>8575.7099999999991</v>
      </c>
      <c r="G12" s="3469" t="s">
        <v>2604</v>
      </c>
      <c r="H12" s="3469" t="s">
        <v>3441</v>
      </c>
      <c r="I12" s="3473"/>
      <c r="J12" s="3472">
        <v>1</v>
      </c>
      <c r="K12" s="3472">
        <f t="shared" si="1"/>
        <v>9072.1299999999992</v>
      </c>
      <c r="L12" s="3472">
        <v>1</v>
      </c>
      <c r="M12" s="3472">
        <v>8.6999999999999993</v>
      </c>
      <c r="O12" s="3468" t="s">
        <v>3442</v>
      </c>
      <c r="P12" s="3468">
        <f>F18+F20</f>
        <v>27589.66</v>
      </c>
      <c r="Q12" s="3468"/>
      <c r="R12" s="3468"/>
    </row>
    <row r="13" spans="1:22" s="3467" customFormat="1">
      <c r="A13" s="3469">
        <v>6</v>
      </c>
      <c r="B13" s="3470" t="s">
        <v>3443</v>
      </c>
      <c r="C13" s="3469">
        <v>9186.07</v>
      </c>
      <c r="D13" s="3469">
        <v>113.94</v>
      </c>
      <c r="E13" s="3469">
        <f t="shared" si="0"/>
        <v>9072.1299999999992</v>
      </c>
      <c r="F13" s="3469">
        <f t="shared" si="2"/>
        <v>9072.1299999999992</v>
      </c>
      <c r="G13" s="3469" t="s">
        <v>2604</v>
      </c>
      <c r="H13" s="3469" t="s">
        <v>3444</v>
      </c>
      <c r="I13" s="3473"/>
      <c r="J13" s="3468">
        <v>2</v>
      </c>
      <c r="K13" s="3468">
        <f t="shared" si="1"/>
        <v>8453.57</v>
      </c>
      <c r="L13" s="3468"/>
      <c r="M13" s="3468">
        <v>5.0999999999999996</v>
      </c>
    </row>
    <row r="14" spans="1:22" s="3467" customFormat="1">
      <c r="A14" s="3469">
        <v>7</v>
      </c>
      <c r="B14" s="3470" t="s">
        <v>3445</v>
      </c>
      <c r="C14" s="3469">
        <v>8453.57</v>
      </c>
      <c r="D14" s="3469"/>
      <c r="E14" s="3469">
        <f t="shared" si="0"/>
        <v>8453.57</v>
      </c>
      <c r="F14" s="3469">
        <f t="shared" si="2"/>
        <v>8453.57</v>
      </c>
      <c r="G14" s="3469" t="s">
        <v>460</v>
      </c>
      <c r="H14" s="3469" t="s">
        <v>3446</v>
      </c>
      <c r="I14" s="3473"/>
      <c r="J14" s="3468">
        <v>3</v>
      </c>
      <c r="K14" s="3468">
        <f t="shared" si="1"/>
        <v>8495.4500000000007</v>
      </c>
      <c r="L14" s="3468"/>
      <c r="M14" s="3468">
        <f>M13</f>
        <v>5.0999999999999996</v>
      </c>
    </row>
    <row r="15" spans="1:22" s="3467" customFormat="1">
      <c r="A15" s="3469">
        <v>8</v>
      </c>
      <c r="B15" s="3470" t="s">
        <v>3447</v>
      </c>
      <c r="C15" s="3469">
        <v>8495.4500000000007</v>
      </c>
      <c r="D15" s="3469"/>
      <c r="E15" s="3469">
        <f t="shared" si="0"/>
        <v>8495.4500000000007</v>
      </c>
      <c r="F15" s="3469">
        <f t="shared" si="2"/>
        <v>8495.4500000000007</v>
      </c>
      <c r="G15" s="3469" t="s">
        <v>460</v>
      </c>
      <c r="H15" s="3469"/>
      <c r="I15" s="3473"/>
      <c r="J15" s="3468">
        <v>4</v>
      </c>
      <c r="K15" s="3468">
        <f t="shared" si="1"/>
        <v>8277.7099999999991</v>
      </c>
      <c r="L15" s="3468"/>
      <c r="M15" s="3468">
        <f>M14</f>
        <v>5.0999999999999996</v>
      </c>
    </row>
    <row r="16" spans="1:22" s="3467" customFormat="1">
      <c r="A16" s="3469">
        <v>9</v>
      </c>
      <c r="B16" s="3470" t="s">
        <v>3448</v>
      </c>
      <c r="C16" s="3469">
        <v>8277.7099999999991</v>
      </c>
      <c r="D16" s="3469"/>
      <c r="E16" s="3469">
        <f t="shared" si="0"/>
        <v>8277.7099999999991</v>
      </c>
      <c r="F16" s="3469">
        <f t="shared" si="2"/>
        <v>8277.7099999999991</v>
      </c>
      <c r="G16" s="3469" t="s">
        <v>460</v>
      </c>
      <c r="H16" s="3469"/>
      <c r="I16" s="3473"/>
      <c r="J16" s="3468">
        <v>5</v>
      </c>
      <c r="K16" s="3468">
        <f t="shared" si="1"/>
        <v>8266.83</v>
      </c>
      <c r="L16" s="3468"/>
      <c r="M16" s="3468">
        <f>M15</f>
        <v>5.0999999999999996</v>
      </c>
      <c r="P16" s="3467">
        <f>K23/P11</f>
        <v>0.5922675654623315</v>
      </c>
      <c r="Q16" s="3467">
        <f>K23/(P10+P11)</f>
        <v>0.3778564618767985</v>
      </c>
    </row>
    <row r="17" spans="1:16" s="3467" customFormat="1">
      <c r="A17" s="3469">
        <v>10</v>
      </c>
      <c r="B17" s="3470" t="s">
        <v>3449</v>
      </c>
      <c r="C17" s="3469">
        <v>8266.83</v>
      </c>
      <c r="D17" s="3469"/>
      <c r="E17" s="3469">
        <f t="shared" si="0"/>
        <v>8266.83</v>
      </c>
      <c r="F17" s="3469">
        <f t="shared" si="2"/>
        <v>8266.83</v>
      </c>
      <c r="G17" s="3469" t="s">
        <v>460</v>
      </c>
      <c r="H17" s="3469"/>
      <c r="I17" s="3473"/>
      <c r="J17" s="3468">
        <v>6</v>
      </c>
      <c r="K17" s="3468">
        <f t="shared" si="1"/>
        <v>20832.89</v>
      </c>
      <c r="L17" s="3468"/>
      <c r="M17" s="3468">
        <v>5.6</v>
      </c>
      <c r="P17" s="3473">
        <f>P16/P11</f>
        <v>9.6960763604526985E-6</v>
      </c>
    </row>
    <row r="18" spans="1:16" s="3467" customFormat="1">
      <c r="A18" s="3469">
        <v>11</v>
      </c>
      <c r="B18" s="3470" t="s">
        <v>3450</v>
      </c>
      <c r="C18" s="3469">
        <v>8745.52</v>
      </c>
      <c r="D18" s="3469"/>
      <c r="E18" s="3474">
        <f t="shared" si="0"/>
        <v>8745.52</v>
      </c>
      <c r="F18" s="3590">
        <v>20832.89</v>
      </c>
      <c r="G18" s="3592" t="s">
        <v>460</v>
      </c>
      <c r="H18" s="3594" t="s">
        <v>3451</v>
      </c>
      <c r="J18" s="3468">
        <v>7</v>
      </c>
      <c r="K18" s="3468">
        <f>F20</f>
        <v>6756.77</v>
      </c>
      <c r="L18" s="3468"/>
      <c r="M18" s="3468">
        <v>6.1</v>
      </c>
    </row>
    <row r="19" spans="1:16" s="3467" customFormat="1">
      <c r="A19" s="3469">
        <v>12</v>
      </c>
      <c r="B19" s="3470" t="s">
        <v>3452</v>
      </c>
      <c r="C19" s="3469">
        <v>2216.16</v>
      </c>
      <c r="D19" s="3469"/>
      <c r="E19" s="3474">
        <f t="shared" si="0"/>
        <v>2216.16</v>
      </c>
      <c r="F19" s="3591"/>
      <c r="G19" s="3593"/>
      <c r="H19" s="3595"/>
      <c r="J19" s="3468"/>
      <c r="K19" s="3468">
        <f>SUM(K8:K18)</f>
        <v>116918.33</v>
      </c>
      <c r="L19" s="3468"/>
      <c r="M19" s="3475">
        <f>SUMPRODUCT(M8:M18,K8:K18)/K19</f>
        <v>4.3030665679196751</v>
      </c>
      <c r="P19" s="3467">
        <f>K24/P10</f>
        <v>0.37950295864816758</v>
      </c>
    </row>
    <row r="20" spans="1:16" s="3467" customFormat="1">
      <c r="A20" s="3469">
        <v>13</v>
      </c>
      <c r="B20" s="3470" t="s">
        <v>3453</v>
      </c>
      <c r="C20" s="3469">
        <v>2686.23</v>
      </c>
      <c r="D20" s="3469"/>
      <c r="E20" s="3474">
        <f t="shared" si="0"/>
        <v>2686.23</v>
      </c>
      <c r="F20" s="3474">
        <v>6756.77</v>
      </c>
      <c r="G20" s="3469" t="s">
        <v>460</v>
      </c>
      <c r="H20" s="3469" t="s">
        <v>3454</v>
      </c>
      <c r="J20" s="3468"/>
      <c r="K20" s="3468"/>
      <c r="L20" s="3468"/>
      <c r="M20" s="3507">
        <f>SUMPRODUCT(M8:M18,K8:K18)/E21</f>
        <v>4.8799796403747173</v>
      </c>
    </row>
    <row r="21" spans="1:16" s="3478" customFormat="1">
      <c r="A21" s="3476"/>
      <c r="B21" s="3477" t="s">
        <v>3455</v>
      </c>
      <c r="C21" s="3476">
        <f>SUM(C8:C20)</f>
        <v>114407.85000000002</v>
      </c>
      <c r="D21" s="3476">
        <f>SUM(D8:D20)</f>
        <v>11311.65</v>
      </c>
      <c r="E21" s="3476">
        <f>SUM(E8:E20)</f>
        <v>103096.2</v>
      </c>
      <c r="F21" s="3476">
        <f>SUM(F8:F20)</f>
        <v>116918.33</v>
      </c>
      <c r="G21" s="3476"/>
      <c r="H21" s="3476"/>
      <c r="J21" s="3467"/>
      <c r="K21" s="3467" t="s">
        <v>3891</v>
      </c>
      <c r="L21" s="3467"/>
      <c r="M21" s="3467">
        <f>ROUND(SUMPRODUCT(M10:M18,K10:K18)/(E21-E8-E9),2)</f>
        <v>5.88</v>
      </c>
    </row>
    <row r="22" spans="1:16" s="3467" customFormat="1">
      <c r="A22" s="3469"/>
      <c r="B22" s="3470"/>
      <c r="C22" s="3469"/>
      <c r="D22" s="3469" t="s">
        <v>3456</v>
      </c>
      <c r="E22" s="3479">
        <f>(E9+E10+E11)/E21</f>
        <v>0.34055639296113721</v>
      </c>
      <c r="F22" s="3469"/>
      <c r="G22" s="3469"/>
      <c r="H22" s="3469"/>
      <c r="K22" s="3467" t="s">
        <v>3892</v>
      </c>
      <c r="M22" s="3467">
        <f>SUMPRODUCT(M8:M9,K8:K9)/(E8+E9+E10)</f>
        <v>0.99438235754072934</v>
      </c>
    </row>
    <row r="23" spans="1:16" s="3467" customFormat="1">
      <c r="J23" s="3467" t="s">
        <v>21</v>
      </c>
      <c r="K23" s="3467">
        <v>36177.61</v>
      </c>
      <c r="L23" s="3467">
        <f>K23/(K13+K14+K15+K16)</f>
        <v>1.0801363008291744</v>
      </c>
    </row>
    <row r="24" spans="1:16" s="3467" customFormat="1">
      <c r="A24" s="3480" t="s">
        <v>3457</v>
      </c>
      <c r="B24" s="3481" t="s">
        <v>3458</v>
      </c>
      <c r="J24" s="3467" t="s">
        <v>673</v>
      </c>
      <c r="K24" s="3467">
        <v>13153.99</v>
      </c>
    </row>
    <row r="25" spans="1:16">
      <c r="J25" s="3478"/>
      <c r="K25" s="3478"/>
      <c r="L25" s="3478"/>
      <c r="M25" s="3478"/>
    </row>
    <row r="26" spans="1:16">
      <c r="C26" s="3482" t="s">
        <v>3459</v>
      </c>
      <c r="J26" s="3467"/>
      <c r="K26" s="3467"/>
      <c r="L26" s="3467"/>
      <c r="M26" s="3467"/>
    </row>
    <row r="27" spans="1:16">
      <c r="B27" s="3483">
        <v>44986</v>
      </c>
      <c r="C27" s="3483">
        <v>45108</v>
      </c>
      <c r="J27" s="3467"/>
      <c r="K27" s="3467"/>
      <c r="L27" s="3467"/>
      <c r="M27" s="3467"/>
    </row>
    <row r="28" spans="1:16">
      <c r="B28" s="3483">
        <v>45291</v>
      </c>
      <c r="C28" s="3483">
        <f>B28</f>
        <v>45291</v>
      </c>
      <c r="J28" s="3467"/>
      <c r="K28" s="3467"/>
      <c r="L28" s="3467"/>
      <c r="M28" s="3467"/>
    </row>
    <row r="29" spans="1:16">
      <c r="B29" s="3482">
        <f>B28-B27</f>
        <v>305</v>
      </c>
      <c r="C29" s="3482">
        <f>C28-C27</f>
        <v>183</v>
      </c>
    </row>
  </sheetData>
  <mergeCells count="3">
    <mergeCell ref="F18:F19"/>
    <mergeCell ref="G18:G19"/>
    <mergeCell ref="H18:H19"/>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面积情况!B4</f>
        <v>23586.720000000001</v>
      </c>
      <c r="B3" s="11">
        <f>IF(C3="否",G5-AT5,G5)</f>
        <v>103096.20000000001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103096.20000000001</v>
      </c>
      <c r="H5" s="13">
        <f t="shared" ref="H5:AT5" si="0">SUM(H13:H656)</f>
        <v>103096.20000000001</v>
      </c>
      <c r="I5" s="13">
        <f t="shared" si="0"/>
        <v>56213.600000000013</v>
      </c>
      <c r="J5" s="13">
        <f t="shared" si="0"/>
        <v>0</v>
      </c>
      <c r="K5" s="13">
        <f t="shared" si="0"/>
        <v>25708.589999999997</v>
      </c>
      <c r="L5" s="13">
        <f t="shared" si="0"/>
        <v>0</v>
      </c>
      <c r="M5" s="13">
        <f t="shared" si="0"/>
        <v>21174.010000000002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103096.20000000001</v>
      </c>
      <c r="BA5" s="15">
        <f t="shared" si="1"/>
        <v>103096.20000000001</v>
      </c>
      <c r="BB5" s="15">
        <f t="shared" si="1"/>
        <v>56213.600000000013</v>
      </c>
      <c r="BC5" s="15">
        <f t="shared" si="1"/>
        <v>25708.589999999997</v>
      </c>
      <c r="BD5" s="15">
        <f t="shared" si="1"/>
        <v>21174.010000000002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23586.720000000001</v>
      </c>
      <c r="F6" s="13" t="s">
        <v>0</v>
      </c>
      <c r="G6" s="13" t="s">
        <v>1</v>
      </c>
      <c r="H6" s="17">
        <f>SUMIF(I$12:AB$12,"总值",I6:AB6)</f>
        <v>23586.720000000001</v>
      </c>
      <c r="I6" s="13">
        <f t="shared" ref="I6:AB6" si="2">ROUND($A$3*I5/$B$3,2)</f>
        <v>12860.75</v>
      </c>
      <c r="J6" s="13">
        <f t="shared" si="2"/>
        <v>0</v>
      </c>
      <c r="K6" s="13">
        <f t="shared" si="2"/>
        <v>5881.7</v>
      </c>
      <c r="L6" s="13">
        <f t="shared" si="2"/>
        <v>0</v>
      </c>
      <c r="M6" s="13">
        <f t="shared" si="2"/>
        <v>4844.2700000000004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23586.720000000001</v>
      </c>
      <c r="AZ6" s="13" t="s">
        <v>2</v>
      </c>
      <c r="BA6" s="13">
        <f>ROUND($AY$6*BA5/$AZ$5,2)</f>
        <v>23586.720000000001</v>
      </c>
      <c r="BB6" s="13">
        <f>ROUND($AY$6*BB5/$AZ$5,2)</f>
        <v>12860.75</v>
      </c>
      <c r="BC6" s="13">
        <f t="shared" ref="BC6:BH6" si="4">ROUND($AY$6*BC5/$AZ$5,2)</f>
        <v>5881.7</v>
      </c>
      <c r="BD6" s="13">
        <f t="shared" si="4"/>
        <v>4844.2700000000004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3388</v>
      </c>
      <c r="J9" s="805"/>
      <c r="K9" s="1599" t="s">
        <v>3410</v>
      </c>
      <c r="L9" s="805"/>
      <c r="M9" s="1599" t="s">
        <v>3410</v>
      </c>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21</v>
      </c>
      <c r="L10" s="805"/>
      <c r="M10" s="1605" t="s">
        <v>3460</v>
      </c>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办公</v>
      </c>
      <c r="BD11" s="1595" t="str">
        <f>M10</f>
        <v>车库—办公</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3442"/>
      <c r="D13" s="1621" t="s">
        <v>3387</v>
      </c>
      <c r="E13" s="13">
        <f>IF($C$3="是",ROUND($A$3*G13/$B$3,2),ROUND($A$3*(G13-AT13)/$B$3,2))</f>
        <v>23586.720000000001</v>
      </c>
      <c r="F13" s="29"/>
      <c r="G13" s="30">
        <f>H13+AC13+AT13</f>
        <v>103096.20000000001</v>
      </c>
      <c r="H13" s="17">
        <f>SUMIF(I$12:AB$12,"总值",I13:AB13)</f>
        <v>103096.20000000001</v>
      </c>
      <c r="I13" s="1622">
        <f>面积情况!E13+面积情况!E14+面积情况!E15+面积情况!E16+面积情况!E17+面积情况!E18+面积情况!E19+面积情况!E20</f>
        <v>56213.600000000013</v>
      </c>
      <c r="J13" s="1622"/>
      <c r="K13" s="1622">
        <f>面积情况!E10+面积情况!E11+面积情况!E12</f>
        <v>25708.589999999997</v>
      </c>
      <c r="L13" s="1622"/>
      <c r="M13" s="1622">
        <f>面积情况!E8+面积情况!E9</f>
        <v>21174.010000000002</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23586.720000000001</v>
      </c>
      <c r="AZ13" s="13">
        <f>BA13+BL13</f>
        <v>103096.20000000001</v>
      </c>
      <c r="BA13" s="13">
        <f>SUM(BB13:BK13)</f>
        <v>103096.20000000001</v>
      </c>
      <c r="BB13" s="13">
        <f>IF($D13="是",I13-J13,0)</f>
        <v>56213.600000000013</v>
      </c>
      <c r="BC13" s="13">
        <f>IF($D13="是",K13-L13,0)</f>
        <v>25708.589999999997</v>
      </c>
      <c r="BD13" s="13">
        <f>IF($D13="是",M13-N13,0)</f>
        <v>21174.010000000002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3442"/>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view="pageBreakPreview" topLeftCell="A10" zoomScale="70" zoomScaleNormal="100" zoomScaleSheetLayoutView="70" workbookViewId="0">
      <selection activeCell="N51" sqref="N5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0"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05" t="s">
        <v>1131</v>
      </c>
      <c r="B2" s="3605"/>
      <c r="C2" s="3605"/>
      <c r="D2" s="792" t="s">
        <v>1107</v>
      </c>
      <c r="E2" s="1635" t="s">
        <v>1108</v>
      </c>
      <c r="F2" s="2650"/>
      <c r="G2" s="2641"/>
      <c r="H2" s="2642"/>
      <c r="I2" s="2321" t="s">
        <v>1132</v>
      </c>
      <c r="J2" s="2650"/>
      <c r="K2" s="2650"/>
      <c r="L2" s="2650"/>
      <c r="M2" s="2650"/>
      <c r="N2" s="2652"/>
      <c r="O2" s="2650"/>
      <c r="P2" s="2650"/>
    </row>
    <row r="3" spans="1:16" ht="15.75" thickBot="1">
      <c r="A3" s="3606" t="s">
        <v>1105</v>
      </c>
      <c r="B3" s="3606"/>
      <c r="C3" s="3606"/>
      <c r="D3" s="43">
        <f>'数据-基础表'!AY6</f>
        <v>23586.720000000001</v>
      </c>
      <c r="E3" s="43">
        <f>'数据-基础表'!AZ5</f>
        <v>103096.20000000001</v>
      </c>
      <c r="F3" s="2650"/>
      <c r="G3" s="1141"/>
      <c r="H3" s="1022" t="s">
        <v>1106</v>
      </c>
      <c r="I3" s="851">
        <f>ROUND('数据-基础表'!B3/'数据-基础表'!A3,2)</f>
        <v>4.37</v>
      </c>
      <c r="J3" s="2650"/>
      <c r="K3" s="2650"/>
      <c r="L3" s="2650"/>
      <c r="M3" s="2650"/>
      <c r="N3" s="2652"/>
      <c r="O3" s="2650"/>
      <c r="P3" s="2650"/>
    </row>
    <row r="4" spans="1:16" ht="15">
      <c r="A4" s="3607"/>
      <c r="B4" s="3608"/>
      <c r="C4" s="3609"/>
      <c r="D4" s="1637" t="s">
        <v>1107</v>
      </c>
      <c r="E4" s="1638" t="s">
        <v>1108</v>
      </c>
      <c r="F4" s="2650"/>
      <c r="G4" s="2643" t="s">
        <v>1133</v>
      </c>
      <c r="H4" s="1022" t="s">
        <v>1113</v>
      </c>
      <c r="I4" s="851">
        <f>ROUND(SUMIF('数据-基础表'!I9:AS9,"地上",'数据-基础表'!I5:AS5)/'数据-基础表'!A3,2)</f>
        <v>2.38</v>
      </c>
      <c r="J4" s="2650"/>
      <c r="K4" s="2650"/>
      <c r="L4" s="2650"/>
      <c r="M4" s="2650"/>
      <c r="N4" s="2652"/>
      <c r="O4" s="2650"/>
      <c r="P4" s="2650"/>
    </row>
    <row r="5" spans="1:16">
      <c r="A5" s="44" t="s">
        <v>1109</v>
      </c>
      <c r="B5" s="3610" t="s">
        <v>1110</v>
      </c>
      <c r="C5" s="3610"/>
      <c r="D5" s="45">
        <f>ROUND($D$3*E5/$E$3,2)</f>
        <v>0</v>
      </c>
      <c r="E5" s="46">
        <f>SUMIF('数据-基础表'!$11:$11,"住宅",'数据-基础表'!$5:$5)</f>
        <v>0</v>
      </c>
      <c r="F5" s="2650"/>
      <c r="G5" s="1141"/>
      <c r="H5" s="1022" t="s">
        <v>1106</v>
      </c>
      <c r="I5" s="851">
        <f>ROUND(E31/D31,2)</f>
        <v>4.37</v>
      </c>
      <c r="J5" s="2650"/>
      <c r="K5" s="2650"/>
      <c r="L5" s="2650"/>
      <c r="M5" s="2650"/>
      <c r="N5" s="2650"/>
      <c r="O5" s="2650"/>
      <c r="P5" s="2650"/>
    </row>
    <row r="6" spans="1:16" ht="15" thickBot="1">
      <c r="A6" s="1640"/>
      <c r="B6" s="3610" t="s">
        <v>1111</v>
      </c>
      <c r="C6" s="3610"/>
      <c r="D6" s="45">
        <f>ROUND($D$3*E6/$E$3,2)</f>
        <v>23586.720000000001</v>
      </c>
      <c r="E6" s="46">
        <f>E3-E5</f>
        <v>103096.20000000001</v>
      </c>
      <c r="F6" s="2650"/>
      <c r="G6" s="2644" t="s">
        <v>1112</v>
      </c>
      <c r="H6" s="1142" t="s">
        <v>1113</v>
      </c>
      <c r="I6" s="2645">
        <f>ROUND(F31/D31,2)</f>
        <v>2.38</v>
      </c>
      <c r="J6" s="2650"/>
      <c r="K6" s="2650"/>
      <c r="L6" s="2650"/>
      <c r="M6" s="2650"/>
      <c r="N6" s="2650"/>
      <c r="O6" s="2650"/>
      <c r="P6" s="2650"/>
    </row>
    <row r="7" spans="1:16" ht="15.75" thickBot="1">
      <c r="A7" s="3602"/>
      <c r="B7" s="3603"/>
      <c r="C7" s="3604"/>
      <c r="D7" s="1637" t="s">
        <v>1107</v>
      </c>
      <c r="E7" s="1641" t="s">
        <v>1114</v>
      </c>
      <c r="F7" s="2650"/>
      <c r="G7" s="2646" t="s">
        <v>1115</v>
      </c>
      <c r="H7" s="2647"/>
      <c r="I7" s="2648">
        <f>I6</f>
        <v>2.38</v>
      </c>
      <c r="J7" s="2650"/>
      <c r="K7" s="2650"/>
      <c r="L7" s="2650"/>
      <c r="M7" s="2650"/>
      <c r="N7" s="2650"/>
      <c r="O7" s="2650"/>
      <c r="P7" s="2650"/>
    </row>
    <row r="8" spans="1:16">
      <c r="A8" s="44" t="s">
        <v>1116</v>
      </c>
      <c r="B8" s="47" t="s">
        <v>1117</v>
      </c>
      <c r="C8" s="45" t="s">
        <v>1118</v>
      </c>
      <c r="D8" s="45">
        <f t="shared" ref="D8:D15" si="0">ROUND($D$3*E8/$E$3,2)</f>
        <v>12860.75</v>
      </c>
      <c r="E8" s="48">
        <f>SUMIF('数据-基础表'!BB10:BK10,"地上",'数据-基础表'!BB5:BK5)</f>
        <v>56213.600000000013</v>
      </c>
      <c r="F8" s="2650"/>
      <c r="G8" s="2651"/>
      <c r="H8" s="2651"/>
      <c r="I8" s="2650"/>
      <c r="J8" s="2650"/>
      <c r="K8" s="2650"/>
      <c r="L8" s="2650"/>
      <c r="M8" s="2650"/>
      <c r="N8" s="2650"/>
      <c r="O8" s="2650"/>
      <c r="P8" s="2650"/>
    </row>
    <row r="9" spans="1:16">
      <c r="A9" s="1642"/>
      <c r="B9" s="1643"/>
      <c r="C9" s="45" t="s">
        <v>1119</v>
      </c>
      <c r="D9" s="45">
        <f t="shared" si="0"/>
        <v>0</v>
      </c>
      <c r="E9" s="49">
        <v>0</v>
      </c>
      <c r="F9" s="2650"/>
      <c r="G9" s="2651"/>
      <c r="H9" s="2651"/>
      <c r="I9" s="2650"/>
      <c r="J9" s="2650"/>
      <c r="K9" s="2650"/>
      <c r="L9" s="2650"/>
      <c r="M9" s="2650"/>
      <c r="N9" s="2650"/>
      <c r="O9" s="2650"/>
      <c r="P9" s="2650"/>
    </row>
    <row r="10" spans="1:16">
      <c r="A10" s="1642"/>
      <c r="B10" s="1643"/>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2"/>
      <c r="B11" s="1643"/>
      <c r="C11" s="45" t="s">
        <v>1120</v>
      </c>
      <c r="D11" s="45">
        <f t="shared" si="0"/>
        <v>5881.7</v>
      </c>
      <c r="E11" s="48">
        <f>SUMPRODUCT(('数据-基础表'!BB10:BK10="地下")*('数据-基础表'!BB11:BK11="办公")*('数据-基础表'!BB5:BK5))+'数据-基础表'!BP5</f>
        <v>25708.589999999997</v>
      </c>
      <c r="F11" s="2650"/>
      <c r="G11" s="2651"/>
      <c r="H11" s="2651"/>
      <c r="I11" s="2650"/>
      <c r="J11" s="2650"/>
      <c r="K11" s="2650"/>
      <c r="L11" s="2650"/>
      <c r="M11" s="2650"/>
      <c r="N11" s="2650"/>
      <c r="O11" s="2650"/>
      <c r="P11" s="2650"/>
    </row>
    <row r="12" spans="1:16">
      <c r="A12" s="1642"/>
      <c r="B12" s="1643"/>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2"/>
      <c r="B13" s="1643"/>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2"/>
      <c r="B14" s="1643"/>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2"/>
      <c r="B15" s="1643"/>
      <c r="C15" s="45" t="s">
        <v>1129</v>
      </c>
      <c r="D15" s="45">
        <f t="shared" si="0"/>
        <v>4844.2700000000004</v>
      </c>
      <c r="E15" s="48">
        <f>SUMPRODUCT(('数据-基础表'!BB10:BK10="地下")*('数据-基础表'!BB11:BK11="车库—办公")*('数据-基础表'!BB5:BK5))</f>
        <v>21174.010000000002</v>
      </c>
      <c r="F15" s="2650"/>
      <c r="G15" s="2651"/>
      <c r="H15" s="2651"/>
      <c r="I15" s="2650"/>
      <c r="J15" s="2650"/>
      <c r="K15" s="2650"/>
      <c r="L15" s="2650"/>
      <c r="M15" s="2650"/>
      <c r="N15" s="2650"/>
      <c r="O15" s="2650"/>
      <c r="P15" s="2650"/>
    </row>
    <row r="16" spans="1:16" ht="15.75" thickBot="1">
      <c r="A16" s="1640"/>
      <c r="B16" s="1643"/>
      <c r="C16" s="47" t="s">
        <v>1123</v>
      </c>
      <c r="D16" s="47">
        <f>SUM(D8:D15)</f>
        <v>23586.720000000001</v>
      </c>
      <c r="E16" s="50">
        <f>SUM(E8:E15)</f>
        <v>103096.20000000001</v>
      </c>
      <c r="F16" s="2650"/>
      <c r="G16" s="2651"/>
      <c r="H16" s="1644" t="s">
        <v>1135</v>
      </c>
      <c r="I16" s="1645"/>
      <c r="J16" s="1135"/>
      <c r="K16" s="3599" t="s">
        <v>1135</v>
      </c>
      <c r="L16" s="3600"/>
      <c r="M16" s="3600"/>
      <c r="N16" s="3600"/>
      <c r="O16" s="3600"/>
      <c r="P16" s="3601"/>
    </row>
    <row r="17" spans="1:19" ht="15">
      <c r="A17" s="1646" t="s">
        <v>1136</v>
      </c>
      <c r="B17" s="1647" t="s">
        <v>1137</v>
      </c>
      <c r="C17" s="1648" t="s">
        <v>1138</v>
      </c>
      <c r="D17" s="1649" t="s">
        <v>1126</v>
      </c>
      <c r="E17" s="1650" t="s">
        <v>1127</v>
      </c>
      <c r="F17" s="1651"/>
      <c r="G17" s="1652"/>
      <c r="H17" s="1653" t="s">
        <v>1139</v>
      </c>
      <c r="I17" s="1654" t="s">
        <v>1124</v>
      </c>
      <c r="J17" s="1135"/>
      <c r="K17" s="3596" t="s">
        <v>1140</v>
      </c>
      <c r="L17" s="3597"/>
      <c r="M17" s="3598"/>
      <c r="N17" s="3596" t="s">
        <v>1141</v>
      </c>
      <c r="O17" s="3597"/>
      <c r="P17" s="3598"/>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7" t="s">
        <v>3461</v>
      </c>
      <c r="D19" s="45">
        <f>ROUND($D$3*E19/$E$3,2)</f>
        <v>18742.45</v>
      </c>
      <c r="E19" s="53">
        <f t="shared" ref="E19:E26" si="1">SUM(F19:G19)</f>
        <v>81922.19</v>
      </c>
      <c r="F19" s="2785">
        <f>'数据-基础表'!I13</f>
        <v>56213.600000000013</v>
      </c>
      <c r="G19" s="2786">
        <f>'数据-基础表'!K13</f>
        <v>25708.589999999997</v>
      </c>
      <c r="H19" s="666">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18742.45</v>
      </c>
      <c r="S19" s="1023">
        <f t="shared" si="5"/>
        <v>81922.19</v>
      </c>
    </row>
    <row r="20" spans="1:19">
      <c r="A20" s="1666"/>
      <c r="B20" s="47" t="s">
        <v>1153</v>
      </c>
      <c r="C20" s="3407" t="s">
        <v>3887</v>
      </c>
      <c r="D20" s="45">
        <f t="shared" ref="D20:D26" si="6">ROUND($D$3*E20/$E$3,2)</f>
        <v>4844.2700000000004</v>
      </c>
      <c r="E20" s="53">
        <f t="shared" si="1"/>
        <v>21174.010000000002</v>
      </c>
      <c r="F20" s="2785"/>
      <c r="G20" s="2786">
        <f>'数据-基础表'!M13</f>
        <v>21174.010000000002</v>
      </c>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4844.2700000000004</v>
      </c>
      <c r="S20" s="1023">
        <f t="shared" si="5"/>
        <v>21174.010000000002</v>
      </c>
    </row>
    <row r="21" spans="1:19">
      <c r="A21" s="1666"/>
      <c r="B21" s="47" t="s">
        <v>1153</v>
      </c>
      <c r="C21" s="3407"/>
      <c r="D21" s="45">
        <f t="shared" si="6"/>
        <v>0</v>
      </c>
      <c r="E21" s="53">
        <f t="shared" si="1"/>
        <v>0</v>
      </c>
      <c r="F21" s="2785"/>
      <c r="G21" s="2786"/>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08"/>
      <c r="D22" s="45">
        <f t="shared" si="6"/>
        <v>0</v>
      </c>
      <c r="E22" s="53">
        <f t="shared" si="1"/>
        <v>0</v>
      </c>
      <c r="F22" s="2787"/>
      <c r="G22" s="2788"/>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08"/>
      <c r="D23" s="45">
        <f>ROUND($D$3*E23/$E$3,2)</f>
        <v>0</v>
      </c>
      <c r="E23" s="53">
        <f>SUM(F23:G23)</f>
        <v>0</v>
      </c>
      <c r="F23" s="2787"/>
      <c r="G23" s="2788"/>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08"/>
      <c r="D24" s="45">
        <f>ROUND($D$3*E24/$E$3,2)</f>
        <v>0</v>
      </c>
      <c r="E24" s="53">
        <f>SUM(F24:G24)</f>
        <v>0</v>
      </c>
      <c r="F24" s="2787"/>
      <c r="G24" s="2788"/>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08"/>
      <c r="D25" s="45">
        <f t="shared" si="6"/>
        <v>0</v>
      </c>
      <c r="E25" s="53">
        <f t="shared" si="1"/>
        <v>0</v>
      </c>
      <c r="F25" s="2787"/>
      <c r="G25" s="2788"/>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7"/>
      <c r="G26" s="2788"/>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23586.720000000001</v>
      </c>
      <c r="E27" s="1137">
        <f>IF(SUM(E19:E26)='数据-基础表'!BA5,SUM(E19:E26),IF(F27="地上面积有误","面积有误","地下面积有误"))</f>
        <v>103096.20000000001</v>
      </c>
      <c r="F27" s="1136">
        <f>IF(SUM(F19:F26)=E8,SUM(F19:F26),"地上面积有误")</f>
        <v>56213.600000000013</v>
      </c>
      <c r="G27" s="1138">
        <f>SUM(G19:G26)</f>
        <v>46882.6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23586.720000000001</v>
      </c>
      <c r="S27" s="1022">
        <f>IF(SUM(S19:S26)=$E$3,SUM(S19:S26),SUM(S19:S26)&amp;"误差"&amp;ROUND(SUM(S19:S26)-E3,2))</f>
        <v>103096.20000000001</v>
      </c>
    </row>
    <row r="28" spans="1:19">
      <c r="A28" s="1666"/>
      <c r="B28" s="47" t="s">
        <v>1155</v>
      </c>
      <c r="C28" s="1034"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6"/>
      <c r="B29" s="47" t="s">
        <v>1155</v>
      </c>
      <c r="C29" s="1670"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6"/>
      <c r="B30" s="47"/>
      <c r="C30" s="1671" t="s">
        <v>1154</v>
      </c>
      <c r="D30" s="1136">
        <f>SUM(D28:D29)</f>
        <v>0</v>
      </c>
      <c r="E30" s="1136">
        <f>SUM(E28:E29)</f>
        <v>0</v>
      </c>
      <c r="F30" s="1136">
        <f>SUM(F28:F29)</f>
        <v>0</v>
      </c>
      <c r="G30" s="1138">
        <f>SUM(G28:G29)</f>
        <v>0</v>
      </c>
      <c r="H30" s="2650"/>
      <c r="I30" s="2650"/>
      <c r="J30" s="2650"/>
      <c r="K30" s="2650"/>
      <c r="L30" s="2650"/>
      <c r="M30" s="2650"/>
      <c r="N30" s="2650"/>
      <c r="O30" s="2650"/>
      <c r="P30" s="2650"/>
    </row>
    <row r="31" spans="1:19" ht="15.75" thickBot="1">
      <c r="A31" s="1672"/>
      <c r="B31" s="1673"/>
      <c r="C31" s="831" t="s">
        <v>1158</v>
      </c>
      <c r="D31" s="672">
        <f>D27+D30</f>
        <v>23586.720000000001</v>
      </c>
      <c r="E31" s="672">
        <f>E27+E30</f>
        <v>103096.20000000001</v>
      </c>
      <c r="F31" s="673">
        <f>F27+F30</f>
        <v>56213.600000000013</v>
      </c>
      <c r="G31" s="674">
        <f>G27+G30</f>
        <v>46882.6</v>
      </c>
      <c r="H31" s="2650"/>
      <c r="I31" s="2650"/>
      <c r="J31" s="2650"/>
      <c r="K31" s="2650"/>
      <c r="L31" s="2650"/>
      <c r="M31" s="2650"/>
      <c r="N31" s="2650"/>
      <c r="O31" s="2650"/>
      <c r="P31" s="2650"/>
    </row>
    <row r="32" spans="1:19">
      <c r="A32" s="1639"/>
      <c r="B32" s="1639" t="s">
        <v>1159</v>
      </c>
      <c r="C32" s="1639"/>
      <c r="D32" s="1639"/>
      <c r="E32" s="1049">
        <f>SUMIF(C19:C26,"*住宅*",E19:E26)</f>
        <v>0</v>
      </c>
      <c r="F32" s="1639"/>
      <c r="G32" s="1639"/>
      <c r="H32" s="2650"/>
      <c r="I32" s="2650"/>
      <c r="J32" s="2650"/>
      <c r="K32" s="2650"/>
      <c r="L32" s="2650"/>
      <c r="M32" s="2650"/>
      <c r="N32" s="2650"/>
      <c r="O32" s="2650"/>
      <c r="P32" s="2650"/>
    </row>
    <row r="33" spans="4:8">
      <c r="D33" s="1674"/>
    </row>
    <row r="36" spans="4:8">
      <c r="G36" s="1634">
        <v>300000</v>
      </c>
    </row>
    <row r="37" spans="4:8">
      <c r="E37" s="1634">
        <f>面积情况!K18+面积情况!K17+面积情况!K16+面积情况!K15+面积情况!K14+面积情况!K13+面积情况!K12</f>
        <v>70155.349999999991</v>
      </c>
      <c r="F37" s="1634">
        <f>F19</f>
        <v>56213.600000000013</v>
      </c>
      <c r="G37" s="1634">
        <f>(G36-F38*G38/10000-F39*G39/10000)/F37*10000</f>
        <v>40051.076607795971</v>
      </c>
      <c r="H37" s="1634">
        <f>(G36-F38*G38/10000-F39*G39/10000)/E37*10000</f>
        <v>32091.853294153621</v>
      </c>
    </row>
    <row r="38" spans="4:8">
      <c r="F38" s="1634">
        <f>G19</f>
        <v>25708.589999999997</v>
      </c>
      <c r="G38" s="1634">
        <v>25000</v>
      </c>
    </row>
    <row r="39" spans="4:8">
      <c r="F39" s="1634">
        <f>G20</f>
        <v>21174.010000000002</v>
      </c>
      <c r="G39" s="1634">
        <v>5000</v>
      </c>
    </row>
    <row r="45" spans="4:8">
      <c r="F45" s="1634">
        <f>149300.24-F46</f>
        <v>125073.105</v>
      </c>
      <c r="G45" s="1634">
        <f>(521000-F46*G46/10000-F47*G47/10000)/F45</f>
        <v>3.5844524288415163</v>
      </c>
    </row>
    <row r="46" spans="4:8">
      <c r="F46" s="1634">
        <f>48454.27/2</f>
        <v>24227.134999999998</v>
      </c>
      <c r="G46" s="1634">
        <v>25000</v>
      </c>
    </row>
    <row r="47" spans="4:8">
      <c r="F47" s="1634">
        <f>F46</f>
        <v>24227.134999999998</v>
      </c>
      <c r="G47" s="1634">
        <v>5000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activeCell="C50" sqref="C50"/>
      <selection pane="topRight" activeCell="C50" sqref="C50"/>
      <selection pane="bottomLeft" activeCell="C50" sqref="C50"/>
      <selection pane="bottomRight" activeCell="W40" sqref="W40"/>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5"/>
      <c r="L1" s="155"/>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1161</v>
      </c>
      <c r="B2" s="1041">
        <f>项目基本情况!D3</f>
        <v>44992</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49"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3389</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3895</v>
      </c>
      <c r="D6" s="854">
        <f>SUMIF(项目基本情况!C$12:I$12,C6,项目基本情况!C$14:I$14)</f>
        <v>50</v>
      </c>
      <c r="E6" s="853">
        <f>IF(B6="","",SUMIF(项目基本情况!C$12:I$12,C6,项目基本情况!C$13:I$13))</f>
        <v>57614</v>
      </c>
      <c r="F6" s="64">
        <f>SUMIF(项目基本情况!C$12:I$12,C6,项目基本情况!C$15:I$15)</f>
        <v>34.58</v>
      </c>
      <c r="G6" s="65">
        <f>IF(ISERROR(ROUND(POWER(1+H6,D6-F6)*(POWER(1+H6,F6)-1)/(POWER(1+H6,D6)-1),3)),0,ROUND(POWER(1+H6,D6-F6)*(POWER(1+H6,F6)-1)/(POWER(1+H6,D6)-1),3))</f>
        <v>0.879</v>
      </c>
      <c r="H6" s="728">
        <v>4.4999999999999998E-2</v>
      </c>
      <c r="I6" s="728">
        <v>5.5E-2</v>
      </c>
      <c r="J6" s="66">
        <v>4.4999999999999998E-2</v>
      </c>
      <c r="K6" s="1026">
        <f>SUMIF('数据-汇总表'!C$19:C$33,A6,'数据-汇总表'!E$19:E$33)</f>
        <v>81922.19</v>
      </c>
      <c r="L6" s="3443">
        <v>9000</v>
      </c>
      <c r="M6" s="67">
        <f t="shared" ref="M6:M14" si="0">ROUND(K6*L6/10000,0)</f>
        <v>73730</v>
      </c>
      <c r="N6" s="727">
        <f>(N21+N22)/2</f>
        <v>0.89999999999999991</v>
      </c>
      <c r="O6" s="67" t="str">
        <f>IF($N$5="成新度","——",ROUND(M6*N6,0))</f>
        <v>——</v>
      </c>
      <c r="P6" s="68" t="str">
        <f>IF($N$5="成新度","——",M6-O6)</f>
        <v>——</v>
      </c>
      <c r="Q6" s="3515">
        <v>0.25</v>
      </c>
      <c r="R6" s="69">
        <f ca="1">SUMIF('数据-汇总表'!C$19:C$33,A6,'数据-汇总表'!R$19:R$27)</f>
        <v>18742.45</v>
      </c>
      <c r="S6" s="51">
        <f>IF('数据-汇总表'!$I$17="按面积比例",SUMIF('数据-汇总表'!C$19:C$33,A6,'数据-汇总表'!K$19:K$33),SUMIF('数据-汇总表'!C$19:C$33,A6,'数据-汇总表'!N$19:N$33))</f>
        <v>0</v>
      </c>
      <c r="T6" s="1168">
        <f>ROUND($L$14*S6/10000,0)</f>
        <v>0</v>
      </c>
      <c r="U6" s="3511">
        <f>面积情况!M21</f>
        <v>5.88</v>
      </c>
      <c r="V6" s="3446">
        <v>0.03</v>
      </c>
      <c r="W6" s="3516">
        <v>0.05</v>
      </c>
      <c r="X6" s="1036"/>
      <c r="Y6" s="71">
        <f>N6</f>
        <v>0.89999999999999991</v>
      </c>
      <c r="Z6" s="72"/>
      <c r="AA6" s="66"/>
      <c r="AB6" s="66"/>
      <c r="AC6" s="1036"/>
      <c r="AD6" s="73"/>
      <c r="AE6" s="1037">
        <f ca="1">IF(AN6="",0,SUMIF(INDIRECT("'"&amp;AN6&amp;"'"&amp;"!E:E"),$AE$5,INDIRECT("'"&amp;AN6&amp;"'"&amp;"!F:F")))</f>
        <v>34.58</v>
      </c>
      <c r="AF6" s="1344"/>
      <c r="AG6" s="134">
        <f>IF(AF6="",0,AE6-AF6)</f>
        <v>0</v>
      </c>
      <c r="AH6" s="74"/>
      <c r="AI6" s="76">
        <v>365</v>
      </c>
      <c r="AJ6" s="77"/>
      <c r="AK6" s="3517">
        <v>5.0000000000000001E-3</v>
      </c>
      <c r="AL6" s="79">
        <v>1E-3</v>
      </c>
      <c r="AM6" s="80">
        <v>0.01</v>
      </c>
      <c r="AN6" s="1711" t="s">
        <v>3391</v>
      </c>
      <c r="AO6" s="52">
        <f ca="1">SUMIF(INDIRECT("'"&amp;AN6&amp;"'"&amp;"!A:A"),"总价",INDIRECT("'"&amp;AN6&amp;"'"&amp;"!B:B"))</f>
        <v>297582</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地下车库</v>
      </c>
      <c r="B7" s="1709" t="str">
        <f t="shared" ref="B7:B13" si="1">IF(A7=0,"","经营性")</f>
        <v>经营性</v>
      </c>
      <c r="C7" s="1710" t="s">
        <v>3334</v>
      </c>
      <c r="D7" s="854">
        <f>SUMIF(项目基本情况!C$12:I$12,C7,项目基本情况!C$14:I$14)</f>
        <v>50</v>
      </c>
      <c r="E7" s="853">
        <f>IF(B7="","",SUMIF(项目基本情况!C$12:I$12,C7,项目基本情况!C$13:I$13))</f>
        <v>57614</v>
      </c>
      <c r="F7" s="64">
        <f>SUMIF(项目基本情况!C$12:I$12,C7,项目基本情况!C$15:I$15)</f>
        <v>34.58</v>
      </c>
      <c r="G7" s="65">
        <f t="shared" ref="G7:G11" si="2">IF(ISERROR(ROUND(POWER(1+H7,D7-F7)*(POWER(1+H7,F7)-1)/(POWER(1+H7,D7)-1),3)),0,ROUND(POWER(1+H7,D7-F7)*(POWER(1+H7,F7)-1)/(POWER(1+H7,D7)-1),3))</f>
        <v>0.879</v>
      </c>
      <c r="H7" s="728">
        <v>4.4999999999999998E-2</v>
      </c>
      <c r="I7" s="728">
        <v>0.05</v>
      </c>
      <c r="J7" s="66">
        <v>4.4999999999999998E-2</v>
      </c>
      <c r="K7" s="1026">
        <f>SUMIF('数据-汇总表'!C$19:C$33,A7,'数据-汇总表'!E$19:E$33)</f>
        <v>21174.010000000002</v>
      </c>
      <c r="L7" s="3443">
        <f>L6</f>
        <v>9000</v>
      </c>
      <c r="M7" s="67">
        <f t="shared" si="0"/>
        <v>19057</v>
      </c>
      <c r="N7" s="727">
        <f>N6</f>
        <v>0.89999999999999991</v>
      </c>
      <c r="O7" s="67" t="str">
        <f t="shared" ref="O7:O14" si="3">IF($N$5="成新度","——",ROUND(M7*N7,0))</f>
        <v>——</v>
      </c>
      <c r="P7" s="68" t="str">
        <f t="shared" ref="P7:P14" si="4">IF($N$5="成新度","——",M7-O7)</f>
        <v>——</v>
      </c>
      <c r="Q7" s="3510">
        <v>0.05</v>
      </c>
      <c r="R7" s="69">
        <f ca="1">SUMIF('数据-汇总表'!C$19:C$33,A7,'数据-汇总表'!R$19:R$27)</f>
        <v>4844.2700000000004</v>
      </c>
      <c r="S7" s="51">
        <f>IF('数据-汇总表'!$I$17="按面积比例",SUMIF('数据-汇总表'!C$19:C$33,A7,'数据-汇总表'!K$19:K$33),SUMIF('数据-汇总表'!C$19:C$33,A7,'数据-汇总表'!N$19:N$33))</f>
        <v>0</v>
      </c>
      <c r="T7" s="1168">
        <f t="shared" ref="T7:T13" si="5">ROUND($L$14*S7/10000,0)</f>
        <v>0</v>
      </c>
      <c r="U7" s="3512">
        <v>1</v>
      </c>
      <c r="V7" s="70">
        <v>0.03</v>
      </c>
      <c r="W7" s="3516">
        <v>0.05</v>
      </c>
      <c r="X7" s="1036"/>
      <c r="Y7" s="71">
        <f>Y6</f>
        <v>0.89999999999999991</v>
      </c>
      <c r="Z7" s="72"/>
      <c r="AA7" s="66"/>
      <c r="AB7" s="66"/>
      <c r="AC7" s="1036"/>
      <c r="AD7" s="73"/>
      <c r="AE7" s="1037">
        <f t="shared" ref="AE7:AE13" ca="1" si="6">IF(AN7="",0,SUMIF(INDIRECT("'"&amp;AN7&amp;"'"&amp;"!E:E"),$AE$5,INDIRECT("'"&amp;AN7&amp;"'"&amp;"!F:F")))</f>
        <v>34.58</v>
      </c>
      <c r="AF7" s="1344"/>
      <c r="AG7" s="134">
        <f t="shared" ref="AG7:AG13" si="7">IF(AF7="",0,AE7-AF7)</f>
        <v>0</v>
      </c>
      <c r="AH7" s="74"/>
      <c r="AI7" s="76">
        <v>365</v>
      </c>
      <c r="AJ7" s="77"/>
      <c r="AK7" s="3509">
        <v>5.0000000000000001E-3</v>
      </c>
      <c r="AL7" s="79">
        <v>1E-3</v>
      </c>
      <c r="AM7" s="80">
        <v>0.01</v>
      </c>
      <c r="AN7" s="1711" t="s">
        <v>3888</v>
      </c>
      <c r="AO7" s="52">
        <f t="shared" ref="AO7:AO13" ca="1" si="8">SUMIF(INDIRECT("'"&amp;AN7&amp;"'"&amp;"!A:A"),"总价",INDIRECT("'"&amp;AN7&amp;"'"&amp;"!B:B"))</f>
        <v>11675</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9"/>
      <c r="V8" s="731"/>
      <c r="W8" s="731"/>
      <c r="X8" s="1036"/>
      <c r="Y8" s="71"/>
      <c r="Z8" s="72"/>
      <c r="AA8" s="66"/>
      <c r="AB8" s="66"/>
      <c r="AC8" s="1036"/>
      <c r="AD8" s="73"/>
      <c r="AE8" s="1037">
        <f t="shared" ca="1" si="6"/>
        <v>0</v>
      </c>
      <c r="AF8" s="1344"/>
      <c r="AG8" s="134">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8"/>
      <c r="V9" s="70"/>
      <c r="W9" s="70"/>
      <c r="X9" s="1036"/>
      <c r="Y9" s="71"/>
      <c r="Z9" s="72"/>
      <c r="AA9" s="66"/>
      <c r="AB9" s="66"/>
      <c r="AC9" s="1036"/>
      <c r="AD9" s="73"/>
      <c r="AE9" s="1037">
        <f t="shared" ca="1" si="6"/>
        <v>0</v>
      </c>
      <c r="AF9" s="1344"/>
      <c r="AG9" s="134">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8"/>
      <c r="V10" s="70"/>
      <c r="W10" s="70"/>
      <c r="X10" s="1036"/>
      <c r="Y10" s="71"/>
      <c r="Z10" s="72"/>
      <c r="AA10" s="66"/>
      <c r="AB10" s="66"/>
      <c r="AC10" s="1036"/>
      <c r="AD10" s="73"/>
      <c r="AE10" s="1037">
        <f t="shared" ca="1" si="6"/>
        <v>0</v>
      </c>
      <c r="AF10" s="1344"/>
      <c r="AG10" s="134">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8"/>
      <c r="V11" s="66"/>
      <c r="W11" s="66"/>
      <c r="X11" s="1036"/>
      <c r="Y11" s="71"/>
      <c r="Z11" s="84"/>
      <c r="AA11" s="66"/>
      <c r="AB11" s="66"/>
      <c r="AC11" s="1036"/>
      <c r="AD11" s="73"/>
      <c r="AE11" s="1037">
        <f t="shared" ca="1" si="6"/>
        <v>0</v>
      </c>
      <c r="AF11" s="1344"/>
      <c r="AG11" s="134">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8"/>
      <c r="V12" s="66"/>
      <c r="W12" s="66"/>
      <c r="X12" s="1036"/>
      <c r="Y12" s="71"/>
      <c r="Z12" s="84"/>
      <c r="AA12" s="66"/>
      <c r="AB12" s="66"/>
      <c r="AC12" s="1036"/>
      <c r="AD12" s="73"/>
      <c r="AE12" s="1037">
        <f t="shared" ca="1" si="6"/>
        <v>0</v>
      </c>
      <c r="AF12" s="1344"/>
      <c r="AG12" s="134">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0"/>
      <c r="V13" s="70"/>
      <c r="W13" s="70"/>
      <c r="X13" s="1036"/>
      <c r="Y13" s="71"/>
      <c r="Z13" s="72"/>
      <c r="AA13" s="66"/>
      <c r="AB13" s="66"/>
      <c r="AC13" s="1036"/>
      <c r="AD13" s="73"/>
      <c r="AE13" s="1037">
        <f t="shared" ca="1" si="6"/>
        <v>0</v>
      </c>
      <c r="AF13" s="1344"/>
      <c r="AG13" s="134">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4"/>
      <c r="AH14" s="1037"/>
      <c r="AI14" s="1353"/>
      <c r="AJ14" s="700"/>
      <c r="AK14" s="1038"/>
      <c r="AL14" s="1039"/>
      <c r="AM14" s="1040"/>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4"/>
      <c r="AH15" s="1037"/>
      <c r="AI15" s="1353"/>
      <c r="AJ15" s="700"/>
      <c r="AK15" s="1038"/>
      <c r="AL15" s="1039"/>
      <c r="AM15" s="1040"/>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0.879</v>
      </c>
      <c r="H16" s="90">
        <f>ROUND(SUMPRODUCT(H6:H13,K6:K13)/SUMPRODUCT((H6:H13&gt;0)*(K6:K13)),3)</f>
        <v>4.4999999999999998E-2</v>
      </c>
      <c r="I16" s="91"/>
      <c r="J16" s="91"/>
      <c r="K16" s="92">
        <f>SUM(K6:K15)</f>
        <v>103096.20000000001</v>
      </c>
      <c r="L16" s="93">
        <f>ROUND(M16*10000/SUM(K6:K14),0)</f>
        <v>9000</v>
      </c>
      <c r="M16" s="93">
        <f>SUM(M6:M14)</f>
        <v>92787</v>
      </c>
      <c r="N16" s="94">
        <f>ROUND(SUMPRODUCT(M6:M14,N6:N14)/M16,3)</f>
        <v>0.9</v>
      </c>
      <c r="O16" s="93">
        <f>SUM(O6:O14)</f>
        <v>0</v>
      </c>
      <c r="P16" s="93">
        <f>SUM(P6:P14)</f>
        <v>0</v>
      </c>
      <c r="Q16" s="95">
        <f>ROUND(SUMPRODUCT(Q6:Q13,K6:K13)/SUMPRODUCT((Q6:Q13&gt;0)*(K6:K13)),2)</f>
        <v>0.21</v>
      </c>
      <c r="R16" s="1030">
        <f ca="1">SUM(R6:R13)</f>
        <v>23586.720000000001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1211</v>
      </c>
      <c r="B19" s="103">
        <v>0</v>
      </c>
      <c r="C19" s="2789" t="s">
        <v>2299</v>
      </c>
      <c r="D19" s="2666"/>
      <c r="E19" s="2663"/>
      <c r="F19" s="2663"/>
      <c r="G19" s="2663"/>
      <c r="H19" s="2663"/>
      <c r="I19" s="2663"/>
      <c r="J19" s="2663"/>
      <c r="K19" s="2662"/>
      <c r="L19" s="2662"/>
      <c r="M19" s="2661"/>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1212</v>
      </c>
      <c r="B20" s="3513">
        <v>3</v>
      </c>
      <c r="C20" s="2790" t="s">
        <v>2297</v>
      </c>
      <c r="D20" s="2666"/>
      <c r="E20" s="2663"/>
      <c r="F20" s="2663"/>
      <c r="G20" s="2663"/>
      <c r="H20" s="2663"/>
      <c r="I20" s="2663"/>
      <c r="J20" s="2663"/>
      <c r="K20" s="2662"/>
      <c r="L20" s="2662"/>
      <c r="M20" s="2661"/>
      <c r="N20" s="2661"/>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1213</v>
      </c>
      <c r="B21" s="3513">
        <v>3</v>
      </c>
      <c r="C21" s="2663"/>
      <c r="D21" s="2666"/>
      <c r="E21" s="2663"/>
      <c r="F21" s="2663"/>
      <c r="G21" s="2663"/>
      <c r="H21" s="2663"/>
      <c r="I21" s="2663"/>
      <c r="J21" s="2663"/>
      <c r="K21" s="2662"/>
      <c r="L21" s="2662"/>
      <c r="M21" s="2661"/>
      <c r="N21" s="727">
        <f>ROUND(1-(2023-2014)/60,2)</f>
        <v>0.85</v>
      </c>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1214</v>
      </c>
      <c r="B22" s="104">
        <f>B19+B20</f>
        <v>3</v>
      </c>
      <c r="C22" s="2663"/>
      <c r="D22" s="2666"/>
      <c r="E22" s="2663"/>
      <c r="F22" s="2663"/>
      <c r="G22" s="2663"/>
      <c r="H22" s="2663"/>
      <c r="I22" s="2663"/>
      <c r="J22" s="2663"/>
      <c r="K22" s="2662"/>
      <c r="L22" s="2662"/>
      <c r="M22" s="2661"/>
      <c r="N22" s="3514">
        <v>0.95</v>
      </c>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1215</v>
      </c>
      <c r="B23" s="104">
        <f>B19+B21</f>
        <v>3</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1216</v>
      </c>
      <c r="B24" s="105">
        <f>B20-B21</f>
        <v>0</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1217</v>
      </c>
      <c r="B26" s="1722"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1220</v>
      </c>
      <c r="B27" s="3504">
        <v>160</v>
      </c>
      <c r="C27" s="2791" t="s">
        <v>2301</v>
      </c>
      <c r="D27" s="2669"/>
      <c r="E27" s="2652"/>
      <c r="F27" s="2652"/>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3505">
        <v>200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3506">
        <f ca="1">成本法!C10</f>
        <v>2062</v>
      </c>
      <c r="C29" s="2792" t="s">
        <v>2288</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7">
        <v>200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08">
        <f>B30-B32</f>
        <v>200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8"/>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69">
        <v>0.05</v>
      </c>
      <c r="C33" s="2793" t="s">
        <v>2289</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09">
        <v>0</v>
      </c>
      <c r="C34" s="2793" t="s">
        <v>2290</v>
      </c>
      <c r="D34" s="2674" t="s">
        <v>2298</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444">
        <v>200</v>
      </c>
      <c r="C35" s="2793" t="s">
        <v>2291</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0">
        <v>1.4999999999999999E-2</v>
      </c>
      <c r="C36" s="2793" t="s">
        <v>2292</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1230</v>
      </c>
      <c r="B37" s="111">
        <v>0.03</v>
      </c>
      <c r="C37" s="2793" t="s">
        <v>2293</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1231</v>
      </c>
      <c r="B38" s="3445">
        <v>2.5000000000000001E-2</v>
      </c>
      <c r="C38" s="2793" t="s">
        <v>2293</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1232</v>
      </c>
      <c r="B39" s="313">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3390</v>
      </c>
      <c r="B40" s="1074">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1233</v>
      </c>
      <c r="B41" s="112">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1234</v>
      </c>
      <c r="B42" s="113">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1235</v>
      </c>
      <c r="B43" s="114">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1236</v>
      </c>
      <c r="B44" s="115">
        <v>7.0000000000000007E-2</v>
      </c>
      <c r="C44" s="2793" t="s">
        <v>2302</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1237</v>
      </c>
      <c r="B45" s="113">
        <v>0.03</v>
      </c>
      <c r="C45" s="2792" t="s">
        <v>2294</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1238</v>
      </c>
      <c r="B46" s="113">
        <v>0.02</v>
      </c>
      <c r="C46" s="2792" t="s">
        <v>2295</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1239</v>
      </c>
      <c r="B47" s="116"/>
      <c r="C47" s="2795" t="s">
        <v>2303</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1240</v>
      </c>
      <c r="B48" s="117">
        <v>0.03</v>
      </c>
      <c r="C48" s="2792" t="s">
        <v>2294</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1241</v>
      </c>
      <c r="B49" s="113">
        <v>5.0000000000000001E-4</v>
      </c>
      <c r="C49" s="2792" t="s">
        <v>2296</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1242</v>
      </c>
      <c r="B50" s="118">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1243</v>
      </c>
      <c r="B51" s="119">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1244</v>
      </c>
      <c r="B52" s="120">
        <f>SUMIF(A54:A63,B53,B54:B63)</f>
        <v>3</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1245</v>
      </c>
      <c r="B53" s="1734" t="s">
        <v>303</v>
      </c>
      <c r="C53" s="2652" t="s">
        <v>1246</v>
      </c>
      <c r="D53" s="2794" t="s">
        <v>2300</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1256</v>
      </c>
      <c r="B63" s="121"/>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9"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9"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9"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9"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9"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4.25"/>
  <cols>
    <col min="1" max="1" width="9.5" style="1682" customWidth="1"/>
    <col min="2" max="2" width="24.5" style="1568" customWidth="1"/>
    <col min="3" max="3" width="24.5" style="2501" customWidth="1"/>
    <col min="4" max="4" width="2.625" style="2501" customWidth="1"/>
    <col min="5" max="5" width="5.875" style="2501" customWidth="1"/>
    <col min="6" max="6" width="27" style="1568"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5"/>
    <col min="30" max="16384" width="9" style="1682"/>
  </cols>
  <sheetData>
    <row r="1" spans="1:29" s="2450" customFormat="1" ht="18.75" thickBot="1">
      <c r="A1" s="3611" t="s">
        <v>2280</v>
      </c>
      <c r="B1" s="3612"/>
      <c r="C1" s="3612"/>
      <c r="D1" s="3612"/>
      <c r="E1" s="3612"/>
      <c r="F1" s="3612"/>
      <c r="G1" s="361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2276</v>
      </c>
      <c r="D2" s="2454"/>
      <c r="E2" s="2451"/>
      <c r="F2" s="2455"/>
      <c r="G2" s="2453" t="s">
        <v>2277</v>
      </c>
      <c r="H2" s="795"/>
      <c r="I2" s="795"/>
      <c r="J2" s="795"/>
      <c r="K2" s="795"/>
      <c r="L2" s="795"/>
      <c r="M2" s="795"/>
      <c r="N2" s="795"/>
      <c r="O2" s="795"/>
      <c r="P2" s="795"/>
      <c r="Q2" s="795"/>
      <c r="R2" s="795"/>
    </row>
    <row r="3" spans="1:29" ht="48">
      <c r="A3" s="2434" t="s">
        <v>2278</v>
      </c>
      <c r="B3" s="2456" t="s">
        <v>2250</v>
      </c>
      <c r="C3" s="3499" t="s">
        <v>3873</v>
      </c>
      <c r="D3" s="2457"/>
      <c r="E3" s="2435" t="s">
        <v>2278</v>
      </c>
      <c r="F3" s="2458" t="s">
        <v>2251</v>
      </c>
      <c r="G3" s="2459" t="s">
        <v>2279</v>
      </c>
      <c r="H3" s="795"/>
      <c r="I3" s="795"/>
      <c r="J3" s="795"/>
      <c r="K3" s="795"/>
      <c r="L3" s="795"/>
      <c r="M3" s="795"/>
      <c r="N3" s="795"/>
      <c r="O3" s="795"/>
      <c r="P3" s="795"/>
      <c r="Q3" s="795"/>
      <c r="R3" s="795"/>
    </row>
    <row r="4" spans="1:29" ht="36.75">
      <c r="A4" s="2435"/>
      <c r="B4" s="319" t="s">
        <v>2252</v>
      </c>
      <c r="C4" s="3500" t="s">
        <v>3874</v>
      </c>
      <c r="D4" s="2457"/>
      <c r="E4" s="2460"/>
      <c r="F4" s="1369" t="s">
        <v>2253</v>
      </c>
      <c r="G4" s="2461" t="s">
        <v>2254</v>
      </c>
      <c r="H4" s="795"/>
      <c r="I4" s="795"/>
      <c r="J4" s="795"/>
      <c r="K4" s="795"/>
      <c r="L4" s="795"/>
      <c r="M4" s="795"/>
      <c r="N4" s="795"/>
      <c r="O4" s="795"/>
      <c r="P4" s="795"/>
      <c r="Q4" s="795"/>
      <c r="R4" s="795"/>
    </row>
    <row r="5" spans="1:29" ht="36.75">
      <c r="A5" s="2435"/>
      <c r="B5" s="319" t="s">
        <v>2255</v>
      </c>
      <c r="C5" s="3500" t="s">
        <v>3875</v>
      </c>
      <c r="D5" s="2457"/>
      <c r="E5" s="2460"/>
      <c r="F5" s="319" t="s">
        <v>2256</v>
      </c>
      <c r="G5" s="2461" t="s">
        <v>2257</v>
      </c>
      <c r="H5" s="795"/>
      <c r="I5" s="795"/>
      <c r="J5" s="795"/>
      <c r="K5" s="795"/>
      <c r="L5" s="795"/>
      <c r="M5" s="795"/>
      <c r="N5" s="795"/>
      <c r="O5" s="795"/>
      <c r="P5" s="795"/>
      <c r="Q5" s="795"/>
      <c r="R5" s="795"/>
    </row>
    <row r="6" spans="1:29" ht="36">
      <c r="A6" s="2435"/>
      <c r="B6" s="319" t="s">
        <v>2258</v>
      </c>
      <c r="C6" s="2461" t="s">
        <v>3876</v>
      </c>
      <c r="D6" s="2457"/>
      <c r="E6" s="2460"/>
      <c r="F6" s="319" t="s">
        <v>2259</v>
      </c>
      <c r="G6" s="2461" t="s">
        <v>2260</v>
      </c>
      <c r="H6" s="795"/>
      <c r="I6" s="795"/>
      <c r="J6" s="795"/>
      <c r="K6" s="795"/>
      <c r="L6" s="795"/>
      <c r="M6" s="795"/>
      <c r="N6" s="795"/>
      <c r="O6" s="795"/>
      <c r="P6" s="795"/>
      <c r="Q6" s="795"/>
      <c r="R6" s="795"/>
    </row>
    <row r="7" spans="1:29" ht="24.75" thickBot="1">
      <c r="A7" s="2435"/>
      <c r="B7" s="319" t="s">
        <v>2256</v>
      </c>
      <c r="C7" s="2461" t="s">
        <v>3877</v>
      </c>
      <c r="D7" s="2462"/>
      <c r="E7" s="2463"/>
      <c r="F7" s="2464" t="s">
        <v>2261</v>
      </c>
      <c r="G7" s="2465" t="s">
        <v>2262</v>
      </c>
      <c r="H7" s="795"/>
      <c r="I7" s="795"/>
      <c r="J7" s="795"/>
      <c r="K7" s="795"/>
      <c r="L7" s="795"/>
      <c r="M7" s="795"/>
      <c r="N7" s="795"/>
      <c r="O7" s="795"/>
      <c r="P7" s="795"/>
      <c r="Q7" s="795"/>
      <c r="R7" s="795"/>
    </row>
    <row r="8" spans="1:29">
      <c r="A8" s="2435"/>
      <c r="B8" s="319" t="s">
        <v>2259</v>
      </c>
      <c r="C8" s="2461" t="s">
        <v>3878</v>
      </c>
      <c r="D8" s="2462"/>
      <c r="E8" s="2462"/>
      <c r="F8" s="2466"/>
      <c r="G8" s="2466"/>
      <c r="H8" s="795"/>
      <c r="I8" s="795"/>
      <c r="J8" s="795"/>
      <c r="K8" s="795"/>
      <c r="L8" s="795"/>
      <c r="M8" s="795"/>
      <c r="N8" s="795"/>
      <c r="O8" s="795"/>
      <c r="P8" s="795"/>
      <c r="Q8" s="795"/>
      <c r="R8" s="795"/>
    </row>
    <row r="9" spans="1:29" ht="24">
      <c r="A9" s="2435"/>
      <c r="B9" s="319" t="s">
        <v>2263</v>
      </c>
      <c r="C9" s="3500" t="s">
        <v>3879</v>
      </c>
      <c r="D9" s="2457"/>
      <c r="E9" s="2462"/>
      <c r="F9" s="2466"/>
      <c r="G9" s="2466"/>
      <c r="H9" s="795"/>
      <c r="I9" s="795"/>
      <c r="J9" s="795"/>
      <c r="K9" s="795"/>
      <c r="L9" s="795"/>
      <c r="M9" s="795"/>
      <c r="N9" s="795"/>
      <c r="O9" s="795"/>
      <c r="P9" s="795"/>
      <c r="Q9" s="795"/>
      <c r="R9" s="795"/>
    </row>
    <row r="10" spans="1:29" s="2472" customFormat="1" ht="15" thickBot="1">
      <c r="A10" s="2436"/>
      <c r="B10" s="2467" t="s">
        <v>2264</v>
      </c>
      <c r="C10" s="2468"/>
      <c r="D10" s="2457"/>
      <c r="E10" s="2457"/>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2281</v>
      </c>
      <c r="B13" s="2475"/>
      <c r="C13" s="2475"/>
      <c r="D13" s="2473"/>
      <c r="E13" s="2475"/>
      <c r="F13" s="2475"/>
      <c r="G13" s="2475"/>
    </row>
    <row r="14" spans="1:29" ht="15" thickBot="1">
      <c r="A14" s="2485"/>
      <c r="B14" s="2485"/>
      <c r="C14" s="2486" t="s">
        <v>2265</v>
      </c>
      <c r="D14" s="2457"/>
      <c r="E14" s="2487"/>
      <c r="F14" s="2487"/>
      <c r="G14" s="2453" t="s">
        <v>2266</v>
      </c>
    </row>
    <row r="15" spans="1:29" ht="51">
      <c r="A15" s="2437" t="s">
        <v>2267</v>
      </c>
      <c r="B15" s="2488" t="s">
        <v>2250</v>
      </c>
      <c r="C15" s="2489" t="str">
        <f>C3</f>
        <v>估价对象周边居住用地比例、居住小区规模和社区发展完善程度，综合评价居住社区成熟度一般</v>
      </c>
      <c r="D15" s="2457"/>
      <c r="E15" s="2438" t="s">
        <v>2268</v>
      </c>
      <c r="F15" s="2488" t="s">
        <v>2269</v>
      </c>
      <c r="G15" s="2490" t="str">
        <f>G3</f>
        <v>估价对象位于XX开发区，园区建设成熟度XX，产业集聚程度XX</v>
      </c>
    </row>
    <row r="16" spans="1:29" ht="38.25">
      <c r="A16" s="2439"/>
      <c r="B16" s="2491" t="s">
        <v>2252</v>
      </c>
      <c r="C16" s="2492" t="str">
        <f>C4</f>
        <v>估价对象位于XX商圈，周边商业氛围成熟，人流量大，商业繁华度好</v>
      </c>
      <c r="D16" s="2457"/>
      <c r="E16" s="2440"/>
      <c r="F16" s="2493" t="s">
        <v>2253</v>
      </c>
      <c r="G16" s="2494" t="str">
        <f>G4</f>
        <v>估价对象周边道路状况、公共交通通达情况、停车便捷程度，综合评价交通便捷度较好</v>
      </c>
    </row>
    <row r="17" spans="1:18" ht="38.25">
      <c r="A17" s="2439"/>
      <c r="B17" s="2491" t="s">
        <v>2255</v>
      </c>
      <c r="C17" s="2492" t="str">
        <f>C5</f>
        <v>估价对象位于XX商圈，周边办公楼项目较多，入驻率高，办公集聚程度较好</v>
      </c>
      <c r="D17" s="2462"/>
      <c r="E17" s="2440"/>
      <c r="F17" s="2493" t="s">
        <v>2270</v>
      </c>
      <c r="G17" s="2495"/>
    </row>
    <row r="18" spans="1:18" ht="38.25">
      <c r="A18" s="2439"/>
      <c r="B18" s="2493" t="s">
        <v>2258</v>
      </c>
      <c r="C18" s="2494" t="str">
        <f>C6</f>
        <v>估价对象周边道路状况、公共交通通达情况、停车便捷程度，综合评价交通便捷度较好</v>
      </c>
      <c r="D18" s="2462"/>
      <c r="E18" s="2440"/>
      <c r="F18" s="2493" t="s">
        <v>2261</v>
      </c>
      <c r="G18" s="2494" t="str">
        <f>G7</f>
        <v>该园区内是否有污染型企业，绿化情况，卫生条件，整体环境状况判断</v>
      </c>
    </row>
    <row r="19" spans="1:18" ht="25.5">
      <c r="A19" s="2439"/>
      <c r="B19" s="2493" t="s">
        <v>2271</v>
      </c>
      <c r="C19" s="2495"/>
      <c r="D19" s="2457"/>
      <c r="E19" s="2440"/>
      <c r="F19" s="319" t="s">
        <v>2256</v>
      </c>
      <c r="G19" s="2494" t="str">
        <f>G5</f>
        <v>估价对象所在区域公共配套设施齐备情况</v>
      </c>
    </row>
    <row r="20" spans="1:18" ht="25.5">
      <c r="A20" s="2439"/>
      <c r="B20" s="2493" t="s">
        <v>2272</v>
      </c>
      <c r="C20" s="2492" t="str">
        <f>C9</f>
        <v>区域自然环境：；人文环境；综合评价环境状况一般</v>
      </c>
      <c r="D20" s="2462"/>
      <c r="E20" s="2440"/>
      <c r="F20" s="319" t="s">
        <v>2259</v>
      </c>
      <c r="G20" s="2494" t="str">
        <f>G6</f>
        <v>估价对象所在区域基础设施水平</v>
      </c>
    </row>
    <row r="21" spans="1:18" ht="25.5">
      <c r="A21" s="2439"/>
      <c r="B21" s="319" t="s">
        <v>2256</v>
      </c>
      <c r="C21" s="2494" t="str">
        <f>C7</f>
        <v>估价对象所在区域公共配套设施齐备情况</v>
      </c>
      <c r="D21" s="2457"/>
      <c r="E21" s="2440"/>
      <c r="F21" s="2493" t="s">
        <v>2273</v>
      </c>
      <c r="G21" s="2496"/>
    </row>
    <row r="22" spans="1:18" ht="13.5" customHeight="1">
      <c r="A22" s="2439"/>
      <c r="B22" s="319" t="s">
        <v>2259</v>
      </c>
      <c r="C22" s="2494" t="str">
        <f>C8</f>
        <v>估价对象所在区域基础设施水平</v>
      </c>
      <c r="D22" s="2457"/>
      <c r="E22" s="2440"/>
      <c r="F22" s="2493" t="s">
        <v>2264</v>
      </c>
      <c r="G22" s="2495"/>
    </row>
    <row r="23" spans="1:18" s="795" customFormat="1" ht="15" thickBot="1">
      <c r="A23" s="2439"/>
      <c r="B23" s="2493" t="s">
        <v>2273</v>
      </c>
      <c r="C23" s="2496"/>
      <c r="D23" s="1737"/>
      <c r="E23" s="2441"/>
      <c r="F23" s="2497" t="s">
        <v>2274</v>
      </c>
      <c r="G23" s="2498"/>
      <c r="H23" s="2482"/>
      <c r="I23" s="2483"/>
      <c r="J23" s="2482"/>
      <c r="K23" s="2482"/>
      <c r="L23" s="2483"/>
      <c r="M23" s="2482"/>
      <c r="N23" s="2482"/>
      <c r="O23" s="2483"/>
      <c r="P23" s="2482"/>
      <c r="Q23" s="2482"/>
      <c r="R23" s="2484"/>
    </row>
    <row r="24" spans="1:18" s="795" customFormat="1" ht="15" thickBot="1">
      <c r="A24" s="2442"/>
      <c r="B24" s="2497" t="s">
        <v>2275</v>
      </c>
      <c r="C24" s="2499">
        <f>C10</f>
        <v>0</v>
      </c>
      <c r="D24" s="1737"/>
      <c r="E24" s="2432"/>
      <c r="F24" s="2432"/>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103096.20000000001</v>
      </c>
      <c r="C1" s="2676"/>
      <c r="D1" s="2676"/>
      <c r="E1" s="2676"/>
      <c r="F1" s="2676"/>
      <c r="G1" s="2677"/>
      <c r="H1" s="2678"/>
      <c r="I1" s="2678"/>
      <c r="J1" s="2678"/>
      <c r="K1" s="2678"/>
    </row>
    <row r="2" spans="1:11" ht="16.5">
      <c r="A2" s="2503" t="s">
        <v>653</v>
      </c>
      <c r="B2" s="2503">
        <f>SUM(C14:C23)</f>
        <v>23586.720000000001</v>
      </c>
      <c r="C2" s="2676"/>
      <c r="D2" s="2676"/>
      <c r="E2" s="2676"/>
      <c r="F2" s="2676"/>
      <c r="G2" s="2677"/>
      <c r="H2" s="2678"/>
      <c r="I2" s="2678"/>
      <c r="J2" s="2678"/>
      <c r="K2" s="2678"/>
    </row>
    <row r="3" spans="1:11" ht="16.5">
      <c r="A3" s="2503" t="s">
        <v>662</v>
      </c>
      <c r="B3" s="2505">
        <f>项目基本情况!D3</f>
        <v>44992</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300687</v>
      </c>
      <c r="C5" s="2503">
        <f ca="1">IF(B5=D14,结果表!H102,ROUND(B5*10000/$B$1,0))</f>
        <v>29166</v>
      </c>
      <c r="D5" s="2503">
        <f ca="1">ROUND(B5*10000/$B$2,0)</f>
        <v>127481</v>
      </c>
      <c r="E5" s="2676"/>
      <c r="F5" s="2677"/>
      <c r="G5" s="2677"/>
      <c r="H5" s="2678"/>
      <c r="I5" s="2678"/>
      <c r="J5" s="2678"/>
      <c r="K5" s="2678"/>
    </row>
    <row r="6" spans="1:11" ht="16.5">
      <c r="A6" s="2503" t="s">
        <v>656</v>
      </c>
      <c r="B6" s="2503">
        <f ca="1">SUM(G14:G23)</f>
        <v>300687</v>
      </c>
      <c r="C6" s="2503">
        <f ca="1">IF(B6=G14,结果表!H108,ROUND(B6*10000/$B$1,0))</f>
        <v>29166</v>
      </c>
      <c r="D6" s="2503">
        <f ca="1">ROUND(B6*10000/$B$2,0)</f>
        <v>127481</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3357</v>
      </c>
      <c r="D10" s="2503" t="s">
        <v>3358</v>
      </c>
      <c r="E10" s="3431"/>
      <c r="F10" s="3435" t="s">
        <v>3359</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103096.20000000001</v>
      </c>
      <c r="C14" s="2509">
        <f>结果表!C118</f>
        <v>23586.720000000001</v>
      </c>
      <c r="D14" s="2509">
        <f ca="1">结果表!H118</f>
        <v>300687</v>
      </c>
      <c r="E14" s="2509">
        <f ca="1">ROUND(D14*10000/B14,0)</f>
        <v>29166</v>
      </c>
      <c r="F14" s="2509">
        <f ca="1">ROUND(D14*10000/C14,0)</f>
        <v>127481</v>
      </c>
      <c r="G14" s="2509">
        <f ca="1">D14</f>
        <v>300687</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7"/>
      <c r="H15" s="1327"/>
      <c r="I15" s="2510"/>
      <c r="J15" s="2677"/>
      <c r="K15" s="2678"/>
    </row>
    <row r="16" spans="1:11" ht="16.5">
      <c r="A16" s="2508" t="s">
        <v>648</v>
      </c>
      <c r="B16" s="2510"/>
      <c r="C16" s="2510"/>
      <c r="D16" s="2510"/>
      <c r="E16" s="2509" t="e">
        <f t="shared" si="0"/>
        <v>#DIV/0!</v>
      </c>
      <c r="F16" s="2509" t="e">
        <f t="shared" si="1"/>
        <v>#DIV/0!</v>
      </c>
      <c r="G16" s="1327"/>
      <c r="H16" s="1327"/>
      <c r="I16" s="2510"/>
      <c r="J16" s="2678"/>
      <c r="K16" s="2678"/>
    </row>
    <row r="17" spans="1:11" ht="16.5">
      <c r="A17" s="2508" t="s">
        <v>647</v>
      </c>
      <c r="B17" s="2510"/>
      <c r="C17" s="2510"/>
      <c r="D17" s="2510"/>
      <c r="E17" s="2509" t="e">
        <f t="shared" si="0"/>
        <v>#DIV/0!</v>
      </c>
      <c r="F17" s="2509" t="e">
        <f t="shared" si="1"/>
        <v>#DIV/0!</v>
      </c>
      <c r="G17" s="1327"/>
      <c r="H17" s="1327"/>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topLeftCell="B103" zoomScaleNormal="100" zoomScaleSheetLayoutView="85" zoomScalePageLayoutView="80" workbookViewId="0">
      <selection activeCell="D119" sqref="D119:I119"/>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t="s">
        <v>3406</v>
      </c>
      <c r="H1" s="1746" t="str">
        <f>IF(G1="现房","——","估价对象范围")</f>
        <v>——</v>
      </c>
      <c r="I1" s="1747" t="s">
        <v>3407</v>
      </c>
    </row>
    <row r="2" spans="1:12" ht="21.75" customHeight="1" thickBot="1">
      <c r="A2" s="3647" t="str">
        <f>项目基本情况!S2</f>
        <v>北京市丰台区南四环西路186号一区1号楼-4至7层01房地产</v>
      </c>
      <c r="B2" s="3648"/>
      <c r="C2" s="3648"/>
      <c r="D2" s="3648"/>
      <c r="E2" s="3648"/>
      <c r="F2" s="3648"/>
      <c r="G2" s="3648"/>
      <c r="H2" s="3648"/>
      <c r="I2" s="3649"/>
    </row>
    <row r="3" spans="1:12" ht="12.75">
      <c r="A3" s="3651" t="s">
        <v>1264</v>
      </c>
      <c r="B3" s="3652"/>
      <c r="C3" s="3652"/>
      <c r="D3" s="3652"/>
      <c r="E3" s="3652"/>
      <c r="F3" s="3652"/>
      <c r="G3" s="3652"/>
      <c r="H3" s="3652"/>
      <c r="I3" s="3652"/>
    </row>
    <row r="4" spans="1:12" ht="14.25">
      <c r="A4" s="1750" t="s">
        <v>1265</v>
      </c>
      <c r="B4" s="1751" t="s">
        <v>1266</v>
      </c>
      <c r="C4" s="1752" t="s">
        <v>3403</v>
      </c>
      <c r="D4" s="1752" t="s">
        <v>3890</v>
      </c>
      <c r="E4" s="3653" t="s">
        <v>1267</v>
      </c>
      <c r="F4" s="3654"/>
      <c r="G4" s="3654"/>
      <c r="H4" s="3654"/>
      <c r="I4" s="3655"/>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收益法</v>
      </c>
    </row>
    <row r="5" spans="1:12" ht="12.75">
      <c r="A5" s="3627" t="s">
        <v>1268</v>
      </c>
      <c r="B5" s="3614">
        <v>25</v>
      </c>
      <c r="C5" s="3630"/>
      <c r="D5" s="3650"/>
      <c r="E5" s="127" t="s">
        <v>1269</v>
      </c>
      <c r="F5" s="1753"/>
      <c r="G5" s="1753"/>
      <c r="H5" s="1753"/>
      <c r="I5" s="1369"/>
    </row>
    <row r="6" spans="1:12" ht="12.75">
      <c r="A6" s="3627"/>
      <c r="B6" s="3614"/>
      <c r="C6" s="3631"/>
      <c r="D6" s="3650"/>
      <c r="E6" s="127" t="s">
        <v>1270</v>
      </c>
      <c r="F6" s="1753"/>
      <c r="G6" s="1753"/>
      <c r="H6" s="1753"/>
      <c r="I6" s="1369"/>
    </row>
    <row r="7" spans="1:12" ht="12.75">
      <c r="A7" s="3627"/>
      <c r="B7" s="3614"/>
      <c r="C7" s="3632"/>
      <c r="D7" s="3650"/>
      <c r="E7" s="127" t="s">
        <v>1271</v>
      </c>
      <c r="F7" s="1753"/>
      <c r="G7" s="1753"/>
      <c r="H7" s="1753"/>
      <c r="I7" s="1369"/>
    </row>
    <row r="8" spans="1:12" ht="12.75">
      <c r="A8" s="3627" t="s">
        <v>1272</v>
      </c>
      <c r="B8" s="3614">
        <v>15</v>
      </c>
      <c r="C8" s="3630"/>
      <c r="D8" s="3650"/>
      <c r="E8" s="127" t="s">
        <v>1273</v>
      </c>
      <c r="F8" s="1753"/>
      <c r="G8" s="1753"/>
      <c r="H8" s="1753"/>
      <c r="I8" s="1369"/>
    </row>
    <row r="9" spans="1:12" ht="12.75">
      <c r="A9" s="3627"/>
      <c r="B9" s="3614"/>
      <c r="C9" s="3632"/>
      <c r="D9" s="3650"/>
      <c r="E9" s="127" t="s">
        <v>1274</v>
      </c>
      <c r="F9" s="1753"/>
      <c r="G9" s="1753"/>
      <c r="H9" s="1753"/>
      <c r="I9" s="1369"/>
    </row>
    <row r="10" spans="1:12" ht="12.75">
      <c r="A10" s="3627" t="s">
        <v>1275</v>
      </c>
      <c r="B10" s="3614">
        <v>15</v>
      </c>
      <c r="C10" s="3630"/>
      <c r="D10" s="3650"/>
      <c r="E10" s="127" t="s">
        <v>1276</v>
      </c>
      <c r="F10" s="1753"/>
      <c r="G10" s="1753"/>
      <c r="H10" s="1753"/>
      <c r="I10" s="1369"/>
    </row>
    <row r="11" spans="1:12" ht="12.75">
      <c r="A11" s="3627"/>
      <c r="B11" s="3614"/>
      <c r="C11" s="3632"/>
      <c r="D11" s="3650"/>
      <c r="E11" s="127" t="s">
        <v>1277</v>
      </c>
      <c r="F11" s="1753"/>
      <c r="G11" s="1753"/>
      <c r="H11" s="1753"/>
      <c r="I11" s="1369"/>
    </row>
    <row r="12" spans="1:12" ht="12.75">
      <c r="A12" s="3627" t="s">
        <v>1278</v>
      </c>
      <c r="B12" s="3614">
        <v>15</v>
      </c>
      <c r="C12" s="3630"/>
      <c r="D12" s="3650"/>
      <c r="E12" s="127" t="s">
        <v>1279</v>
      </c>
      <c r="F12" s="1753"/>
      <c r="G12" s="1753"/>
      <c r="H12" s="1753"/>
      <c r="I12" s="1369"/>
    </row>
    <row r="13" spans="1:12" ht="12.75">
      <c r="A13" s="3627"/>
      <c r="B13" s="3614"/>
      <c r="C13" s="3632"/>
      <c r="D13" s="3650"/>
      <c r="E13" s="127" t="s">
        <v>1280</v>
      </c>
      <c r="F13" s="1753"/>
      <c r="G13" s="1753"/>
      <c r="H13" s="1753"/>
      <c r="I13" s="1369"/>
    </row>
    <row r="14" spans="1:12" ht="12.75">
      <c r="A14" s="3627" t="s">
        <v>1281</v>
      </c>
      <c r="B14" s="3614">
        <v>30</v>
      </c>
      <c r="C14" s="3630">
        <v>5</v>
      </c>
      <c r="D14" s="3650">
        <v>5</v>
      </c>
      <c r="E14" s="127" t="s">
        <v>1282</v>
      </c>
      <c r="F14" s="1753"/>
      <c r="G14" s="1753"/>
      <c r="H14" s="1753"/>
      <c r="I14" s="1369"/>
    </row>
    <row r="15" spans="1:12" ht="12.75">
      <c r="A15" s="3627"/>
      <c r="B15" s="3614"/>
      <c r="C15" s="3631"/>
      <c r="D15" s="3650"/>
      <c r="E15" s="127" t="s">
        <v>1283</v>
      </c>
      <c r="F15" s="1753"/>
      <c r="G15" s="1753"/>
      <c r="H15" s="1753"/>
      <c r="I15" s="1369"/>
    </row>
    <row r="16" spans="1:12" ht="12.75">
      <c r="A16" s="3627"/>
      <c r="B16" s="3614"/>
      <c r="C16" s="3632"/>
      <c r="D16" s="3650"/>
      <c r="E16" s="127" t="s">
        <v>1284</v>
      </c>
      <c r="F16" s="1753"/>
      <c r="G16" s="1753"/>
      <c r="H16" s="1753"/>
      <c r="I16" s="1369"/>
    </row>
    <row r="17" spans="1:36" ht="15">
      <c r="A17" s="1754" t="s">
        <v>1285</v>
      </c>
      <c r="B17" s="56"/>
      <c r="C17" s="128">
        <f>SUM(C5:C16)</f>
        <v>5</v>
      </c>
      <c r="D17" s="128">
        <f>SUM(D5:D16)</f>
        <v>5</v>
      </c>
      <c r="E17" s="125"/>
      <c r="F17" s="125"/>
      <c r="G17" s="125"/>
      <c r="H17" s="125"/>
      <c r="I17" s="125"/>
      <c r="K17" s="298"/>
      <c r="L17" s="298" t="s">
        <v>1286</v>
      </c>
      <c r="M17" s="298" t="s">
        <v>1287</v>
      </c>
    </row>
    <row r="18" spans="1:36" ht="31.9" customHeight="1" thickBot="1">
      <c r="A18" s="1755" t="s">
        <v>1288</v>
      </c>
      <c r="B18" s="1756"/>
      <c r="C18" s="129">
        <f>ROUND(C17/SUM(C17:D17),2)</f>
        <v>0.5</v>
      </c>
      <c r="D18" s="129">
        <f>1-C18</f>
        <v>0.5</v>
      </c>
      <c r="E18" s="3637" t="s">
        <v>2131</v>
      </c>
      <c r="F18" s="3638"/>
      <c r="G18" s="3638"/>
      <c r="H18" s="3638"/>
      <c r="I18" s="3638"/>
      <c r="K18" s="298" t="s">
        <v>1289</v>
      </c>
      <c r="L18" s="298">
        <f>IF(C1="",'数据-汇总表'!E3,SUMIF(项目类型,C1,'数据-汇总表'!E17:E26)+SUMIF(项目类型,C1,'数据-汇总表'!I17:I26))</f>
        <v>103096.20000000001</v>
      </c>
      <c r="M18" s="298">
        <f>IF(C1="",'数据-汇总表'!E3,SUMIF(项目类型,C1,'数据-汇总表'!E17:E26))</f>
        <v>103096.20000000001</v>
      </c>
    </row>
    <row r="19" spans="1:36" ht="15">
      <c r="A19" s="1757" t="s">
        <v>1290</v>
      </c>
      <c r="B19" s="1758" t="s">
        <v>1291</v>
      </c>
      <c r="C19" s="130">
        <f ca="1">SUMIF(INDIRECT("'"&amp;C4&amp;"'"&amp;"!A:A"),结果表!B19,INDIRECT("'"&amp;C4&amp;"'"&amp;"!B:B"))</f>
        <v>292116</v>
      </c>
      <c r="D19" s="131">
        <f ca="1">SUMIF(INDIRECT("'"&amp;D4&amp;"'"&amp;"!A:A"),结果表!B19,INDIRECT("'"&amp;D4&amp;"'"&amp;"!B:B"))</f>
        <v>309257</v>
      </c>
      <c r="E19" s="1757" t="s">
        <v>1292</v>
      </c>
      <c r="F19" s="1758" t="s">
        <v>1291</v>
      </c>
      <c r="G19" s="132">
        <f ca="1">ROUND(C19*$C$18+D19*$D$18,0)</f>
        <v>300687</v>
      </c>
      <c r="H19" s="1759" t="s">
        <v>1293</v>
      </c>
      <c r="I19" s="125"/>
      <c r="K19" s="298" t="s">
        <v>1294</v>
      </c>
      <c r="L19" s="298">
        <f>IF(C1="",'数据-汇总表'!D3,SUMIF(项目类型,C1,'数据-汇总表'!D17:D26)+SUMIF(项目类型,C1,'数据-汇总表'!H17:H27))</f>
        <v>23586.720000000001</v>
      </c>
      <c r="M19" s="298">
        <f>IF(C1="",'数据-汇总表'!D3,SUMIF(项目类型,C1,'数据-汇总表'!D17:D26))</f>
        <v>23586.720000000001</v>
      </c>
    </row>
    <row r="20" spans="1:36" ht="15">
      <c r="A20" s="1760"/>
      <c r="B20" s="1022" t="s">
        <v>1295</v>
      </c>
      <c r="C20" s="133">
        <f ca="1">SUMIF(INDIRECT("'"&amp;C4&amp;"'"&amp;"!A:A"),结果表!B20,INDIRECT("'"&amp;C4&amp;"'"&amp;"!B:B"))</f>
        <v>28334</v>
      </c>
      <c r="D20" s="134">
        <f ca="1">SUMIF(INDIRECT("'"&amp;D4&amp;"'"&amp;"!A:A"),结果表!B20,INDIRECT("'"&amp;D4&amp;"'"&amp;"!B:B"))</f>
        <v>29997</v>
      </c>
      <c r="E20" s="1760"/>
      <c r="F20" s="1022" t="s">
        <v>1295</v>
      </c>
      <c r="G20" s="135">
        <f ca="1">ROUND(C20*$C$18+D20*$D$18,0)</f>
        <v>29166</v>
      </c>
      <c r="H20" s="804" t="s">
        <v>1296</v>
      </c>
      <c r="I20" s="125"/>
    </row>
    <row r="21" spans="1:36" ht="15" customHeight="1" thickBot="1">
      <c r="A21" s="824"/>
      <c r="B21" s="1761" t="s">
        <v>1297</v>
      </c>
      <c r="C21" s="715">
        <f ca="1">ROUND(C19*10000/L19,0)</f>
        <v>123848</v>
      </c>
      <c r="D21" s="716">
        <f ca="1">ROUND(D19*10000/L19,0)</f>
        <v>131115</v>
      </c>
      <c r="E21" s="824"/>
      <c r="F21" s="1761" t="s">
        <v>1297</v>
      </c>
      <c r="G21" s="136">
        <f ca="1">ROUND(G19*10000/L19,0)</f>
        <v>127481</v>
      </c>
      <c r="H21" s="1762" t="s">
        <v>1296</v>
      </c>
      <c r="I21" s="125"/>
    </row>
    <row r="22" spans="1:36" ht="15" thickBot="1">
      <c r="A22" s="1684" t="s">
        <v>1298</v>
      </c>
      <c r="B22" s="1763"/>
      <c r="C22" s="1764"/>
      <c r="D22" s="717">
        <f ca="1">IF(C19&lt;D19,D19/C19-1,C19/D19-1)</f>
        <v>5.8678744060578714E-2</v>
      </c>
      <c r="E22" s="125"/>
      <c r="F22" s="125"/>
      <c r="G22" s="125"/>
      <c r="H22" s="125"/>
      <c r="I22" s="125"/>
    </row>
    <row r="23" spans="1:36" ht="13.5" thickBot="1">
      <c r="A23" s="1743"/>
      <c r="B23" s="1743"/>
      <c r="C23" s="1743"/>
      <c r="D23" s="1743"/>
      <c r="E23" s="125"/>
      <c r="F23" s="125"/>
      <c r="G23" s="125"/>
      <c r="H23" s="125"/>
      <c r="I23" s="125"/>
    </row>
    <row r="24" spans="1:36" ht="14.25">
      <c r="A24" s="3621" t="s">
        <v>1299</v>
      </c>
      <c r="B24" s="1758" t="s">
        <v>1291</v>
      </c>
      <c r="C24" s="132">
        <f>IF(B30=0,0,D30)</f>
        <v>0</v>
      </c>
      <c r="D24" s="1765"/>
      <c r="E24" s="125"/>
      <c r="F24" s="125"/>
      <c r="G24" s="125"/>
      <c r="H24" s="125"/>
      <c r="I24" s="125"/>
    </row>
    <row r="25" spans="1:36" ht="14.25">
      <c r="A25" s="3622"/>
      <c r="B25" s="1022" t="s">
        <v>1295</v>
      </c>
      <c r="C25" s="137">
        <f>IF(B30=0,0,C30)</f>
        <v>0</v>
      </c>
      <c r="D25" s="1766"/>
      <c r="E25" s="125"/>
      <c r="F25" s="125"/>
      <c r="G25" s="125"/>
      <c r="H25" s="125"/>
      <c r="I25" s="125"/>
    </row>
    <row r="26" spans="1:36" ht="13.5" customHeight="1">
      <c r="A26" s="1767" t="s">
        <v>1300</v>
      </c>
      <c r="B26" s="138" t="s">
        <v>1301</v>
      </c>
      <c r="C26" s="138" t="s">
        <v>1302</v>
      </c>
      <c r="D26" s="139" t="s">
        <v>1303</v>
      </c>
      <c r="E26" s="125"/>
      <c r="F26" s="125"/>
      <c r="G26" s="125"/>
      <c r="H26" s="125"/>
      <c r="I26" s="125"/>
    </row>
    <row r="27" spans="1:36" ht="14.25">
      <c r="A27" s="1767"/>
      <c r="B27" s="138">
        <v>0</v>
      </c>
      <c r="C27" s="138">
        <v>0</v>
      </c>
      <c r="D27" s="139">
        <f>ROUND(C27*B27/10000,0)</f>
        <v>0</v>
      </c>
      <c r="E27" s="125">
        <f ca="1">G19/'数据-汇总表'!E19</f>
        <v>3.6703974832704058</v>
      </c>
      <c r="F27" s="125"/>
      <c r="G27" s="125"/>
      <c r="H27" s="125"/>
      <c r="I27" s="125"/>
    </row>
    <row r="28" spans="1:36" ht="14.25">
      <c r="A28" s="1767"/>
      <c r="B28" s="138"/>
      <c r="C28" s="138"/>
      <c r="D28" s="139"/>
      <c r="E28" s="125"/>
      <c r="F28" s="125"/>
      <c r="G28" s="125"/>
      <c r="H28" s="125"/>
      <c r="I28" s="125"/>
    </row>
    <row r="29" spans="1:36" ht="14.25">
      <c r="A29" s="1767"/>
      <c r="B29" s="138"/>
      <c r="C29" s="138"/>
      <c r="D29" s="139"/>
      <c r="E29" s="125"/>
      <c r="F29" s="125"/>
      <c r="G29" s="125"/>
      <c r="H29" s="125"/>
      <c r="I29" s="125"/>
    </row>
    <row r="30" spans="1:36" ht="15" thickBot="1">
      <c r="A30" s="138" t="s">
        <v>1304</v>
      </c>
      <c r="B30" s="138"/>
      <c r="C30" s="138"/>
      <c r="D30" s="138"/>
      <c r="E30" s="2299" t="s">
        <v>2132</v>
      </c>
      <c r="F30" s="125"/>
      <c r="G30" s="125"/>
      <c r="H30" s="125"/>
      <c r="I30" s="125"/>
    </row>
    <row r="31" spans="1:36" s="2305" customFormat="1" ht="26.45" customHeight="1" thickTop="1" thickBot="1">
      <c r="A31" s="2300"/>
      <c r="B31" s="2301"/>
      <c r="C31" s="2301"/>
      <c r="D31" s="2301"/>
      <c r="E31" s="2301"/>
      <c r="F31" s="2301"/>
      <c r="G31" s="2301"/>
      <c r="H31" s="2301"/>
      <c r="I31" s="2302" t="s">
        <v>2133</v>
      </c>
      <c r="J31" s="2679"/>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0">
        <f ca="1">IF(D32="总价",G19-C24,G20-C25)</f>
        <v>300687</v>
      </c>
      <c r="D32" s="1771" t="s">
        <v>3405</v>
      </c>
      <c r="E32" s="125"/>
      <c r="F32" s="125"/>
      <c r="G32" s="125"/>
      <c r="H32" s="125"/>
      <c r="I32" s="125"/>
    </row>
    <row r="33" spans="1:15" ht="15">
      <c r="A33" s="782" t="s">
        <v>1306</v>
      </c>
      <c r="B33" s="1772"/>
      <c r="C33" s="1773" t="s">
        <v>3404</v>
      </c>
      <c r="D33" s="1774" t="s">
        <v>3403</v>
      </c>
      <c r="E33" s="1775" t="s">
        <v>1307</v>
      </c>
      <c r="F33" s="1776" t="str">
        <f>IF(D32="楼面单价","取值（单价）","取值（总价）")</f>
        <v>取值（总价）</v>
      </c>
      <c r="G33" s="125"/>
      <c r="H33" s="125"/>
      <c r="I33" s="125"/>
    </row>
    <row r="34" spans="1:15" ht="15">
      <c r="A34" s="1777"/>
      <c r="B34" s="1778" t="s">
        <v>1308</v>
      </c>
      <c r="C34" s="144">
        <f ca="1">IF(C33="自定义",F34,C32-C35)</f>
        <v>166881</v>
      </c>
      <c r="D34" s="857">
        <f ca="1">IF(C33="自定义",ROUND(C34/C32,3),IF(C33="收益比率",SUMIF(INDIRECT("'"&amp;D33&amp;"'"&amp;"!b:b"),"土地收益比率",INDIRECT("'"&amp;D33&amp;"'"&amp;"!c:c")),SUMIF(INDIRECT("'"&amp;D33&amp;"'"&amp;"!b:b"),"土地成本比率",INDIRECT("'"&amp;D33&amp;"'"&amp;"!c:c"))))</f>
        <v>0.55499999999999994</v>
      </c>
      <c r="E34" s="1779" t="s">
        <v>1309</v>
      </c>
      <c r="F34" s="1326"/>
      <c r="G34" s="125"/>
      <c r="H34" s="125"/>
      <c r="I34" s="125"/>
    </row>
    <row r="35" spans="1:15" ht="15.75" thickBot="1">
      <c r="A35" s="1780"/>
      <c r="B35" s="1781" t="s">
        <v>1310</v>
      </c>
      <c r="C35" s="1166">
        <f ca="1">IF(C33="自定义",F35,ROUND(C32*D35,0))</f>
        <v>133806</v>
      </c>
      <c r="D35" s="1167">
        <f ca="1">IF(C33="自定义",ROUND(C35/C32,3),IF(C33="收益比率",SUMIF(INDIRECT("'"&amp;D33&amp;"'"&amp;"!b:b"),"建筑物收益比率",INDIRECT("'"&amp;D33&amp;"'"&amp;"!c:c")),SUMIF(INDIRECT("'"&amp;D33&amp;"'"&amp;"!b:b"),"建筑物成本比率",INDIRECT("'"&amp;D33&amp;"'"&amp;"!c:c"))))</f>
        <v>0.44500000000000001</v>
      </c>
      <c r="E35" s="1782" t="s">
        <v>1311</v>
      </c>
      <c r="F35" s="150"/>
      <c r="G35" s="125"/>
      <c r="H35" s="125"/>
      <c r="I35" s="125"/>
    </row>
    <row r="36" spans="1:15" ht="15.75" thickBot="1">
      <c r="A36" s="3641" t="s">
        <v>1312</v>
      </c>
      <c r="B36" s="1783" t="s">
        <v>1313</v>
      </c>
      <c r="C36" s="141"/>
      <c r="D36" s="1784"/>
      <c r="E36" s="1785"/>
      <c r="F36" s="1786"/>
      <c r="G36" s="125"/>
      <c r="H36" s="125"/>
      <c r="I36" s="125"/>
    </row>
    <row r="37" spans="1:15" ht="15.75" thickBot="1">
      <c r="A37" s="3642"/>
      <c r="B37" s="1670" t="s">
        <v>1314</v>
      </c>
      <c r="C37" s="143"/>
      <c r="D37" s="1135"/>
      <c r="E37" s="1135"/>
      <c r="F37" s="1786"/>
      <c r="G37" s="125"/>
      <c r="H37" s="125"/>
      <c r="I37" s="125"/>
    </row>
    <row r="38" spans="1:15" ht="15.75" thickBot="1">
      <c r="A38" s="3643"/>
      <c r="B38" s="1787" t="s">
        <v>1315</v>
      </c>
      <c r="C38" s="670"/>
      <c r="D38" s="1788" t="s">
        <v>1316</v>
      </c>
      <c r="E38" s="1135"/>
      <c r="F38" s="1786"/>
      <c r="G38" s="125"/>
      <c r="H38" s="125"/>
      <c r="I38" s="125"/>
    </row>
    <row r="39" spans="1:15" ht="15">
      <c r="A39" s="1760" t="s">
        <v>1317</v>
      </c>
      <c r="B39" s="1789" t="s">
        <v>1318</v>
      </c>
      <c r="C39" s="1790" t="s">
        <v>1319</v>
      </c>
      <c r="D39" s="1790" t="s">
        <v>1320</v>
      </c>
      <c r="E39" s="1791" t="s">
        <v>1321</v>
      </c>
      <c r="F39" s="1786"/>
      <c r="G39" s="125"/>
      <c r="H39" s="125"/>
      <c r="I39" s="125"/>
    </row>
    <row r="40" spans="1:15" ht="14.25">
      <c r="A40" s="1792" t="s">
        <v>1322</v>
      </c>
      <c r="B40" s="145"/>
      <c r="C40" s="146"/>
      <c r="D40" s="146"/>
      <c r="E40" s="147"/>
      <c r="F40" s="1786"/>
      <c r="G40" s="125"/>
      <c r="H40" s="125"/>
      <c r="I40" s="125"/>
    </row>
    <row r="41" spans="1:15" ht="14.25">
      <c r="A41" s="1792" t="s">
        <v>1323</v>
      </c>
      <c r="B41" s="145"/>
      <c r="C41" s="146"/>
      <c r="D41" s="146"/>
      <c r="E41" s="147"/>
      <c r="F41" s="1786"/>
      <c r="G41" s="125"/>
      <c r="H41" s="125"/>
      <c r="I41" s="125"/>
    </row>
    <row r="42" spans="1:15" ht="15" thickBot="1">
      <c r="A42" s="1793"/>
      <c r="B42" s="148"/>
      <c r="C42" s="149"/>
      <c r="D42" s="149"/>
      <c r="E42" s="150"/>
      <c r="F42" s="1786"/>
      <c r="G42" s="125"/>
      <c r="H42" s="125"/>
      <c r="I42" s="125"/>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18" t="s">
        <v>1326</v>
      </c>
      <c r="B45" s="3619"/>
      <c r="C45" s="3620"/>
      <c r="D45" s="151">
        <f ca="1">ROUND(H101*F45,0)</f>
        <v>300687</v>
      </c>
      <c r="E45" s="152" t="s">
        <v>1327</v>
      </c>
      <c r="F45" s="153">
        <v>1</v>
      </c>
      <c r="G45" s="154" t="s">
        <v>1328</v>
      </c>
      <c r="H45" s="125"/>
      <c r="I45" s="125"/>
      <c r="J45" s="3696" t="s">
        <v>1329</v>
      </c>
      <c r="K45" s="3696"/>
      <c r="L45" s="3696"/>
      <c r="M45" s="3696"/>
      <c r="N45" s="3696"/>
      <c r="O45" s="3696"/>
    </row>
    <row r="46" spans="1:15" ht="14.25" customHeight="1">
      <c r="A46" s="3615" t="s">
        <v>1330</v>
      </c>
      <c r="B46" s="3616"/>
      <c r="C46" s="3616"/>
      <c r="D46" s="3616"/>
      <c r="E46" s="3616"/>
      <c r="F46" s="3616"/>
      <c r="G46" s="3617"/>
      <c r="H46" s="1802"/>
      <c r="I46" s="155"/>
      <c r="J46" s="2514">
        <v>1</v>
      </c>
      <c r="K46" s="3677" t="s">
        <v>1331</v>
      </c>
      <c r="L46" s="3677"/>
      <c r="M46" s="3697"/>
      <c r="N46" s="3697"/>
      <c r="O46" s="3697"/>
    </row>
    <row r="47" spans="1:15" ht="12" customHeight="1">
      <c r="A47" s="156" t="s">
        <v>1332</v>
      </c>
      <c r="B47" s="157"/>
      <c r="C47" s="158"/>
      <c r="D47" s="1083" t="s">
        <v>1333</v>
      </c>
      <c r="E47" s="298" t="s">
        <v>1334</v>
      </c>
      <c r="F47" s="159" t="s">
        <v>1335</v>
      </c>
      <c r="G47" s="2537" t="s">
        <v>1336</v>
      </c>
      <c r="H47" s="2538"/>
      <c r="I47" s="155"/>
      <c r="J47" s="2514">
        <v>2</v>
      </c>
      <c r="K47" s="3677" t="s">
        <v>1337</v>
      </c>
      <c r="L47" s="3677"/>
      <c r="M47" s="3698">
        <f>'数据-取费表'!B2</f>
        <v>44992</v>
      </c>
      <c r="N47" s="3698"/>
      <c r="O47" s="3698"/>
    </row>
    <row r="48" spans="1:15" ht="25.5">
      <c r="A48" s="3646" t="s">
        <v>1338</v>
      </c>
      <c r="B48" s="3629"/>
      <c r="C48" s="3629"/>
      <c r="D48" s="2320" t="b">
        <f>IF(H48="情况1",0,IF(H48="情况2",D52,IF(H48="情况3",D53,IF(H48="情况4",D54))))</f>
        <v>0</v>
      </c>
      <c r="E48" s="2330" t="str">
        <f>IF(H48="情况4","(销售额-原购置价)×税（费）率","销售额×税（费）率")</f>
        <v>销售额×税（费）率</v>
      </c>
      <c r="F48" s="2539">
        <f>IF(H48="情况1","免征",'数据-取费表'!B41)</f>
        <v>5.6000000000000001E-2</v>
      </c>
      <c r="G48" s="2540" t="s">
        <v>1339</v>
      </c>
      <c r="H48" s="2541"/>
      <c r="I48" s="1802"/>
      <c r="J48" s="2514">
        <v>3</v>
      </c>
      <c r="K48" s="3677" t="s">
        <v>1340</v>
      </c>
      <c r="L48" s="3677"/>
      <c r="M48" s="3699">
        <f ca="1">H101</f>
        <v>300687</v>
      </c>
      <c r="N48" s="3699"/>
      <c r="O48" s="3699"/>
    </row>
    <row r="49" spans="1:35" ht="25.5" customHeight="1">
      <c r="A49" s="2329" t="s">
        <v>1341</v>
      </c>
      <c r="B49" s="3613" t="s">
        <v>1342</v>
      </c>
      <c r="C49" s="3613"/>
      <c r="D49" s="1586">
        <v>0</v>
      </c>
      <c r="E49" s="320" t="s">
        <v>1343</v>
      </c>
      <c r="F49" s="2417" t="s">
        <v>28</v>
      </c>
      <c r="G49" s="3683"/>
      <c r="H49" s="2306" t="s">
        <v>2134</v>
      </c>
      <c r="I49" s="2307"/>
      <c r="J49" s="2514">
        <v>4</v>
      </c>
      <c r="K49" s="3677" t="str">
        <f>IF(项目基本情况!E8="房地产抵押价值","房地产抵押价值","抵押担保权已注销时的房地产抵押价值")</f>
        <v>房地产抵押价值</v>
      </c>
      <c r="L49" s="3677"/>
      <c r="M49" s="3699">
        <f ca="1">IF(项目基本情况!E8="房地产抵押价值",H107,H109)</f>
        <v>300687</v>
      </c>
      <c r="N49" s="3699"/>
      <c r="O49" s="3699"/>
    </row>
    <row r="50" spans="1:35" ht="25.5" customHeight="1">
      <c r="A50" s="2542"/>
      <c r="B50" s="3613" t="s">
        <v>1344</v>
      </c>
      <c r="C50" s="3613"/>
      <c r="D50" s="2543"/>
      <c r="E50" s="328"/>
      <c r="F50" s="2417"/>
      <c r="G50" s="3684"/>
      <c r="H50" s="2308" t="s">
        <v>2135</v>
      </c>
      <c r="I50" s="2307"/>
      <c r="J50" s="3696" t="s">
        <v>1345</v>
      </c>
      <c r="K50" s="3696"/>
      <c r="L50" s="3696"/>
      <c r="M50" s="3696"/>
      <c r="N50" s="3696"/>
      <c r="O50" s="3696"/>
    </row>
    <row r="51" spans="1:35" ht="20.45" customHeight="1">
      <c r="A51" s="2544"/>
      <c r="B51" s="3613" t="s">
        <v>1346</v>
      </c>
      <c r="C51" s="3613"/>
      <c r="D51" s="1083"/>
      <c r="E51" s="323"/>
      <c r="F51" s="2417"/>
      <c r="G51" s="3685"/>
      <c r="H51" s="2308" t="s">
        <v>2136</v>
      </c>
      <c r="I51" s="2307"/>
      <c r="J51" s="2515" t="s">
        <v>1347</v>
      </c>
      <c r="K51" s="3677" t="s">
        <v>1348</v>
      </c>
      <c r="L51" s="3677"/>
      <c r="M51" s="2515" t="s">
        <v>1349</v>
      </c>
      <c r="N51" s="2515" t="s">
        <v>1350</v>
      </c>
      <c r="O51" s="2515" t="s">
        <v>1351</v>
      </c>
    </row>
    <row r="52" spans="1:35" ht="24" customHeight="1">
      <c r="A52" s="2331" t="s">
        <v>1352</v>
      </c>
      <c r="B52" s="3613" t="s">
        <v>1353</v>
      </c>
      <c r="C52" s="3613"/>
      <c r="D52" s="1083">
        <f ca="1">ROUND(D45*'数据-取费表'!B41/(1+'数据-取费表'!C42),0)</f>
        <v>16037</v>
      </c>
      <c r="E52" s="2330" t="s">
        <v>1354</v>
      </c>
      <c r="F52" s="2545">
        <f>'数据-取费表'!B41</f>
        <v>5.6000000000000001E-2</v>
      </c>
      <c r="G52" s="2546"/>
      <c r="H52" s="2535"/>
      <c r="I52" s="1803"/>
      <c r="J52" s="2514">
        <v>1</v>
      </c>
      <c r="K52" s="3678" t="s">
        <v>1355</v>
      </c>
      <c r="L52" s="3678"/>
      <c r="M52" s="2516" t="b">
        <f>D48</f>
        <v>0</v>
      </c>
      <c r="N52" s="2514" t="str">
        <f>E48</f>
        <v>销售额×税（费）率</v>
      </c>
      <c r="O52" s="2517">
        <f>F48</f>
        <v>5.6000000000000001E-2</v>
      </c>
    </row>
    <row r="53" spans="1:35" ht="12" customHeight="1">
      <c r="A53" s="2331" t="s">
        <v>1356</v>
      </c>
      <c r="B53" s="3639" t="s">
        <v>2285</v>
      </c>
      <c r="C53" s="3640"/>
      <c r="D53" s="1083">
        <f ca="1">ROUND(D45*'数据-取费表'!B41/(1+'数据-取费表'!C42),0)</f>
        <v>16037</v>
      </c>
      <c r="E53" s="2330" t="s">
        <v>1354</v>
      </c>
      <c r="F53" s="2545">
        <f>'数据-取费表'!B41</f>
        <v>5.6000000000000001E-2</v>
      </c>
      <c r="G53" s="2546"/>
      <c r="H53" s="2535"/>
      <c r="I53" s="1803"/>
      <c r="J53" s="2514">
        <v>2</v>
      </c>
      <c r="K53" s="3678" t="s">
        <v>1357</v>
      </c>
      <c r="L53" s="3678"/>
      <c r="M53" s="2516">
        <f t="shared" ref="M53:O54" ca="1" si="0">D55</f>
        <v>150</v>
      </c>
      <c r="N53" s="2514" t="str">
        <f t="shared" si="0"/>
        <v>销售额×税（费）率</v>
      </c>
      <c r="O53" s="2517" t="str">
        <f t="shared" si="0"/>
        <v>免征</v>
      </c>
    </row>
    <row r="54" spans="1:35" ht="12" customHeight="1">
      <c r="A54" s="2331" t="s">
        <v>1358</v>
      </c>
      <c r="B54" s="3639" t="s">
        <v>2286</v>
      </c>
      <c r="C54" s="3640"/>
      <c r="D54" s="1083">
        <f ca="1">C68</f>
        <v>16037</v>
      </c>
      <c r="E54" s="323" t="s">
        <v>1359</v>
      </c>
      <c r="F54" s="2545">
        <f>'数据-取费表'!B41</f>
        <v>5.6000000000000001E-2</v>
      </c>
      <c r="G54" s="2546"/>
      <c r="H54" s="2547"/>
      <c r="I54" s="1803"/>
      <c r="J54" s="2514">
        <v>3</v>
      </c>
      <c r="K54" s="3678" t="s">
        <v>1360</v>
      </c>
      <c r="L54" s="3678"/>
      <c r="M54" s="2516">
        <f t="shared" ca="1" si="0"/>
        <v>170189</v>
      </c>
      <c r="N54" s="2514" t="str">
        <f t="shared" si="0"/>
        <v>增值额×税（费）率</v>
      </c>
      <c r="O54" s="2518" t="str">
        <f t="shared" si="0"/>
        <v>免征</v>
      </c>
    </row>
    <row r="55" spans="1:35" ht="24" customHeight="1">
      <c r="A55" s="3628" t="s">
        <v>1361</v>
      </c>
      <c r="B55" s="3629"/>
      <c r="C55" s="3629"/>
      <c r="D55" s="2320">
        <f ca="1">IF(H55="个人住宅",0,ROUND(D45*I55,0))</f>
        <v>150</v>
      </c>
      <c r="E55" s="2330" t="s">
        <v>1362</v>
      </c>
      <c r="F55" s="2545" t="str">
        <f>IF(H55="正常",I55,"免征")</f>
        <v>免征</v>
      </c>
      <c r="G55" s="2546"/>
      <c r="H55" s="2541"/>
      <c r="I55" s="161">
        <f>'数据-取费表'!B49</f>
        <v>5.0000000000000001E-4</v>
      </c>
      <c r="J55" s="2514">
        <f>IF(H59="非个人房产","",4)</f>
        <v>4</v>
      </c>
      <c r="K55" s="3678" t="str">
        <f>IF(H59="非个人房产","——","个人所得税")</f>
        <v>个人所得税</v>
      </c>
      <c r="L55" s="3678"/>
      <c r="M55" s="2519">
        <f ca="1">D59</f>
        <v>2864</v>
      </c>
      <c r="N55" s="2036" t="str">
        <f>E59</f>
        <v>差额计税</v>
      </c>
      <c r="O55" s="2520">
        <f>F59</f>
        <v>0.01</v>
      </c>
    </row>
    <row r="56" spans="1:35" ht="24.75">
      <c r="A56" s="3628" t="s">
        <v>1363</v>
      </c>
      <c r="B56" s="3629"/>
      <c r="C56" s="3629"/>
      <c r="D56" s="2320">
        <f ca="1">IF(H56="个人住宅",D57,D58)</f>
        <v>170189</v>
      </c>
      <c r="E56" s="2330" t="s">
        <v>1364</v>
      </c>
      <c r="F56" s="2545" t="str">
        <f>IF(H56="正常",F58,"免征")</f>
        <v>免征</v>
      </c>
      <c r="G56" s="2548" t="s">
        <v>1365</v>
      </c>
      <c r="H56" s="2549"/>
      <c r="I56" s="1804"/>
      <c r="J56" s="2514" t="str">
        <f>IF(项目基本情况!K6="上海银行",IF(J55="",4,J55+1),"")</f>
        <v/>
      </c>
      <c r="K56" s="3701" t="str">
        <f>IF(项目基本情况!K6="上海银行","其他处置费用","")</f>
        <v/>
      </c>
      <c r="L56" s="3702"/>
      <c r="M56" s="2516" t="str">
        <f>IF(项目基本情况!K6="上海银行",M69,"")</f>
        <v/>
      </c>
      <c r="N56" s="3701" t="str">
        <f>IF(项目基本情况!K6="上海银行","包含处置中涉及的律师、诉讼、拍卖、评估等费用","")</f>
        <v/>
      </c>
      <c r="O56" s="3704"/>
    </row>
    <row r="57" spans="1:35" ht="12.75">
      <c r="A57" s="2331" t="s">
        <v>1341</v>
      </c>
      <c r="B57" s="3639" t="s">
        <v>1366</v>
      </c>
      <c r="C57" s="3640"/>
      <c r="D57" s="1586">
        <v>0</v>
      </c>
      <c r="E57" s="320" t="s">
        <v>1343</v>
      </c>
      <c r="F57" s="298"/>
      <c r="G57" s="2546"/>
      <c r="H57" s="2550"/>
      <c r="I57" s="1804"/>
      <c r="J57" s="3678">
        <f>IF(AND(J55="",J56=""),4,IF(项目基本情况!K6="上海银行",结果表!J56+1,结果表!J55+1))</f>
        <v>5</v>
      </c>
      <c r="K57" s="3678" t="s">
        <v>1367</v>
      </c>
      <c r="L57" s="2521" t="s">
        <v>1368</v>
      </c>
      <c r="M57" s="2522"/>
      <c r="N57" s="2523">
        <f ca="1">SUMIF(M52:M56,"&lt;9e307")</f>
        <v>173203</v>
      </c>
      <c r="O57" s="2524"/>
      <c r="P57" s="2680">
        <f ca="1">N57/M49</f>
        <v>0.5760242378287056</v>
      </c>
    </row>
    <row r="58" spans="1:35" ht="24.75">
      <c r="A58" s="2331" t="s">
        <v>1352</v>
      </c>
      <c r="B58" s="3639" t="s">
        <v>1369</v>
      </c>
      <c r="C58" s="3613"/>
      <c r="D58" s="2320">
        <f ca="1">IF(H58="转让取得",C81,C97)</f>
        <v>170189</v>
      </c>
      <c r="E58" s="2330" t="s">
        <v>1364</v>
      </c>
      <c r="F58" s="298" t="s">
        <v>28</v>
      </c>
      <c r="G58" s="2546"/>
      <c r="H58" s="2549"/>
      <c r="I58" s="1804"/>
      <c r="J58" s="3678"/>
      <c r="K58" s="3678"/>
      <c r="L58" s="2521" t="s">
        <v>1370</v>
      </c>
      <c r="M58" s="2525"/>
      <c r="N58" s="2526" t="str">
        <f ca="1">NUMBERSTRING(INT(N57*10000),2)&amp;"元整"</f>
        <v>壹拾柒亿叁仟贰佰零叁万元整</v>
      </c>
      <c r="O58" s="2527"/>
    </row>
    <row r="59" spans="1:35" ht="24.75" thickBot="1">
      <c r="A59" s="3681" t="s">
        <v>1371</v>
      </c>
      <c r="B59" s="3682"/>
      <c r="C59" s="3682"/>
      <c r="D59" s="2551">
        <f ca="1">IF(H59="非个人房产","——",IF(H59="个人住宅（满五唯一有凭证）",0,IF(H59="个人其他（无凭证）",ROUND(D45*F59,0),ROUND(C67*F59,0))))</f>
        <v>2864</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10"/>
      <c r="I59" s="2309" t="s">
        <v>2137</v>
      </c>
      <c r="J59" s="3679">
        <f>J57+1</f>
        <v>6</v>
      </c>
      <c r="K59" s="3678" t="s">
        <v>1372</v>
      </c>
      <c r="L59" s="2514" t="s">
        <v>1368</v>
      </c>
      <c r="M59" s="2528"/>
      <c r="N59" s="2529">
        <f ca="1">M49-N57</f>
        <v>127484</v>
      </c>
      <c r="O59" s="2530"/>
    </row>
    <row r="60" spans="1:35" ht="12" customHeight="1">
      <c r="A60" s="1805"/>
      <c r="B60" s="1743"/>
      <c r="C60" s="1743"/>
      <c r="D60" s="1743"/>
      <c r="E60" s="1574"/>
      <c r="F60" s="1804"/>
      <c r="G60" s="1804"/>
      <c r="H60" s="1806"/>
      <c r="I60" s="125"/>
      <c r="J60" s="3680"/>
      <c r="K60" s="3678"/>
      <c r="L60" s="2521" t="s">
        <v>1370</v>
      </c>
      <c r="M60" s="2525"/>
      <c r="N60" s="2526" t="str">
        <f ca="1">NUMBERSTRING(INT(N59*10000),2)&amp;"元整"</f>
        <v>壹拾贰亿柒仟肆佰捌拾肆万元整</v>
      </c>
      <c r="O60" s="2527"/>
    </row>
    <row r="61" spans="1:35" ht="13.5" thickBot="1">
      <c r="A61" s="3626" t="s">
        <v>1373</v>
      </c>
      <c r="B61" s="3626"/>
      <c r="C61" s="3626"/>
      <c r="D61" s="3626"/>
      <c r="E61" s="3626"/>
      <c r="F61" s="1804"/>
      <c r="G61" s="1804"/>
      <c r="H61" s="1806"/>
      <c r="I61" s="125"/>
      <c r="J61" s="2514">
        <f>J59+1</f>
        <v>7</v>
      </c>
      <c r="K61" s="3678" t="s">
        <v>1374</v>
      </c>
      <c r="L61" s="3678"/>
      <c r="M61" s="2531"/>
      <c r="N61" s="2532">
        <f ca="1">ROUND(N59*10000/'数据-汇总表'!E3,0)</f>
        <v>12366</v>
      </c>
      <c r="O61" s="2533"/>
    </row>
    <row r="62" spans="1:35" ht="12.75">
      <c r="A62" s="3644" t="s">
        <v>1375</v>
      </c>
      <c r="B62" s="3645"/>
      <c r="C62" s="2017"/>
      <c r="D62" s="2017" t="s">
        <v>1376</v>
      </c>
      <c r="E62" s="162" t="s">
        <v>1377</v>
      </c>
      <c r="F62" s="1804"/>
      <c r="G62" s="1804"/>
      <c r="H62" s="1806"/>
      <c r="I62" s="125"/>
    </row>
    <row r="63" spans="1:35" ht="12.75">
      <c r="A63" s="169" t="s">
        <v>330</v>
      </c>
      <c r="B63" s="163" t="s">
        <v>1378</v>
      </c>
      <c r="C63" s="2555">
        <f ca="1">ROUND((C64+C65)/(1+'数据-取费表'!C42),0)</f>
        <v>286369</v>
      </c>
      <c r="D63" s="163"/>
      <c r="E63" s="164"/>
      <c r="F63" s="1804"/>
      <c r="G63" s="1804"/>
      <c r="H63" s="1806"/>
      <c r="I63" s="125"/>
      <c r="J63" s="3703" t="s">
        <v>1379</v>
      </c>
      <c r="K63" s="1328" t="s">
        <v>1380</v>
      </c>
      <c r="L63" s="1328">
        <f ca="1">IF(M49&gt;10000,M49*0.5%,IF(AND(M49&gt;1000,M49&lt;=10000),M49*1%,IF(AND(M49&gt;100,M49&lt;=1000),M49*3%,IF(AND(M49&gt;10,M49&lt;=100),M49*5%,M49*8%))))</f>
        <v>1503.4349999999999</v>
      </c>
      <c r="M63" s="298">
        <f ca="1">ROUND(L63,1)</f>
        <v>1503.4</v>
      </c>
      <c r="N63" s="2534"/>
      <c r="Z63" s="1748"/>
      <c r="AI63" s="1749"/>
    </row>
    <row r="64" spans="1:35" ht="14.25" customHeight="1">
      <c r="A64" s="165" t="s">
        <v>325</v>
      </c>
      <c r="B64" s="166" t="s">
        <v>1381</v>
      </c>
      <c r="C64" s="2556">
        <f ca="1">D45</f>
        <v>300687</v>
      </c>
      <c r="D64" s="166" t="s">
        <v>26</v>
      </c>
      <c r="E64" s="168"/>
      <c r="F64" s="1804"/>
      <c r="G64" s="1804"/>
      <c r="H64" s="1806"/>
      <c r="I64" s="125"/>
      <c r="J64" s="3703"/>
      <c r="K64" s="1328" t="s">
        <v>1382</v>
      </c>
      <c r="L64" s="1328">
        <f ca="1">IF(M49&gt;2000,M49*0.5%,IF(AND(M49&gt;1000,M49&lt;=2000),M49*0.6%,IF(AND(M49&gt;500,M49&lt;=1000),M49*0.7%,IF(AND(M49&gt;200,M49&lt;=500),M49*0.8%,IF(AND(M49&gt;100,M49&lt;=200),M49*0.9%,IF(AND(M49&gt;50,M49&lt;=100),M49*1%,IF(AND(M49&gt;20,M49&lt;=50),M49*1.5%,IF(AND(M49&gt;10,M49&lt;=20),M49*2%,IF(AND(M49&gt;1,M49&lt;=10),M49*2.5%)))))))))</f>
        <v>1503.4349999999999</v>
      </c>
      <c r="M64" s="298">
        <f t="shared" ref="M64:M65" ca="1" si="1">ROUND(L64,1)</f>
        <v>1503.4</v>
      </c>
      <c r="N64" s="2535" t="s">
        <v>1383</v>
      </c>
      <c r="Z64" s="1748"/>
      <c r="AI64" s="1749"/>
    </row>
    <row r="65" spans="1:35" ht="14.25" customHeight="1">
      <c r="A65" s="165" t="s">
        <v>326</v>
      </c>
      <c r="B65" s="166" t="s">
        <v>1384</v>
      </c>
      <c r="C65" s="2557"/>
      <c r="D65" s="166"/>
      <c r="E65" s="168"/>
      <c r="F65" s="1804"/>
      <c r="G65" s="1804"/>
      <c r="H65" s="1806"/>
      <c r="I65" s="125"/>
      <c r="J65" s="3703"/>
      <c r="K65" s="1328" t="s">
        <v>1385</v>
      </c>
      <c r="L65" s="1328">
        <f ca="1">IF(M49&gt;1000,M49*0.1%,IF(AND(M49&gt;500,M49&lt;=1000),M49*0.5%,IF(AND(M49&gt;50,M49&lt;=500),M49*1%,IF(AND(M49&gt;1,M49&lt;=50),M49*1.5%))))</f>
        <v>300.68700000000001</v>
      </c>
      <c r="M65" s="298">
        <f t="shared" ca="1" si="1"/>
        <v>300.7</v>
      </c>
      <c r="N65" s="2535" t="s">
        <v>1383</v>
      </c>
      <c r="Z65" s="1748"/>
      <c r="AI65" s="1749"/>
    </row>
    <row r="66" spans="1:35" ht="14.25" customHeight="1">
      <c r="A66" s="169" t="s">
        <v>327</v>
      </c>
      <c r="B66" s="170" t="s">
        <v>1386</v>
      </c>
      <c r="C66" s="2558"/>
      <c r="D66" s="170" t="s">
        <v>26</v>
      </c>
      <c r="E66" s="1334" t="s">
        <v>671</v>
      </c>
      <c r="F66" s="1804"/>
      <c r="G66" s="1804"/>
      <c r="H66" s="1806"/>
      <c r="I66" s="125"/>
      <c r="J66" s="3703"/>
      <c r="K66" s="1328" t="s">
        <v>1387</v>
      </c>
      <c r="L66" s="1328">
        <f ca="1">M49*0.5%</f>
        <v>1503.4349999999999</v>
      </c>
      <c r="M66" s="298">
        <f ca="1">IF(L66&gt;0.5,0.5,ROUND(L66,0))</f>
        <v>0.5</v>
      </c>
      <c r="N66" s="2535" t="s">
        <v>1388</v>
      </c>
      <c r="Z66" s="1748"/>
      <c r="AI66" s="1749"/>
    </row>
    <row r="67" spans="1:35" ht="14.25" customHeight="1">
      <c r="A67" s="169" t="s">
        <v>328</v>
      </c>
      <c r="B67" s="170" t="s">
        <v>1389</v>
      </c>
      <c r="C67" s="2559">
        <f ca="1">C63-C66</f>
        <v>286369</v>
      </c>
      <c r="D67" s="166" t="s">
        <v>26</v>
      </c>
      <c r="E67" s="168"/>
      <c r="F67" s="1804"/>
      <c r="G67" s="1804"/>
      <c r="H67" s="1806"/>
      <c r="I67" s="125"/>
      <c r="J67" s="3703"/>
      <c r="K67" s="1328" t="s">
        <v>1390</v>
      </c>
      <c r="L67" s="1328">
        <f ca="1">IF(M49&gt;=10000,(8.25+(M49-10000)*0.01%),IF(AND(M49&gt;=8000,M49&lt;10000),(7.85+(M49-8000)*0.02%),IF(AND(M49&gt;=5000,M49&lt;8000),(6.65+(M49-5000)*0.04%),IF(AND(M49&gt;=2000,M49&lt;5000),(4.25+(PM49-2000)*0.08%),IF(AND(M49&gt;=1000,M49&lt;2000),(2.75+(M49-1000)*0.15%),IF(AND(M49&gt;=100,M49&lt;1000),(0.5+(M49-100)*0.25%),IF(AND(M49&gt;0,M49&lt;100),M49*0.5%)))))))</f>
        <v>37.3187</v>
      </c>
      <c r="M67" s="298">
        <f ca="1">ROUND(L67*0.9,1)</f>
        <v>33.6</v>
      </c>
      <c r="N67" s="2534"/>
      <c r="Z67" s="1748"/>
      <c r="AI67" s="1749"/>
    </row>
    <row r="68" spans="1:35" ht="14.25" customHeight="1" thickBot="1">
      <c r="A68" s="172" t="s">
        <v>329</v>
      </c>
      <c r="B68" s="173" t="s">
        <v>1391</v>
      </c>
      <c r="C68" s="2560">
        <f ca="1">IF(C67&lt;=0,0,ROUND(C67*D68,0))</f>
        <v>16037</v>
      </c>
      <c r="D68" s="2561">
        <f>'数据-取费表'!B41</f>
        <v>5.6000000000000001E-2</v>
      </c>
      <c r="E68" s="174"/>
      <c r="F68" s="1804"/>
      <c r="G68" s="1804"/>
      <c r="H68" s="1806"/>
      <c r="I68" s="125"/>
      <c r="J68" s="3703"/>
      <c r="K68" s="1328" t="s">
        <v>1392</v>
      </c>
      <c r="L68" s="1328">
        <f ca="1">IF(M49&gt;10000,M49*0.5%,IF(AND(M49&gt;5000,M49&lt;=10000),M49*1%,IF(AND(M49&gt;1000,M49&lt;=5000),M49*2%,IF(AND(M49&gt;200,M49&lt;=1000),M49*3%,M49*5%))))</f>
        <v>1503.4349999999999</v>
      </c>
      <c r="M68" s="298">
        <f ca="1">ROUND(L68,1)</f>
        <v>1503.4</v>
      </c>
      <c r="N68" s="2534"/>
      <c r="Z68" s="1748"/>
      <c r="AI68" s="1749"/>
    </row>
    <row r="69" spans="1:35" s="1768" customFormat="1" ht="16.5" customHeight="1">
      <c r="A69" s="1807"/>
      <c r="B69" s="1808"/>
      <c r="C69" s="1809"/>
      <c r="D69" s="1810"/>
      <c r="E69" s="1811"/>
      <c r="F69" s="1574"/>
      <c r="G69" s="1574"/>
      <c r="H69" s="1573"/>
      <c r="I69" s="1743"/>
      <c r="J69" s="3703"/>
      <c r="K69" s="1328" t="s">
        <v>1393</v>
      </c>
      <c r="L69" s="1328"/>
      <c r="M69" s="298">
        <f ca="1">ROUND(SUM(M63:M68),0)</f>
        <v>4845</v>
      </c>
      <c r="N69" s="2536">
        <f ca="1">M69/M49</f>
        <v>1.6113100998712947E-2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65" t="s">
        <v>1394</v>
      </c>
      <c r="B70" s="3666"/>
      <c r="C70" s="3666"/>
      <c r="D70" s="3666"/>
      <c r="E70" s="3666"/>
      <c r="F70" s="3666"/>
      <c r="G70" s="3666"/>
      <c r="H70" s="3666"/>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4" t="s">
        <v>1375</v>
      </c>
      <c r="B71" s="3645"/>
      <c r="C71" s="2017"/>
      <c r="D71" s="2017" t="s">
        <v>1376</v>
      </c>
      <c r="E71" s="175" t="s">
        <v>1377</v>
      </c>
      <c r="F71" s="176"/>
      <c r="G71" s="176"/>
      <c r="H71" s="177"/>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69" t="s">
        <v>330</v>
      </c>
      <c r="B72" s="170" t="s">
        <v>1395</v>
      </c>
      <c r="C72" s="2559">
        <f ca="1">ROUND(D45/(1+'数据-取费表'!C42),0)</f>
        <v>286369</v>
      </c>
      <c r="D72" s="166" t="s">
        <v>26</v>
      </c>
      <c r="E72" s="2327"/>
      <c r="F72" s="2326"/>
      <c r="G72" s="2326"/>
      <c r="H72" s="178"/>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69" t="s">
        <v>327</v>
      </c>
      <c r="B73" s="159" t="s">
        <v>1396</v>
      </c>
      <c r="C73" s="2559">
        <f ca="1">C74+C78</f>
        <v>1718</v>
      </c>
      <c r="D73" s="166" t="s">
        <v>26</v>
      </c>
      <c r="E73" s="2327"/>
      <c r="F73" s="2326"/>
      <c r="G73" s="2326"/>
      <c r="H73" s="178"/>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5" t="s">
        <v>325</v>
      </c>
      <c r="B74" s="166" t="s">
        <v>1397</v>
      </c>
      <c r="C74" s="166">
        <f>ROUND(IF(G77="2016年5月1日后购买",C75/(1+'数据-取费表'!C42)+C76+C77,C75+C76+C77),0)</f>
        <v>0</v>
      </c>
      <c r="D74" s="166" t="s">
        <v>26</v>
      </c>
      <c r="E74" s="2327"/>
      <c r="F74" s="2326"/>
      <c r="G74" s="2326"/>
      <c r="H74" s="178"/>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5" t="s">
        <v>331</v>
      </c>
      <c r="B75" s="166" t="s">
        <v>1398</v>
      </c>
      <c r="C75" s="2562"/>
      <c r="D75" s="166" t="s">
        <v>26</v>
      </c>
      <c r="E75" s="180" t="s">
        <v>1399</v>
      </c>
      <c r="F75" s="2563"/>
      <c r="G75" s="180" t="s">
        <v>1400</v>
      </c>
      <c r="H75" s="256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5" t="s">
        <v>332</v>
      </c>
      <c r="B76" s="181" t="s">
        <v>1401</v>
      </c>
      <c r="C76" s="166">
        <f>IF(F75="购房发票",ROUND(C75*H75*D76,0),0)</f>
        <v>0</v>
      </c>
      <c r="D76" s="2565">
        <v>0.05</v>
      </c>
      <c r="E76" s="3639" t="s">
        <v>1402</v>
      </c>
      <c r="F76" s="3613"/>
      <c r="G76" s="3613"/>
      <c r="H76" s="366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5" t="s">
        <v>333</v>
      </c>
      <c r="B77" s="166" t="s">
        <v>1403</v>
      </c>
      <c r="C77" s="166">
        <f>ROUND(IF(G77="个人住宅",0,IF(G77="2016年5月1日前购买",C75*D77,C75*D77/(1+'数据-取费表'!C42))),0)</f>
        <v>0</v>
      </c>
      <c r="D77" s="2566">
        <f>'数据-取费表'!B48+'数据-取费表'!B49</f>
        <v>3.0499999999999999E-2</v>
      </c>
      <c r="E77" s="2320" t="s">
        <v>1404</v>
      </c>
      <c r="F77" s="182"/>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5" t="s">
        <v>326</v>
      </c>
      <c r="B78" s="166" t="s">
        <v>1405</v>
      </c>
      <c r="C78" s="2567">
        <f ca="1">ROUND(D45*D78/(1+'数据-取费表'!C42),0)</f>
        <v>1718</v>
      </c>
      <c r="D78" s="2568">
        <f>'数据-取费表'!B43</f>
        <v>6.000000000000001E-3</v>
      </c>
      <c r="E78" s="3623" t="s">
        <v>1406</v>
      </c>
      <c r="F78" s="3624"/>
      <c r="G78" s="3624"/>
      <c r="H78" s="363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69" t="s">
        <v>334</v>
      </c>
      <c r="B79" s="170" t="s">
        <v>1407</v>
      </c>
      <c r="C79" s="2559">
        <f ca="1">C72-C73</f>
        <v>284651</v>
      </c>
      <c r="D79" s="166" t="s">
        <v>26</v>
      </c>
      <c r="E79" s="2327"/>
      <c r="F79" s="2326"/>
      <c r="G79" s="2326"/>
      <c r="H79" s="178"/>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69" t="s">
        <v>335</v>
      </c>
      <c r="B80" s="170" t="s">
        <v>1408</v>
      </c>
      <c r="C80" s="2569">
        <f ca="1">IF(C79&lt;=0,0,C79/C73)</f>
        <v>165.68742724097788</v>
      </c>
      <c r="D80" s="166"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8"/>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2" t="s">
        <v>336</v>
      </c>
      <c r="B81" s="173" t="s">
        <v>1409</v>
      </c>
      <c r="C81" s="2570">
        <f ca="1">ROUND(IF(C79&lt;=0,0,IF(C80&gt;=200%,C79*60%-C73*35%,IF(C80&gt;=100%,C79*50%-C73*15%,IF(C80&gt;=50%,C79*40%-C73*5%,IF(C80&lt;50%,C79*30%,0))))),0)</f>
        <v>170189</v>
      </c>
      <c r="D81" s="2571" t="s">
        <v>26</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5" t="s">
        <v>1410</v>
      </c>
      <c r="B83" s="3666"/>
      <c r="C83" s="3666"/>
      <c r="D83" s="3666"/>
      <c r="E83" s="3666"/>
      <c r="F83" s="3666"/>
      <c r="G83" s="3666"/>
      <c r="H83" s="366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4" t="s">
        <v>1375</v>
      </c>
      <c r="B84" s="3645"/>
      <c r="C84" s="2017"/>
      <c r="D84" s="2017" t="s">
        <v>1376</v>
      </c>
      <c r="E84" s="175" t="s">
        <v>1377</v>
      </c>
      <c r="F84" s="176"/>
      <c r="G84" s="176"/>
      <c r="H84" s="187"/>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69" t="s">
        <v>330</v>
      </c>
      <c r="B85" s="170" t="s">
        <v>1395</v>
      </c>
      <c r="C85" s="2559">
        <f ca="1">ROUND(D45/(1+'数据-取费表'!C42),0)</f>
        <v>286369</v>
      </c>
      <c r="D85" s="166" t="s">
        <v>26</v>
      </c>
      <c r="E85" s="2327"/>
      <c r="F85" s="2326"/>
      <c r="G85" s="2326"/>
      <c r="H85" s="188"/>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69" t="s">
        <v>327</v>
      </c>
      <c r="B86" s="159" t="s">
        <v>1396</v>
      </c>
      <c r="C86" s="2559">
        <f ca="1">IF(H88="仅含出让金",C87+C90+C91+C92+C93+C94,C87+C91+C92+C93+C94)</f>
        <v>1718</v>
      </c>
      <c r="D86" s="2572"/>
      <c r="E86" s="2327"/>
      <c r="F86" s="2326"/>
      <c r="G86" s="2326"/>
      <c r="H86" s="188"/>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5" t="s">
        <v>325</v>
      </c>
      <c r="B87" s="166" t="s">
        <v>1411</v>
      </c>
      <c r="C87" s="2567">
        <f>C88+C89</f>
        <v>0</v>
      </c>
      <c r="D87" s="2568"/>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5" t="s">
        <v>331</v>
      </c>
      <c r="B88" s="166" t="s">
        <v>1412</v>
      </c>
      <c r="C88" s="2573"/>
      <c r="D88" s="2568"/>
      <c r="E88" s="189" t="s">
        <v>1413</v>
      </c>
      <c r="F88" s="2323"/>
      <c r="G88" s="190" t="s">
        <v>1414</v>
      </c>
      <c r="H88" s="1820"/>
      <c r="I88" s="1817"/>
      <c r="J88" s="2512"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5" t="s">
        <v>332</v>
      </c>
      <c r="B89" s="166" t="s">
        <v>1403</v>
      </c>
      <c r="C89" s="2567">
        <f>ROUND(C88*D89,0)</f>
        <v>0</v>
      </c>
      <c r="D89" s="2568">
        <f>'数据-取费表'!B48+'数据-取费表'!B49</f>
        <v>3.0499999999999999E-2</v>
      </c>
      <c r="E89" s="189"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5" t="s">
        <v>326</v>
      </c>
      <c r="B90" s="166" t="s">
        <v>1416</v>
      </c>
      <c r="C90" s="2573"/>
      <c r="D90" s="2568"/>
      <c r="E90" s="189" t="str">
        <f>IF(H88="-","土地取得成本中已包含该笔费用"," ")</f>
        <v xml:space="preserve"> </v>
      </c>
      <c r="F90" s="2323"/>
      <c r="G90" s="3705" t="s">
        <v>2129</v>
      </c>
      <c r="H90" s="3706"/>
      <c r="I90" s="1817"/>
      <c r="J90" s="2512"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5" t="s">
        <v>1417</v>
      </c>
      <c r="B91" s="166" t="s">
        <v>1418</v>
      </c>
      <c r="C91" s="2567">
        <f>IF(H91="——",成本法!C33,I91)</f>
        <v>0</v>
      </c>
      <c r="D91" s="2568"/>
      <c r="E91" s="3623" t="s">
        <v>1419</v>
      </c>
      <c r="F91" s="3624"/>
      <c r="G91" s="362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5" t="s">
        <v>1420</v>
      </c>
      <c r="B92" s="166" t="s">
        <v>1421</v>
      </c>
      <c r="C92" s="2567">
        <f>ROUND((C87+C90+C91)*D92,0)</f>
        <v>0</v>
      </c>
      <c r="D92" s="2574"/>
      <c r="E92" s="3623" t="s">
        <v>1422</v>
      </c>
      <c r="F92" s="3624"/>
      <c r="G92" s="3624"/>
      <c r="H92" s="3633"/>
      <c r="I92" s="1817"/>
      <c r="J92" s="2513"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5" t="s">
        <v>1423</v>
      </c>
      <c r="B93" s="166" t="s">
        <v>1405</v>
      </c>
      <c r="C93" s="2567">
        <f ca="1">ROUND(D45*D93/(1+'数据-取费表'!C42),0)</f>
        <v>1718</v>
      </c>
      <c r="D93" s="2568">
        <f>'数据-取费表'!B43</f>
        <v>6.000000000000001E-3</v>
      </c>
      <c r="E93" s="3623" t="s">
        <v>1406</v>
      </c>
      <c r="F93" s="3624"/>
      <c r="G93" s="3624"/>
      <c r="H93" s="363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5" t="s">
        <v>1424</v>
      </c>
      <c r="B94" s="166" t="s">
        <v>1425</v>
      </c>
      <c r="C94" s="2573">
        <f>ROUND((C87+C90+C91)*D94,0)</f>
        <v>0</v>
      </c>
      <c r="D94" s="2568">
        <v>0.2</v>
      </c>
      <c r="E94" s="3634" t="s">
        <v>1426</v>
      </c>
      <c r="F94" s="3635"/>
      <c r="G94" s="3635"/>
      <c r="H94" s="363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69" t="s">
        <v>334</v>
      </c>
      <c r="B95" s="170" t="s">
        <v>1407</v>
      </c>
      <c r="C95" s="2559">
        <f ca="1">ROUND(C85-C86,0)</f>
        <v>284651</v>
      </c>
      <c r="D95" s="166" t="s">
        <v>26</v>
      </c>
      <c r="E95" s="2327"/>
      <c r="F95" s="2326"/>
      <c r="G95" s="2326"/>
      <c r="H95" s="188"/>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69" t="s">
        <v>335</v>
      </c>
      <c r="B96" s="170" t="s">
        <v>1408</v>
      </c>
      <c r="C96" s="2569">
        <f ca="1">IF(C95&lt;=0,0,C95/C86)</f>
        <v>165.68742724097788</v>
      </c>
      <c r="D96" s="166"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8"/>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2" t="s">
        <v>336</v>
      </c>
      <c r="B97" s="173" t="s">
        <v>1409</v>
      </c>
      <c r="C97" s="2570">
        <f ca="1">ROUND(IF(C95&lt;=0,0,IF(C96&gt;=200%,C95*60%-C86*35%,IF(C96&gt;=100%,C95*50%-C86*15%,IF(C96&gt;=50%,C95*40%-C86*5%,IF(C96&lt;50%,C95*30%,0))))),0)</f>
        <v>170189</v>
      </c>
      <c r="D97" s="2571" t="s">
        <v>26</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5"/>
    </row>
    <row r="99" spans="1:35" ht="21.75" customHeight="1" thickBot="1">
      <c r="A99" s="1796" t="s">
        <v>1427</v>
      </c>
      <c r="B99" s="1743"/>
      <c r="C99" s="1743"/>
      <c r="D99" s="1743"/>
      <c r="E99" s="1574"/>
      <c r="F99" s="1574"/>
      <c r="G99" s="1574"/>
      <c r="H99" s="1573"/>
      <c r="I99" s="125"/>
    </row>
    <row r="100" spans="1:35" ht="18.75" customHeight="1">
      <c r="A100" s="3607" t="s">
        <v>1428</v>
      </c>
      <c r="B100" s="3608"/>
      <c r="C100" s="3608"/>
      <c r="D100" s="3625"/>
      <c r="E100" s="3608" t="s">
        <v>1429</v>
      </c>
      <c r="F100" s="3608"/>
      <c r="G100" s="3608"/>
      <c r="H100" s="3625"/>
      <c r="I100" s="125"/>
    </row>
    <row r="101" spans="1:35" ht="18.75" customHeight="1">
      <c r="A101" s="3686" t="s">
        <v>1430</v>
      </c>
      <c r="B101" s="3687"/>
      <c r="C101" s="2576" t="str">
        <f>C4</f>
        <v>成本法</v>
      </c>
      <c r="D101" s="2577" t="str">
        <f>D4</f>
        <v>收益法（汇总）</v>
      </c>
      <c r="E101" s="3700" t="s">
        <v>1431</v>
      </c>
      <c r="F101" s="3657"/>
      <c r="G101" s="1823" t="s">
        <v>1432</v>
      </c>
      <c r="H101" s="2586">
        <f ca="1">H118</f>
        <v>300687</v>
      </c>
      <c r="I101" s="125"/>
    </row>
    <row r="102" spans="1:35" ht="18.75" customHeight="1">
      <c r="A102" s="3659" t="s">
        <v>1433</v>
      </c>
      <c r="B102" s="2575" t="s">
        <v>1432</v>
      </c>
      <c r="C102" s="2576">
        <f ca="1">IF(D32="楼面单价",ROUND(C19,0),C19)</f>
        <v>292116</v>
      </c>
      <c r="D102" s="2577">
        <f ca="1">IF(D32="楼面单价",ROUND(D19,0),D19)</f>
        <v>309257</v>
      </c>
      <c r="E102" s="3700"/>
      <c r="F102" s="3657"/>
      <c r="G102" s="1823" t="s">
        <v>1434</v>
      </c>
      <c r="H102" s="2546">
        <f ca="1">I118</f>
        <v>29166</v>
      </c>
      <c r="I102" s="125"/>
    </row>
    <row r="103" spans="1:35" ht="42.75" customHeight="1">
      <c r="A103" s="3659"/>
      <c r="B103" s="2575" t="s">
        <v>1434</v>
      </c>
      <c r="C103" s="2578">
        <f ca="1">C20</f>
        <v>28334</v>
      </c>
      <c r="D103" s="2579">
        <f ca="1">D20</f>
        <v>29997</v>
      </c>
      <c r="E103" s="3694" t="s">
        <v>1435</v>
      </c>
      <c r="F103" s="3695"/>
      <c r="G103" s="1824" t="s">
        <v>1436</v>
      </c>
      <c r="H103" s="2586">
        <f>IF(D36="正常操作",H104+H105+H106,H105+H106)</f>
        <v>0</v>
      </c>
      <c r="I103" s="125"/>
    </row>
    <row r="104" spans="1:35" ht="18.75" customHeight="1">
      <c r="A104" s="3659" t="s">
        <v>1437</v>
      </c>
      <c r="B104" s="2580" t="s">
        <v>1432</v>
      </c>
      <c r="C104" s="2581">
        <f ca="1">H118</f>
        <v>300687</v>
      </c>
      <c r="D104" s="2582"/>
      <c r="E104" s="1670" t="s">
        <v>1438</v>
      </c>
      <c r="F104" s="1662"/>
      <c r="G104" s="1824" t="s">
        <v>1436</v>
      </c>
      <c r="H104" s="2587">
        <f>IF(D36="同一抵押权人同一抵押物续贷",C36&amp;"（续贷，未扣减，详见特别提示）",C36)</f>
        <v>0</v>
      </c>
      <c r="I104" s="125"/>
    </row>
    <row r="105" spans="1:35" ht="18.75" customHeight="1" thickBot="1">
      <c r="A105" s="3660"/>
      <c r="B105" s="2583" t="s">
        <v>1434</v>
      </c>
      <c r="C105" s="2584">
        <f ca="1">I118</f>
        <v>29166</v>
      </c>
      <c r="D105" s="2585"/>
      <c r="E105" s="1670" t="s">
        <v>1439</v>
      </c>
      <c r="F105" s="1662"/>
      <c r="G105" s="1824" t="s">
        <v>1436</v>
      </c>
      <c r="H105" s="2588">
        <f>C37</f>
        <v>0</v>
      </c>
      <c r="I105" s="125"/>
    </row>
    <row r="106" spans="1:35" ht="18.75" customHeight="1">
      <c r="A106" s="1743" t="s">
        <v>1440</v>
      </c>
      <c r="B106" s="1743"/>
      <c r="C106" s="1743"/>
      <c r="D106" s="1743"/>
      <c r="E106" s="1825" t="s">
        <v>1441</v>
      </c>
      <c r="F106" s="1662"/>
      <c r="G106" s="1824" t="s">
        <v>1436</v>
      </c>
      <c r="H106" s="2588">
        <f>C38</f>
        <v>0</v>
      </c>
      <c r="I106" s="125"/>
    </row>
    <row r="107" spans="1:35" ht="18.75" customHeight="1">
      <c r="A107" s="125"/>
      <c r="B107" s="125"/>
      <c r="C107" s="125"/>
      <c r="D107" s="125"/>
      <c r="E107" s="3656" t="str">
        <f>IF(项目基本情况!E8="已注销","——","3.房地产抵押价值")</f>
        <v>3.房地产抵押价值</v>
      </c>
      <c r="F107" s="3657"/>
      <c r="G107" s="1823" t="s">
        <v>1432</v>
      </c>
      <c r="H107" s="2586">
        <f ca="1">IF(E107="——","——",H101-H103)</f>
        <v>300687</v>
      </c>
      <c r="I107" s="125"/>
    </row>
    <row r="108" spans="1:35" ht="18.75" customHeight="1">
      <c r="A108" s="125"/>
      <c r="B108" s="125"/>
      <c r="C108" s="125"/>
      <c r="D108" s="125"/>
      <c r="E108" s="3656"/>
      <c r="F108" s="3657"/>
      <c r="G108" s="1823" t="s">
        <v>1434</v>
      </c>
      <c r="H108" s="2546">
        <f ca="1">IF(H107=H101,H102,ROUND(H107*10000/'数据-汇总表'!E3,0))</f>
        <v>29166</v>
      </c>
      <c r="I108" s="125"/>
    </row>
    <row r="109" spans="1:35" ht="18.75" customHeight="1">
      <c r="A109" s="125"/>
      <c r="B109" s="125"/>
      <c r="C109" s="125"/>
      <c r="D109" s="125"/>
      <c r="E109" s="3656" t="str">
        <f>IF(项目基本情况!E8="已注销及未注销","4.抵押担保权已注销时的房地产抵押价值",IF(项目基本情况!E8="已注销","3.抵押担保权已注销时的房地产抵押价值","——"))</f>
        <v>——</v>
      </c>
      <c r="F109" s="3657"/>
      <c r="G109" s="1823" t="s">
        <v>1432</v>
      </c>
      <c r="H109" s="2589" t="str">
        <f>IF(E109="——","——",H101-H105-H106)</f>
        <v>——</v>
      </c>
      <c r="I109" s="125"/>
    </row>
    <row r="110" spans="1:35" ht="18.75" customHeight="1">
      <c r="A110" s="125"/>
      <c r="B110" s="125"/>
      <c r="C110" s="125"/>
      <c r="D110" s="125"/>
      <c r="E110" s="3656"/>
      <c r="F110" s="3657"/>
      <c r="G110" s="1823" t="s">
        <v>1434</v>
      </c>
      <c r="H110" s="2546" t="str">
        <f>IF(H109="——","——",ROUND(H109*10000/'数据-汇总表'!E3,0))</f>
        <v>——</v>
      </c>
      <c r="I110" s="125"/>
    </row>
    <row r="111" spans="1:35" ht="18.75" customHeight="1">
      <c r="A111" s="125"/>
      <c r="B111" s="125"/>
      <c r="C111" s="125"/>
      <c r="D111" s="125"/>
      <c r="E111" s="3688" t="str">
        <f>IF(项目基本情况!E9="抵押净值",IF(OR(项目基本情况!E8="已注销",项目基本情况!E8="房地产抵押价值"),"4.抵押净值","5.抵押净值"),"——")</f>
        <v>——</v>
      </c>
      <c r="F111" s="3658"/>
      <c r="G111" s="1823" t="s">
        <v>1432</v>
      </c>
      <c r="H111" s="2586" t="str">
        <f>IF(E111="——","——",N59)</f>
        <v>——</v>
      </c>
      <c r="I111" s="125"/>
    </row>
    <row r="112" spans="1:35" ht="18.75" customHeight="1" thickBot="1">
      <c r="A112" s="125"/>
      <c r="B112" s="125"/>
      <c r="C112" s="125"/>
      <c r="D112" s="125"/>
      <c r="E112" s="3689"/>
      <c r="F112" s="3690"/>
      <c r="G112" s="1826" t="s">
        <v>1434</v>
      </c>
      <c r="H112" s="2590" t="str">
        <f>IF(E111="——","——",N61)</f>
        <v>——</v>
      </c>
      <c r="I112" s="125"/>
    </row>
    <row r="113" spans="1:27" ht="18.75" customHeight="1">
      <c r="A113" s="125"/>
      <c r="B113" s="125"/>
      <c r="C113" s="125"/>
      <c r="D113" s="125"/>
      <c r="E113" s="3661" t="s">
        <v>1440</v>
      </c>
      <c r="F113" s="3661"/>
      <c r="G113" s="3661"/>
      <c r="H113" s="3661"/>
      <c r="I113" s="125"/>
    </row>
    <row r="114" spans="1:27" ht="3.75" customHeight="1">
      <c r="A114" s="1743"/>
      <c r="B114" s="1743"/>
      <c r="C114" s="1743"/>
      <c r="D114" s="1743"/>
      <c r="E114" s="1805"/>
      <c r="F114" s="1805"/>
      <c r="G114" s="1805"/>
      <c r="H114" s="1805"/>
      <c r="I114" s="1743"/>
    </row>
    <row r="115" spans="1:27" ht="18.75" customHeight="1">
      <c r="A115" s="3671" t="s">
        <v>1442</v>
      </c>
      <c r="B115" s="3672"/>
      <c r="C115" s="3672"/>
      <c r="D115" s="3672"/>
      <c r="E115" s="3672"/>
      <c r="F115" s="3672"/>
      <c r="G115" s="3672"/>
      <c r="H115" s="3672"/>
      <c r="I115" s="3673"/>
    </row>
    <row r="116" spans="1:27" ht="27" customHeight="1">
      <c r="A116" s="3627" t="s">
        <v>1443</v>
      </c>
      <c r="B116" s="3662" t="s">
        <v>1444</v>
      </c>
      <c r="C116" s="3662" t="s">
        <v>1445</v>
      </c>
      <c r="D116" s="3675" t="s">
        <v>1446</v>
      </c>
      <c r="E116" s="3676"/>
      <c r="F116" s="3670" t="s">
        <v>1447</v>
      </c>
      <c r="G116" s="3670"/>
      <c r="H116" s="3627" t="s">
        <v>1448</v>
      </c>
      <c r="I116" s="3627"/>
    </row>
    <row r="117" spans="1:27" ht="18.75" customHeight="1">
      <c r="A117" s="3627"/>
      <c r="B117" s="3663"/>
      <c r="C117" s="3663"/>
      <c r="D117" s="2325" t="s">
        <v>1449</v>
      </c>
      <c r="E117" s="2325" t="s">
        <v>1450</v>
      </c>
      <c r="F117" s="2325" t="s">
        <v>1449</v>
      </c>
      <c r="G117" s="2325" t="s">
        <v>1451</v>
      </c>
      <c r="H117" s="2325" t="s">
        <v>1449</v>
      </c>
      <c r="I117" s="2325" t="s">
        <v>1451</v>
      </c>
    </row>
    <row r="118" spans="1:27" ht="24.75" customHeight="1">
      <c r="A118" s="2591" t="str">
        <f>项目基本情况!S2</f>
        <v>北京市丰台区南四环西路186号一区1号楼-4至7层01房地产</v>
      </c>
      <c r="B118" s="2325">
        <f>M18</f>
        <v>103096.20000000001</v>
      </c>
      <c r="C118" s="2325">
        <f>M19</f>
        <v>23586.720000000001</v>
      </c>
      <c r="D118" s="2325">
        <f ca="1">ROUND(IF(D32="总价",C34,E118*B118/10000),0)</f>
        <v>166881</v>
      </c>
      <c r="E118" s="2325">
        <f ca="1">ROUND(IF(C33="自定义",IF(D32="楼面单价",C34,D118*10000/B118),I118-G118),0)</f>
        <v>16187</v>
      </c>
      <c r="F118" s="2325">
        <f ca="1">ROUND(IF(D32="总价",C35,G118*B118/10000),0)</f>
        <v>133806</v>
      </c>
      <c r="G118" s="2325">
        <f ca="1">ROUND(IF(D32="楼面单价",C35,F118*10000/B118),0)</f>
        <v>12979</v>
      </c>
      <c r="H118" s="2325">
        <f ca="1">ROUND(IF(D32="总价",C32,I118*B118/10000),0)</f>
        <v>300687</v>
      </c>
      <c r="I118" s="2325">
        <f ca="1">ROUND(IF(D32="楼面单价",C32,H118*10000/B118),0)</f>
        <v>29166</v>
      </c>
    </row>
    <row r="119" spans="1:27" ht="18.75" customHeight="1">
      <c r="A119" s="3627" t="s">
        <v>1452</v>
      </c>
      <c r="B119" s="3627"/>
      <c r="C119" s="3627"/>
      <c r="D119" s="3667" t="str">
        <f ca="1">NUMBERSTRING(INT(D118*10000),2)&amp;"元整"</f>
        <v>壹拾陆亿陆仟捌佰捌拾壹万元整</v>
      </c>
      <c r="E119" s="3669"/>
      <c r="F119" s="3667" t="str">
        <f ca="1">NUMBERSTRING(INT(F118*10000),2)&amp;"元整"</f>
        <v>壹拾叁亿叁仟捌佰零陆万元整</v>
      </c>
      <c r="G119" s="3669"/>
      <c r="H119" s="3667" t="str">
        <f ca="1">NUMBERSTRING(INT(H118*10000),2)&amp;"元整"</f>
        <v>叁拾亿零陆佰捌拾柒万元整</v>
      </c>
      <c r="I119" s="3669"/>
    </row>
    <row r="120" spans="1:27" ht="18.75" customHeight="1">
      <c r="A120" s="3691" t="str">
        <f>IF(项目基本情况!B9="房地产市场价值","",MID(E103,3,LEN(E103)-2))</f>
        <v>估价师知悉的法定优先受偿款</v>
      </c>
      <c r="B120" s="3692"/>
      <c r="C120" s="3693"/>
      <c r="D120" s="3691">
        <f>H103</f>
        <v>0</v>
      </c>
      <c r="E120" s="3692"/>
      <c r="F120" s="3692"/>
      <c r="G120" s="3692"/>
      <c r="H120" s="3692"/>
      <c r="I120" s="369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7" t="s">
        <v>1452</v>
      </c>
      <c r="B121" s="3668"/>
      <c r="C121" s="3669"/>
      <c r="D121" s="3667" t="str">
        <f>IF(D120=0,"零元整",NUMBERSTRING(INT(D120*10000),2)&amp;"元整")</f>
        <v>零元整</v>
      </c>
      <c r="E121" s="3668"/>
      <c r="F121" s="3668"/>
      <c r="G121" s="3668"/>
      <c r="H121" s="3668"/>
      <c r="I121" s="3669"/>
      <c r="AA121" s="721"/>
    </row>
    <row r="122" spans="1:27" ht="18.75" customHeight="1">
      <c r="A122" s="3658" t="str">
        <f>IF(项目基本情况!B9="房地产市场价值","",MID(E107,3,LEN(E107)-2))</f>
        <v>房地产抵押价值</v>
      </c>
      <c r="B122" s="3658"/>
      <c r="C122" s="3658"/>
      <c r="D122" s="3691">
        <f ca="1">H107</f>
        <v>300687</v>
      </c>
      <c r="E122" s="3692"/>
      <c r="F122" s="3692"/>
      <c r="G122" s="3692"/>
      <c r="H122" s="3692"/>
      <c r="I122" s="3693"/>
      <c r="AA122" s="721"/>
    </row>
    <row r="123" spans="1:27" ht="18.75" customHeight="1">
      <c r="A123" s="3627" t="s">
        <v>1452</v>
      </c>
      <c r="B123" s="3627"/>
      <c r="C123" s="3627"/>
      <c r="D123" s="3667" t="str">
        <f ca="1">NUMBERSTRING(INT(D122*10000),2)&amp;"元整"</f>
        <v>叁拾亿零陆佰捌拾柒万元整</v>
      </c>
      <c r="E123" s="3668"/>
      <c r="F123" s="3668"/>
      <c r="G123" s="3668"/>
      <c r="H123" s="3668"/>
      <c r="I123" s="3669"/>
      <c r="AA123" s="721"/>
    </row>
    <row r="124" spans="1:27" ht="18.75" customHeight="1">
      <c r="A124" s="3658" t="str">
        <f>IF(项目基本情况!B9="房地产市场价值","",MID(E109,3,LEN(E109)-2))</f>
        <v/>
      </c>
      <c r="B124" s="3658"/>
      <c r="C124" s="3658"/>
      <c r="D124" s="3691" t="str">
        <f>H109</f>
        <v>——</v>
      </c>
      <c r="E124" s="3692"/>
      <c r="F124" s="3692"/>
      <c r="G124" s="3692"/>
      <c r="H124" s="3692"/>
      <c r="I124" s="3693"/>
      <c r="AA124" s="721"/>
    </row>
    <row r="125" spans="1:27" ht="18.75" customHeight="1">
      <c r="A125" s="3627" t="s">
        <v>1452</v>
      </c>
      <c r="B125" s="3627"/>
      <c r="C125" s="3627"/>
      <c r="D125" s="3667" t="e">
        <f>NUMBERSTRING(INT(D124*10000),2)&amp;"元整"</f>
        <v>#VALUE!</v>
      </c>
      <c r="E125" s="3668"/>
      <c r="F125" s="3668"/>
      <c r="G125" s="3668"/>
      <c r="H125" s="3668"/>
      <c r="I125" s="3669"/>
      <c r="AA125" s="721"/>
    </row>
    <row r="126" spans="1:27" ht="18.75" customHeight="1">
      <c r="A126" s="3658" t="str">
        <f>IF(项目基本情况!B9="房地产市场价值","",MID(E111,3,LEN(E111)-2))</f>
        <v/>
      </c>
      <c r="B126" s="3658"/>
      <c r="C126" s="3658"/>
      <c r="D126" s="3691" t="str">
        <f>H111</f>
        <v>——</v>
      </c>
      <c r="E126" s="3692"/>
      <c r="F126" s="3692"/>
      <c r="G126" s="3692"/>
      <c r="H126" s="3692"/>
      <c r="I126" s="3693"/>
      <c r="AA126" s="721"/>
    </row>
    <row r="127" spans="1:27" ht="18.75" customHeight="1">
      <c r="A127" s="3627" t="s">
        <v>1452</v>
      </c>
      <c r="B127" s="3627"/>
      <c r="C127" s="3627"/>
      <c r="D127" s="3667" t="e">
        <f>NUMBERSTRING(INT(D126*10000),2)&amp;"元整"</f>
        <v>#VALUE!</v>
      </c>
      <c r="E127" s="3668"/>
      <c r="F127" s="3668"/>
      <c r="G127" s="3668"/>
      <c r="H127" s="3668"/>
      <c r="I127" s="3669"/>
      <c r="AA127" s="721"/>
    </row>
    <row r="128" spans="1:27" ht="21.75" customHeight="1">
      <c r="A128" s="3674" t="s">
        <v>1453</v>
      </c>
      <c r="B128" s="3674"/>
      <c r="C128" s="3674"/>
      <c r="D128" s="3674"/>
      <c r="E128" s="3674"/>
      <c r="F128" s="3674"/>
      <c r="G128" s="3674"/>
      <c r="H128" s="3674"/>
      <c r="I128" s="3674"/>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6"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6"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6"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18" t="str">
        <f>项目基本情况!B1</f>
        <v>北京市丰台区南四环西路186号一区1号楼-4至7层01房地产抵押价值预评估</v>
      </c>
      <c r="C37" s="3518"/>
      <c r="D37" s="3518"/>
      <c r="E37" s="3518"/>
      <c r="F37" s="3518"/>
      <c r="G37" s="3518"/>
      <c r="H37" s="3518"/>
      <c r="I37" s="3518"/>
    </row>
    <row r="38" spans="1:9">
      <c r="A38" s="840"/>
      <c r="B38" s="840"/>
    </row>
    <row r="39" spans="1:9">
      <c r="A39" s="838" t="s">
        <v>371</v>
      </c>
      <c r="B39" s="838" t="s">
        <v>373</v>
      </c>
    </row>
    <row r="40" spans="1:9">
      <c r="A40" s="838"/>
      <c r="B40" s="1470" t="str">
        <f>项目基本情况!B5</f>
        <v>交通银行</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郑燚（注册号：1120070131)、吴薇（注册号：1419970001)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zoomScaleSheetLayoutView="85" workbookViewId="0">
      <selection activeCell="D33" sqref="D3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2" t="s">
        <v>1926</v>
      </c>
      <c r="B1" s="193"/>
      <c r="C1" s="197" t="s">
        <v>1927</v>
      </c>
      <c r="D1" s="338">
        <f>SUM(D33:D34,D37:D42)</f>
        <v>23586.720000000001</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7" t="s">
        <v>1934</v>
      </c>
      <c r="B2" s="200" t="e">
        <f>C30</f>
        <v>#DIV/0!</v>
      </c>
      <c r="C2" s="1995" t="s">
        <v>1935</v>
      </c>
      <c r="D2" s="1996" t="s">
        <v>1936</v>
      </c>
      <c r="E2" s="3412" t="s">
        <v>3</v>
      </c>
      <c r="F2" s="1996" t="s">
        <v>1937</v>
      </c>
      <c r="G2" s="1997" t="str">
        <f>IF(E2="商业",项目基本情况!B37,IF(E2="办公",项目基本情况!C37,IF(E2="住宅",项目基本情况!D37,IF(E2="工业",项目基本情况!E37,项目基本情况!F37))))</f>
        <v>十级</v>
      </c>
      <c r="H2" s="1996" t="s">
        <v>1938</v>
      </c>
      <c r="I2" s="1997" t="str">
        <f>IF(E2="商业",项目基本情况!B38,IF(E2="办公",项目基本情况!C38,IF(E2="住宅",项目基本情况!D38,IF(E2="工业",项目基本情况!E38,项目基本情况!F38))))</f>
        <v>Ⅹ-延4</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1">
        <f>ROUND(SUMPRODUCT((B106:B110=R2)*(C105:N105=G2)*(C106:N110)),4)</f>
        <v>1.5418000000000001</v>
      </c>
      <c r="T2" s="3351" t="e">
        <f t="shared" ref="T2:T16" si="0">ROUND($C$5*$C$22*$C$23*$C$24*S2*$C$28,0)</f>
        <v>#DIV/0!</v>
      </c>
      <c r="U2" s="1209"/>
      <c r="V2" s="3351" t="e">
        <f>ROUND(T2*U2/10000,0)</f>
        <v>#DIV/0!</v>
      </c>
      <c r="W2" s="1212"/>
      <c r="X2" s="1212"/>
      <c r="Y2" s="1212"/>
      <c r="Z2" s="1212"/>
      <c r="AA2" s="1212"/>
      <c r="AB2" s="1212"/>
      <c r="AC2" s="1213"/>
      <c r="AD2" s="1214"/>
      <c r="AE2" s="1214"/>
      <c r="AF2" s="1214"/>
      <c r="AG2" s="1214"/>
      <c r="AH2" s="1214"/>
      <c r="AI2" s="1214"/>
      <c r="AJ2" s="1215"/>
    </row>
    <row r="3" spans="1:36" ht="15.75">
      <c r="A3" s="199" t="s">
        <v>1940</v>
      </c>
      <c r="B3" s="200" t="e">
        <f>ROUND(B2*10000/D1,0)</f>
        <v>#DIV/0!</v>
      </c>
      <c r="C3" s="1995" t="s">
        <v>1941</v>
      </c>
      <c r="D3" s="1996" t="s">
        <v>1942</v>
      </c>
      <c r="E3" s="3410" t="s">
        <v>2476</v>
      </c>
      <c r="F3" s="2000" t="s">
        <v>3392</v>
      </c>
      <c r="G3" s="748">
        <f>IF(F3="宗地容积率",'数据-汇总表'!I4,IF(F3="估价对象容积率",'数据-汇总表'!I6,'数据-汇总表'!I7))</f>
        <v>2.38</v>
      </c>
      <c r="H3" s="166"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1">
        <f>ROUND(SUMPRODUCT((B106:B110=R3)*(C105:N105=G2)*(C106:N110)),4)</f>
        <v>1.1883999999999999</v>
      </c>
      <c r="T3" s="3351" t="e">
        <f t="shared" si="0"/>
        <v>#DIV/0!</v>
      </c>
      <c r="U3" s="1209"/>
      <c r="V3" s="3351" t="e">
        <f t="shared" ref="V3:V16" si="1">ROUND(T3*U3/10000,0)</f>
        <v>#DIV/0!</v>
      </c>
      <c r="W3" s="1212"/>
      <c r="X3" s="1212"/>
      <c r="Y3" s="1212"/>
      <c r="Z3" s="1212"/>
      <c r="AA3" s="1212"/>
      <c r="AB3" s="1212"/>
      <c r="AC3" s="1213"/>
      <c r="AD3" s="1214"/>
      <c r="AE3" s="1214"/>
      <c r="AF3" s="1214"/>
      <c r="AG3" s="1214"/>
      <c r="AH3" s="1214"/>
      <c r="AI3" s="1214"/>
      <c r="AJ3" s="1215"/>
    </row>
    <row r="4" spans="1:36" ht="15.75">
      <c r="A4" s="3714"/>
      <c r="B4" s="3715"/>
      <c r="C4" s="3715"/>
      <c r="D4" s="3716"/>
      <c r="E4" s="3716"/>
      <c r="F4" s="3716"/>
      <c r="G4" s="3716"/>
      <c r="H4" s="3716"/>
      <c r="I4" s="3716"/>
      <c r="J4" s="3717"/>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1">
        <f>ROUND(SUMPRODUCT((B106:B110=R4)*(C105:N105=G2)*(C106:N110)),4)</f>
        <v>0.96940000000000004</v>
      </c>
      <c r="T4" s="3351" t="e">
        <f t="shared" si="0"/>
        <v>#DIV/0!</v>
      </c>
      <c r="U4" s="1209"/>
      <c r="V4" s="3351"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640</v>
      </c>
      <c r="D5" s="1335">
        <f>ROUND(C6*C17+C20,0)</f>
        <v>640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1">
        <f>ROUND(SUMPRODUCT((B106:B110=R5)*(C105:N105=G2)*(C106:N110)),4)</f>
        <v>0.82299999999999995</v>
      </c>
      <c r="T5" s="3351" t="e">
        <f t="shared" si="0"/>
        <v>#DIV/0!</v>
      </c>
      <c r="U5" s="1209"/>
      <c r="V5" s="3351" t="e">
        <f t="shared" si="1"/>
        <v>#DIV/0!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600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1">
        <f>ROUND(SUMPRODUCT((B106:B110=R6)*(C105:N105=G2)*(C106:N110)),4)</f>
        <v>0.74980000000000002</v>
      </c>
      <c r="T6" s="3351" t="e">
        <f t="shared" si="0"/>
        <v>#DIV/0!</v>
      </c>
      <c r="U6" s="1209"/>
      <c r="V6" s="3351" t="e">
        <f t="shared" si="1"/>
        <v>#DIV/0!</v>
      </c>
      <c r="W6" s="1212"/>
      <c r="X6" s="1212"/>
      <c r="Y6" s="1212"/>
      <c r="Z6" s="1212"/>
      <c r="AA6" s="1212"/>
      <c r="AB6" s="1212"/>
      <c r="AC6" s="2007"/>
      <c r="AD6" s="2008"/>
      <c r="AE6" s="2008"/>
      <c r="AF6" s="2008"/>
      <c r="AG6" s="2008"/>
      <c r="AH6" s="2008"/>
      <c r="AI6" s="2008"/>
      <c r="AJ6" s="2009"/>
    </row>
    <row r="7" spans="1:36" ht="24.75" thickBot="1">
      <c r="A7" s="3294" t="s">
        <v>3238</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09"/>
      <c r="T7" s="3351" t="e">
        <f t="shared" si="0"/>
        <v>#DIV/0!</v>
      </c>
      <c r="U7" s="1209"/>
      <c r="V7" s="3351" t="e">
        <f t="shared" si="1"/>
        <v>#DIV/0!</v>
      </c>
      <c r="W7" s="1354" t="s">
        <v>1955</v>
      </c>
      <c r="X7" s="1210" t="str">
        <f>G2</f>
        <v>十级</v>
      </c>
      <c r="Y7" s="1210" t="s">
        <v>1956</v>
      </c>
      <c r="Z7" s="1211">
        <f>G3</f>
        <v>2.38</v>
      </c>
      <c r="AA7" s="1212"/>
      <c r="AB7" s="1212"/>
      <c r="AC7" s="1213"/>
      <c r="AD7" s="1214"/>
      <c r="AE7" s="1214"/>
      <c r="AF7" s="1214"/>
      <c r="AG7" s="1214"/>
      <c r="AH7" s="1214"/>
      <c r="AI7" s="1214"/>
      <c r="AJ7" s="1215"/>
    </row>
    <row r="8" spans="1:36" ht="25.5">
      <c r="A8" s="3289"/>
      <c r="B8" s="166" t="s">
        <v>1957</v>
      </c>
      <c r="C8" s="2022" t="s">
        <v>3393</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1" t="e">
        <f t="shared" si="0"/>
        <v>#DIV/0!</v>
      </c>
      <c r="U8" s="1209"/>
      <c r="V8" s="3351" t="e">
        <f t="shared" si="1"/>
        <v>#DIV/0!</v>
      </c>
      <c r="W8" s="3711" t="s">
        <v>1960</v>
      </c>
      <c r="X8" s="371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89"/>
      <c r="B9" s="166" t="s">
        <v>1973</v>
      </c>
      <c r="C9" s="754">
        <f>SUMIF(修正!C71:C138,C8,修正!E71:E138)</f>
        <v>0</v>
      </c>
      <c r="D9" s="167" t="s">
        <v>113</v>
      </c>
      <c r="E9" s="167"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1" t="e">
        <f t="shared" si="0"/>
        <v>#DIV/0!</v>
      </c>
      <c r="U9" s="1209"/>
      <c r="V9" s="3351" t="e">
        <f t="shared" si="1"/>
        <v>#DIV/0!</v>
      </c>
      <c r="W9" s="3713"/>
      <c r="X9" s="3352" t="s">
        <v>3269</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6" t="s">
        <v>1976</v>
      </c>
      <c r="C10" s="167">
        <f>SUMIF(修正!C71:C138,C8,修正!F71:F138)</f>
        <v>0</v>
      </c>
      <c r="D10" s="167" t="s">
        <v>114</v>
      </c>
      <c r="E10" s="167" t="e">
        <f>ROUND(C11/E7,4)</f>
        <v>#DIV/0!</v>
      </c>
      <c r="F10" s="2023" t="s">
        <v>1977</v>
      </c>
      <c r="G10" s="2024"/>
      <c r="H10" s="2024"/>
      <c r="I10" s="2024"/>
      <c r="J10" s="2025"/>
      <c r="K10" s="1115"/>
      <c r="L10" s="1999" t="s">
        <v>1978</v>
      </c>
      <c r="M10" s="860">
        <f>SUMPRODUCT((区片价!B327:B357=I2)*(区片价!C3:G3=E2)*(区片价!C327:G357))</f>
        <v>600</v>
      </c>
      <c r="N10" s="862">
        <f>SUMPRODUCT((因素修正幅度!B327:B357=I2)*(因素修正幅度!C3:G3=E2)*(因素修正幅度!C327:G357))</f>
        <v>0.15</v>
      </c>
      <c r="O10" s="1115"/>
      <c r="P10" s="1115"/>
      <c r="Q10" s="1115"/>
      <c r="R10" s="1208">
        <v>9</v>
      </c>
      <c r="S10" s="1209"/>
      <c r="T10" s="3351" t="e">
        <f t="shared" si="0"/>
        <v>#DIV/0!</v>
      </c>
      <c r="U10" s="1209"/>
      <c r="V10" s="3351" t="e">
        <f t="shared" si="1"/>
        <v>#DIV/0!</v>
      </c>
      <c r="W10" s="3713"/>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1" t="e">
        <f t="shared" si="0"/>
        <v>#DIV/0!</v>
      </c>
      <c r="U11" s="1209"/>
      <c r="V11" s="3351" t="e">
        <f t="shared" si="1"/>
        <v>#DIV/0!</v>
      </c>
      <c r="W11" s="1212"/>
      <c r="X11" s="1212"/>
      <c r="Y11" s="1212"/>
      <c r="Z11" s="1212"/>
      <c r="AA11" s="1212"/>
      <c r="AB11" s="1212"/>
      <c r="AC11" s="1213"/>
      <c r="AD11" s="2779"/>
      <c r="AE11" s="2779"/>
      <c r="AF11" s="2779"/>
      <c r="AG11" s="2779"/>
      <c r="AH11" s="2779"/>
      <c r="AI11" s="2779"/>
      <c r="AJ11" s="2780"/>
    </row>
    <row r="12" spans="1:36" ht="25.5" thickBot="1">
      <c r="A12" s="3294" t="s">
        <v>3239</v>
      </c>
      <c r="B12" s="3295" t="s">
        <v>3240</v>
      </c>
      <c r="C12" s="3296"/>
      <c r="D12" s="3297" t="s">
        <v>3241</v>
      </c>
      <c r="E12" s="3298" t="s">
        <v>3242</v>
      </c>
      <c r="F12" s="3299"/>
      <c r="G12" s="3300"/>
      <c r="H12" s="3300"/>
      <c r="I12" s="3300"/>
      <c r="J12" s="3301"/>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1" t="e">
        <f t="shared" si="0"/>
        <v>#DIV/0!</v>
      </c>
      <c r="U12" s="1209"/>
      <c r="V12" s="3351" t="e">
        <f t="shared" si="1"/>
        <v>#DIV/0!</v>
      </c>
      <c r="W12" s="1212"/>
      <c r="X12" s="1212"/>
      <c r="Y12" s="1212"/>
      <c r="Z12" s="1212"/>
      <c r="AA12" s="1212"/>
      <c r="AB12" s="1212"/>
      <c r="AC12" s="1213"/>
      <c r="AD12" s="2779"/>
      <c r="AE12" s="2779"/>
      <c r="AF12" s="2779"/>
      <c r="AG12" s="2779"/>
      <c r="AH12" s="2779"/>
      <c r="AI12" s="2779"/>
      <c r="AJ12" s="2780"/>
    </row>
    <row r="13" spans="1:36" ht="15.75" thickBot="1">
      <c r="A13" s="3294" t="s">
        <v>3243</v>
      </c>
      <c r="B13" s="2030" t="s">
        <v>1982</v>
      </c>
      <c r="C13" s="751">
        <f>ROUND(C16*D16*E16*F16*G16*H16*I16*J16,4)</f>
        <v>0</v>
      </c>
      <c r="D13" s="2031" t="s">
        <v>1983</v>
      </c>
      <c r="E13" s="2032"/>
      <c r="F13" s="2032"/>
      <c r="G13" s="2033"/>
      <c r="H13" s="2033"/>
      <c r="I13" s="2033"/>
      <c r="J13" s="2034"/>
      <c r="K13" s="1115"/>
      <c r="L13" s="3290"/>
      <c r="M13" s="3291"/>
      <c r="N13" s="3292"/>
      <c r="O13" s="1115"/>
      <c r="P13" s="1115"/>
      <c r="Q13" s="1115"/>
      <c r="R13" s="1208">
        <v>12</v>
      </c>
      <c r="S13" s="1209"/>
      <c r="T13" s="3351" t="e">
        <f t="shared" si="0"/>
        <v>#DIV/0!</v>
      </c>
      <c r="U13" s="1209"/>
      <c r="V13" s="3351" t="e">
        <f t="shared" si="1"/>
        <v>#DIV/0!</v>
      </c>
      <c r="W13" s="1212"/>
      <c r="X13" s="1212"/>
      <c r="Y13" s="1212"/>
      <c r="Z13" s="1212"/>
      <c r="AA13" s="1212"/>
      <c r="AB13" s="1212"/>
      <c r="AC13" s="1213"/>
      <c r="AD13" s="2779"/>
      <c r="AE13" s="2779"/>
      <c r="AF13" s="2779"/>
      <c r="AG13" s="2779"/>
      <c r="AH13" s="2779"/>
      <c r="AI13" s="2779"/>
      <c r="AJ13" s="2780"/>
    </row>
    <row r="14" spans="1:36" ht="15">
      <c r="A14" s="3288"/>
      <c r="B14" s="2036" t="s">
        <v>1985</v>
      </c>
      <c r="C14" s="2037" t="s">
        <v>1986</v>
      </c>
      <c r="D14" s="1346" t="s">
        <v>1987</v>
      </c>
      <c r="E14" s="27" t="s">
        <v>1988</v>
      </c>
      <c r="F14" s="3302" t="s">
        <v>3244</v>
      </c>
      <c r="G14" s="3302" t="s">
        <v>3244</v>
      </c>
      <c r="H14" s="3302" t="s">
        <v>3244</v>
      </c>
      <c r="I14" s="3302" t="s">
        <v>3244</v>
      </c>
      <c r="J14" s="3302" t="s">
        <v>3244</v>
      </c>
      <c r="K14" s="1115"/>
      <c r="L14" s="1115"/>
      <c r="M14" s="1115"/>
      <c r="N14" s="1115"/>
      <c r="O14" s="1115"/>
      <c r="P14" s="1115"/>
      <c r="Q14" s="1115"/>
      <c r="R14" s="1208">
        <v>13</v>
      </c>
      <c r="S14" s="1209"/>
      <c r="T14" s="3351" t="e">
        <f t="shared" si="0"/>
        <v>#DIV/0!</v>
      </c>
      <c r="U14" s="1209"/>
      <c r="V14" s="3351" t="e">
        <f t="shared" si="1"/>
        <v>#DIV/0!</v>
      </c>
      <c r="W14" s="1212"/>
      <c r="X14" s="1212"/>
      <c r="Y14" s="1212"/>
      <c r="Z14" s="1212"/>
      <c r="AA14" s="1212"/>
      <c r="AB14" s="1212"/>
      <c r="AC14" s="1213"/>
      <c r="AD14" s="2779"/>
      <c r="AE14" s="2779"/>
      <c r="AF14" s="2779"/>
      <c r="AG14" s="2779"/>
      <c r="AH14" s="2779"/>
      <c r="AI14" s="2779"/>
      <c r="AJ14" s="2780"/>
    </row>
    <row r="15" spans="1:36" ht="15">
      <c r="A15" s="3288"/>
      <c r="B15" s="2038"/>
      <c r="C15" s="2039"/>
      <c r="D15" s="2040"/>
      <c r="E15" s="2041"/>
      <c r="F15" s="3303" t="s">
        <v>3245</v>
      </c>
      <c r="G15" s="3304"/>
      <c r="H15" s="3305"/>
      <c r="I15" s="3306"/>
      <c r="J15" s="3307"/>
      <c r="K15" s="1115"/>
      <c r="L15" s="1115"/>
      <c r="M15" s="1115"/>
      <c r="N15" s="1115"/>
      <c r="O15" s="1115"/>
      <c r="P15" s="1115"/>
      <c r="Q15" s="1115"/>
      <c r="R15" s="1208">
        <v>14</v>
      </c>
      <c r="S15" s="1209"/>
      <c r="T15" s="3351" t="e">
        <f t="shared" si="0"/>
        <v>#DIV/0!</v>
      </c>
      <c r="U15" s="1209"/>
      <c r="V15" s="3351" t="e">
        <f t="shared" si="1"/>
        <v>#DIV/0!</v>
      </c>
      <c r="W15" s="1212"/>
      <c r="X15" s="1212"/>
      <c r="Y15" s="1212"/>
      <c r="Z15" s="1212"/>
      <c r="AA15" s="1212"/>
      <c r="AB15" s="1212"/>
      <c r="AC15" s="1213"/>
      <c r="AD15" s="2779"/>
      <c r="AE15" s="2779"/>
      <c r="AF15" s="2779"/>
      <c r="AG15" s="2779"/>
      <c r="AH15" s="2779"/>
      <c r="AI15" s="2779"/>
      <c r="AJ15" s="2780"/>
    </row>
    <row r="16" spans="1:36" ht="15.75" thickBot="1">
      <c r="A16" s="3288"/>
      <c r="B16" s="3310" t="s">
        <v>1989</v>
      </c>
      <c r="C16" s="3308"/>
      <c r="D16" s="3308"/>
      <c r="E16" s="3308"/>
      <c r="F16" s="3308">
        <v>1</v>
      </c>
      <c r="G16" s="3308">
        <v>1</v>
      </c>
      <c r="H16" s="3308">
        <v>1</v>
      </c>
      <c r="I16" s="3308">
        <v>1</v>
      </c>
      <c r="J16" s="3309">
        <v>1</v>
      </c>
      <c r="K16" s="1115"/>
      <c r="L16" s="1993"/>
      <c r="M16" s="1993"/>
      <c r="N16" s="1993"/>
      <c r="O16" s="1993"/>
      <c r="P16" s="1993"/>
      <c r="Q16" s="1115"/>
      <c r="R16" s="1208">
        <v>15</v>
      </c>
      <c r="S16" s="1209"/>
      <c r="T16" s="3351" t="e">
        <f t="shared" si="0"/>
        <v>#DIV/0!</v>
      </c>
      <c r="U16" s="1209"/>
      <c r="V16" s="3351" t="e">
        <f t="shared" si="1"/>
        <v>#DIV/0!</v>
      </c>
      <c r="W16" s="1212"/>
      <c r="X16" s="1212"/>
      <c r="Y16" s="1212"/>
      <c r="Z16" s="1212"/>
      <c r="AA16" s="1212"/>
      <c r="AB16" s="1212"/>
      <c r="AC16" s="1213"/>
      <c r="AD16" s="2779"/>
      <c r="AE16" s="2779"/>
      <c r="AF16" s="2779"/>
      <c r="AG16" s="2779"/>
      <c r="AH16" s="2779"/>
      <c r="AI16" s="2779"/>
      <c r="AJ16" s="2780"/>
    </row>
    <row r="17" spans="1:37">
      <c r="A17" s="3320" t="s">
        <v>3246</v>
      </c>
      <c r="B17" s="3311" t="s">
        <v>3247</v>
      </c>
      <c r="C17" s="3321">
        <f>ROUND(IF(OR(E2="工业",E2="公共服务"),1,IF(AND(E18=0,E19=0),1,IF(AND(E18=J24,E19=G19),0.8,IF(E19=0,1+E17*(-0.2),1+E17*G17*(-0.2))))),4)</f>
        <v>1</v>
      </c>
      <c r="D17" s="3312" t="s">
        <v>3248</v>
      </c>
      <c r="E17" s="3321">
        <f>ROUND(G18/I18,2)</f>
        <v>0</v>
      </c>
      <c r="F17" s="3312" t="s">
        <v>3251</v>
      </c>
      <c r="G17" s="3321" t="e">
        <f>ROUND(E19/G19,2)</f>
        <v>#DIV/0!</v>
      </c>
      <c r="H17" s="3321"/>
      <c r="I17" s="3321"/>
      <c r="J17" s="3322"/>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3"/>
      <c r="B18" s="3000"/>
      <c r="C18" s="3318"/>
      <c r="D18" s="3313" t="s">
        <v>3249</v>
      </c>
      <c r="E18" s="3319"/>
      <c r="F18" s="3314" t="s">
        <v>3252</v>
      </c>
      <c r="G18" s="3318">
        <f>ROUND(1-(1/(POWER(1+G24,E18))),4)</f>
        <v>0</v>
      </c>
      <c r="H18" s="3314" t="s">
        <v>3254</v>
      </c>
      <c r="I18" s="3318">
        <f>ROUND(1-(1/(POWER(1+G24,J24))),4)</f>
        <v>0.91279999999999994</v>
      </c>
      <c r="J18" s="3324"/>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78"/>
    </row>
    <row r="19" spans="1:37" s="2010" customFormat="1" ht="15" thickBot="1">
      <c r="A19" s="3325"/>
      <c r="B19" s="3326"/>
      <c r="C19" s="3327"/>
      <c r="D19" s="3327" t="s">
        <v>3250</v>
      </c>
      <c r="E19" s="3328"/>
      <c r="F19" s="3329" t="s">
        <v>3253</v>
      </c>
      <c r="G19" s="3328"/>
      <c r="H19" s="3327"/>
      <c r="I19" s="3327"/>
      <c r="J19" s="3330"/>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1"/>
      <c r="AH19" s="2137"/>
      <c r="AI19" s="2782"/>
      <c r="AJ19" s="2782"/>
      <c r="AK19" s="2053"/>
    </row>
    <row r="20" spans="1:37" s="2010" customFormat="1" ht="14.25">
      <c r="A20" s="3718" t="s">
        <v>3255</v>
      </c>
      <c r="B20" s="163" t="s">
        <v>1994</v>
      </c>
      <c r="C20" s="3315">
        <f>ROUND(IF(F21="与级别开发程度一致",0,(G21-E21)/C21),0)</f>
        <v>40</v>
      </c>
      <c r="D20" s="3331" t="s">
        <v>1998</v>
      </c>
      <c r="E20" s="3332"/>
      <c r="F20" s="3724" t="s">
        <v>1995</v>
      </c>
      <c r="G20" s="3725"/>
      <c r="H20" s="3316" t="s">
        <v>3380</v>
      </c>
      <c r="I20" s="3316" t="s">
        <v>3381</v>
      </c>
      <c r="J20" s="3317" t="s">
        <v>3382</v>
      </c>
      <c r="K20" s="2043" t="s">
        <v>3383</v>
      </c>
      <c r="L20" s="2043" t="s">
        <v>3384</v>
      </c>
      <c r="M20" s="2043" t="s">
        <v>3385</v>
      </c>
      <c r="N20" s="2043" t="s">
        <v>3397</v>
      </c>
      <c r="O20" s="2044"/>
      <c r="P20" s="1993"/>
      <c r="Q20" s="1120"/>
      <c r="R20" s="1120"/>
      <c r="S20" s="1120"/>
      <c r="T20" s="1116"/>
      <c r="U20" s="1116"/>
      <c r="V20" s="1116"/>
      <c r="W20" s="1115"/>
      <c r="X20" s="1115"/>
      <c r="Y20" s="1115"/>
      <c r="Z20" s="1121"/>
      <c r="AA20" s="1121"/>
      <c r="AB20" s="1121"/>
      <c r="AC20" s="1121"/>
      <c r="AD20" s="1121"/>
      <c r="AE20" s="1121"/>
      <c r="AF20" s="1121"/>
      <c r="AG20" s="2778"/>
      <c r="AH20" s="2778"/>
      <c r="AI20" s="2778"/>
      <c r="AJ20" s="2778"/>
    </row>
    <row r="21" spans="1:37" s="2010" customFormat="1" ht="26.25" thickBot="1">
      <c r="A21" s="3719"/>
      <c r="B21" s="2160" t="s">
        <v>1997</v>
      </c>
      <c r="C21" s="2161">
        <f>IF(E3="M4科研用地",SUMPRODUCT((修正!A2:A7=E3)*(修正!B1:M1=G2)*(修正!B2:M7)),SUMPRODUCT((修正!A2:A7=E2)*(修正!B1:M1=G2)*(修正!B2:M7)))</f>
        <v>1</v>
      </c>
      <c r="D21" s="183" t="str">
        <f>IF(OR(G2="八级",G2="九级",G2="十级",G2="十一级",G2="十二级"),"五通一平","七通一平")</f>
        <v>五通一平</v>
      </c>
      <c r="E21" s="2151">
        <f>SUMPRODUCT((修正!B1:M1=G2)*(修正!B17:M17))</f>
        <v>185</v>
      </c>
      <c r="F21" s="2152" t="s">
        <v>3398</v>
      </c>
      <c r="G21" s="2153">
        <f>SUM(H21:O21)</f>
        <v>225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40</v>
      </c>
      <c r="O21" s="2163">
        <f>SUMPRODUCT((七通一平=O20)*(修正!B1:M1=G2)*(修正!B8:M16))</f>
        <v>0</v>
      </c>
      <c r="P21" s="1993"/>
      <c r="Q21" s="2778"/>
      <c r="R21" s="1120"/>
      <c r="S21" s="1120"/>
      <c r="T21" s="1116"/>
      <c r="U21" s="1116"/>
      <c r="V21" s="1116"/>
      <c r="W21" s="1115"/>
      <c r="X21" s="1115"/>
      <c r="Y21" s="1115"/>
      <c r="Z21" s="1121"/>
      <c r="AA21" s="1121"/>
      <c r="AB21" s="1121"/>
      <c r="AC21" s="1121"/>
      <c r="AD21" s="1121"/>
      <c r="AE21" s="1121"/>
      <c r="AF21" s="1121"/>
      <c r="AG21" s="2778"/>
      <c r="AH21" s="2778"/>
      <c r="AI21" s="2778"/>
      <c r="AJ21" s="2778"/>
    </row>
    <row r="22" spans="1:37" s="2010" customFormat="1" ht="15.75" thickBot="1">
      <c r="A22" s="2154" t="s">
        <v>363</v>
      </c>
      <c r="B22" s="2155" t="s">
        <v>2000</v>
      </c>
      <c r="C22" s="2156">
        <f>SUMIF(修正!C20:C51,E3,修正!E20:E51)</f>
        <v>1</v>
      </c>
      <c r="D22" s="2157"/>
      <c r="E22" s="2158"/>
      <c r="F22" s="2158"/>
      <c r="G22" s="2158"/>
      <c r="H22" s="2158"/>
      <c r="I22" s="2158"/>
      <c r="J22" s="2159"/>
      <c r="K22" s="1121"/>
      <c r="L22" s="2778"/>
      <c r="M22" s="2778"/>
      <c r="N22" s="2778"/>
      <c r="O22" s="1119"/>
      <c r="P22" s="1119"/>
      <c r="Q22" s="2778"/>
      <c r="R22" s="1120"/>
      <c r="S22" s="1120"/>
      <c r="T22" s="1116"/>
      <c r="U22" s="1116"/>
      <c r="V22" s="1116"/>
      <c r="W22" s="1115"/>
      <c r="X22" s="1115"/>
      <c r="Y22" s="1115"/>
      <c r="Z22" s="1121"/>
      <c r="AA22" s="1121"/>
      <c r="AB22" s="1121"/>
      <c r="AC22" s="1121"/>
      <c r="AD22" s="1121"/>
      <c r="AE22" s="1121"/>
      <c r="AF22" s="1121"/>
      <c r="AG22" s="2778"/>
      <c r="AH22" s="2778"/>
      <c r="AI22" s="2778"/>
      <c r="AJ22" s="2778"/>
    </row>
    <row r="23" spans="1:37" ht="26.25"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0" t="s">
        <v>2002</v>
      </c>
      <c r="E23" s="757">
        <v>44197</v>
      </c>
      <c r="F23" s="2050" t="s">
        <v>2003</v>
      </c>
      <c r="G23" s="758">
        <f>'数据-取费表'!B2</f>
        <v>44992</v>
      </c>
      <c r="H23" s="3333" t="s">
        <v>3257</v>
      </c>
      <c r="I23" s="3334" t="str">
        <f>IF(H23="季度增幅（自定义）",SUMIF(N25:N28,E2,O25:O28),"")</f>
        <v/>
      </c>
      <c r="J23" s="3436" t="s">
        <v>3256</v>
      </c>
      <c r="K23" s="1121"/>
      <c r="L23" s="2051" t="s">
        <v>2004</v>
      </c>
      <c r="M23" s="1324">
        <f>ROUND(SUMIF(地价!B2:G2,E2,地价!B16:G16),0)</f>
        <v>318</v>
      </c>
      <c r="N23" s="2052" t="s">
        <v>2005</v>
      </c>
      <c r="O23" s="759">
        <f>ROUNDDOWN(DATEDIF(E23,G23,"M")/3,0)</f>
        <v>8</v>
      </c>
      <c r="P23" s="1118"/>
      <c r="Q23" s="2778"/>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t="e">
        <f>ROUND(POWER(1+G24,J24-I24)*(POWER(1+G24,I24)-1)/(POWER(1+G24,J24)-1),4)</f>
        <v>#DIV/0!</v>
      </c>
      <c r="D24" s="2056" t="s">
        <v>2007</v>
      </c>
      <c r="E24" s="1331">
        <f>存贷款利率!E22/100</f>
        <v>4.3499999999999997E-2</v>
      </c>
      <c r="F24" s="2056" t="s">
        <v>1999</v>
      </c>
      <c r="G24" s="764">
        <f>SUMIF(M30:Q30,E2,M33:Q33)</f>
        <v>0.05</v>
      </c>
      <c r="H24" s="2056" t="s">
        <v>2008</v>
      </c>
      <c r="I24" s="765" t="e">
        <f>SUMIF('数据-取费表'!C6:C15,E2,'数据-取费表'!F6:F15)/COUNTIF('数据-取费表'!C6:C15,E2)</f>
        <v>#DIV/0!</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78"/>
      <c r="AH24" s="2778"/>
      <c r="AI24" s="2778"/>
      <c r="AJ24" s="2778"/>
    </row>
    <row r="25" spans="1:37" ht="15">
      <c r="A25" s="2061" t="s">
        <v>366</v>
      </c>
      <c r="B25" s="2062" t="s">
        <v>3336</v>
      </c>
      <c r="C25" s="767">
        <f>IF(B25="容积率修正",IF(G3&lt;10,D26,J26),C27)</f>
        <v>0.69089999999999996</v>
      </c>
      <c r="D25" s="2063"/>
      <c r="E25" s="2063"/>
      <c r="F25" s="2063"/>
      <c r="G25" s="2063"/>
      <c r="H25" s="2063"/>
      <c r="I25" s="2063"/>
      <c r="J25" s="2064"/>
      <c r="K25" s="1121"/>
      <c r="L25" s="2778"/>
      <c r="M25" s="2778"/>
      <c r="N25" s="2065" t="s">
        <v>2013</v>
      </c>
      <c r="O25" s="1169"/>
      <c r="P25" s="1170">
        <f>SUMPRODUCT((地价!A3:A40=YEAR(G23)&amp;"-"&amp;ROUNDUP(MONTH(G23)/3,0))*(地价!AD2:AH2=N25)*(地价!AD3:AH40))</f>
        <v>0</v>
      </c>
      <c r="Q25" s="2778"/>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35" t="s">
        <v>3258</v>
      </c>
      <c r="D26" s="1348">
        <f>IF(E26=G26,F26,IF(G3&lt;10,ROUND(F26+(H26-F26)*(G3-E26)/(G26-E26),4),"——"))</f>
        <v>0.69089999999999996</v>
      </c>
      <c r="E26" s="748">
        <f>ROUNDDOWN(G3,1)</f>
        <v>2.2999999999999998</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0.70269999999999999</v>
      </c>
      <c r="G26" s="748">
        <f>ROUNDUP(G3,1)</f>
        <v>2.4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0.68799999999999994</v>
      </c>
      <c r="I26" s="3335" t="s">
        <v>3259</v>
      </c>
      <c r="J26" s="768" t="str">
        <f>IF(G3&gt;=10,D115,"——")</f>
        <v>——</v>
      </c>
      <c r="K26" s="1121"/>
      <c r="L26" s="2778"/>
      <c r="M26" s="2778"/>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0.96779999999999999</v>
      </c>
      <c r="D28" s="2048"/>
      <c r="E28" s="2073"/>
      <c r="F28" s="2073"/>
      <c r="G28" s="2073"/>
      <c r="H28" s="2073"/>
      <c r="I28" s="2073"/>
      <c r="J28" s="2074"/>
      <c r="K28" s="1121"/>
      <c r="L28" s="2778"/>
      <c r="M28" s="2778"/>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75" t="s">
        <v>2023</v>
      </c>
      <c r="O29" s="2776"/>
      <c r="P29" s="2777">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5"/>
      <c r="L30" s="3341" t="s">
        <v>1936</v>
      </c>
      <c r="M30" s="3342" t="s">
        <v>1990</v>
      </c>
      <c r="N30" s="3342" t="s">
        <v>1991</v>
      </c>
      <c r="O30" s="3342" t="s">
        <v>1992</v>
      </c>
      <c r="P30" s="3342" t="s">
        <v>1993</v>
      </c>
      <c r="Q30" s="3345" t="s">
        <v>3263</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t="e">
        <f>E34+SUM(I37:I42)</f>
        <v>#DIV/0!</v>
      </c>
      <c r="D31" s="2083"/>
      <c r="E31" s="2084"/>
      <c r="F31" s="2085"/>
      <c r="G31" s="2084"/>
      <c r="H31" s="2084"/>
      <c r="I31" s="2084"/>
      <c r="J31" s="2086"/>
      <c r="K31" s="1115"/>
      <c r="L31" s="3343" t="s">
        <v>1996</v>
      </c>
      <c r="M31" s="1996">
        <v>0.25</v>
      </c>
      <c r="N31" s="1996">
        <v>0.2</v>
      </c>
      <c r="O31" s="1996">
        <v>0.15</v>
      </c>
      <c r="P31" s="1996">
        <v>0.1</v>
      </c>
      <c r="Q31" s="3338">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44" t="s">
        <v>1999</v>
      </c>
      <c r="M32" s="2561">
        <f>ROUND($E$24*(1+M31),3)</f>
        <v>5.3999999999999999E-2</v>
      </c>
      <c r="N32" s="2561">
        <f>ROUND($E$24*(1+N31),3)</f>
        <v>5.1999999999999998E-2</v>
      </c>
      <c r="O32" s="2561">
        <f>ROUND($E$24*(1+O31),3)</f>
        <v>0.05</v>
      </c>
      <c r="P32" s="2561">
        <f>ROUND($E$24*(1+P31),3)</f>
        <v>4.8000000000000001E-2</v>
      </c>
      <c r="Q32" s="3346">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1" t="e">
        <f>ROUND(C5*C22*C23*C24*C25*C28,0)</f>
        <v>#DIV/0!</v>
      </c>
      <c r="D33" s="2094">
        <f>'数据-汇总表'!D3</f>
        <v>23586.720000000001</v>
      </c>
      <c r="E33" s="769" t="e">
        <f>ROUND(C33*D33/10000,0)</f>
        <v>#DIV/0!</v>
      </c>
      <c r="F33" s="3336" t="s">
        <v>3261</v>
      </c>
      <c r="G33" s="2095"/>
      <c r="H33" s="2095"/>
      <c r="I33" s="2095"/>
      <c r="J33" s="2096"/>
      <c r="K33" s="1115"/>
      <c r="L33" s="3339" t="s">
        <v>3264</v>
      </c>
      <c r="M33" s="3340">
        <v>5.5E-2</v>
      </c>
      <c r="N33" s="3340">
        <v>5.5E-2</v>
      </c>
      <c r="O33" s="3340">
        <v>0.05</v>
      </c>
      <c r="P33" s="3340">
        <v>0.05</v>
      </c>
      <c r="Q33" s="3340">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3" t="e">
        <f>ROUND(IF(E2="工业",C33*M42,IF(B25="楼层修正",SUM(V2:V16)*M41*10000/D34,C33*M41)),0)</f>
        <v>#DIV/0!</v>
      </c>
      <c r="D34" s="2099"/>
      <c r="E34" s="769" t="e">
        <f>ROUND(IF(B25="楼层修正",SUM(V2:V16)*M40,C34*D34/10000),0)</f>
        <v>#DIV/0!</v>
      </c>
      <c r="F34" s="2100" t="s">
        <v>2032</v>
      </c>
      <c r="G34" s="2101"/>
      <c r="H34" s="2101"/>
      <c r="I34" s="2101"/>
      <c r="J34" s="2102"/>
      <c r="K34" s="1115"/>
      <c r="L34" s="3339" t="s">
        <v>3265</v>
      </c>
      <c r="M34" s="3340">
        <v>6.5000000000000002E-2</v>
      </c>
      <c r="N34" s="3340">
        <v>6.5000000000000002E-2</v>
      </c>
      <c r="O34" s="3340">
        <v>0.06</v>
      </c>
      <c r="P34" s="3340">
        <v>0.06</v>
      </c>
      <c r="Q34" s="3340">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37" t="s">
        <v>3262</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6" t="s">
        <v>2027</v>
      </c>
      <c r="D36" s="443" t="s">
        <v>2028</v>
      </c>
      <c r="E36" s="443" t="s">
        <v>2029</v>
      </c>
      <c r="F36" s="338" t="s">
        <v>2035</v>
      </c>
      <c r="G36" s="2108" t="s">
        <v>2027</v>
      </c>
      <c r="H36" s="2108" t="s">
        <v>2028</v>
      </c>
      <c r="I36" s="2108" t="s">
        <v>2029</v>
      </c>
      <c r="J36" s="239"/>
      <c r="K36" s="3347" t="s">
        <v>3266</v>
      </c>
      <c r="L36" s="3437">
        <f ca="1">'数据-取费表'!B40</f>
        <v>4.1499999999999995E-2</v>
      </c>
      <c r="M36" s="3348">
        <f ca="1">ROUND($L$36*(1+M31),3)</f>
        <v>5.1999999999999998E-2</v>
      </c>
      <c r="N36" s="3348">
        <f ca="1">ROUND($L$36*(1+N31),3)</f>
        <v>0.05</v>
      </c>
      <c r="O36" s="3348">
        <f ca="1">ROUND($L$36*(1+O31),3)</f>
        <v>4.8000000000000001E-2</v>
      </c>
      <c r="P36" s="3348">
        <f ca="1">ROUND($L$36*(1+P31),3)</f>
        <v>4.5999999999999999E-2</v>
      </c>
      <c r="Q36" s="3348">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22"/>
      <c r="B37" s="2109" t="s">
        <v>2036</v>
      </c>
      <c r="C37" s="171" t="e">
        <f>ROUND(D5*C22*C23*C24*C28*F37,0)</f>
        <v>#DIV/0!</v>
      </c>
      <c r="D37" s="2094"/>
      <c r="E37" s="167" t="e">
        <f>ROUND(C37*D37/10000,0)</f>
        <v>#DIV/0!</v>
      </c>
      <c r="F37" s="167">
        <f>SUMIF(修正!A57:A68,G2,修正!B57:B68)</f>
        <v>0.5</v>
      </c>
      <c r="G37" s="167" t="e">
        <f>ROUND(IF(E2="工业",C37*$M$42,C37*$M$41),0)</f>
        <v>#DIV/0!</v>
      </c>
      <c r="H37" s="167">
        <f>D37</f>
        <v>0</v>
      </c>
      <c r="I37" s="167" t="e">
        <f>ROUND(G37*H37/10000,0)</f>
        <v>#DIV/0!</v>
      </c>
      <c r="J37" s="3002"/>
      <c r="K37" s="3349" t="s">
        <v>3267</v>
      </c>
      <c r="L37" s="3347">
        <f ca="1">L36+K38</f>
        <v>4.6499999999999993E-2</v>
      </c>
      <c r="M37" s="3348">
        <f ca="1">ROUND($L$37*(1+M31),3)</f>
        <v>5.8000000000000003E-2</v>
      </c>
      <c r="N37" s="3348">
        <f t="shared" ref="N37:Q37" ca="1" si="3">ROUND($L$37*(1+N31),3)</f>
        <v>5.6000000000000001E-2</v>
      </c>
      <c r="O37" s="3348">
        <f t="shared" ca="1" si="3"/>
        <v>5.2999999999999999E-2</v>
      </c>
      <c r="P37" s="3348">
        <f t="shared" ca="1" si="3"/>
        <v>5.0999999999999997E-2</v>
      </c>
      <c r="Q37" s="3348">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23"/>
      <c r="B38" s="2037" t="s">
        <v>2037</v>
      </c>
      <c r="C38" s="171" t="e">
        <f>ROUND(D5*C22*C23*C24*C28*F38,0)</f>
        <v>#DIV/0!</v>
      </c>
      <c r="D38" s="2094"/>
      <c r="E38" s="167" t="e">
        <f t="shared" ref="E38:E42" si="4">ROUND(C38*D38/10000,0)</f>
        <v>#DIV/0!</v>
      </c>
      <c r="F38" s="167">
        <f>SUMIF(修正!A57:A68,G2,修正!C57:C68)</f>
        <v>0.2</v>
      </c>
      <c r="G38" s="167" t="e">
        <f>ROUND(IF(E2="工业",C38*$M$42,C38*$M$41),0)</f>
        <v>#DIV/0!</v>
      </c>
      <c r="H38" s="167">
        <f t="shared" ref="H38:H42" si="5">D38</f>
        <v>0</v>
      </c>
      <c r="I38" s="167" t="e">
        <f t="shared" ref="I38:I42" si="6">ROUND(G38*H38/10000,0)</f>
        <v>#DIV/0!</v>
      </c>
      <c r="J38" s="3001"/>
      <c r="K38" s="3347">
        <v>5.0000000000000001E-3</v>
      </c>
      <c r="L38" s="3347"/>
      <c r="M38" s="3347"/>
      <c r="N38" s="3347"/>
      <c r="O38" s="3347"/>
      <c r="P38" s="3347"/>
      <c r="Q38" s="3347"/>
      <c r="R38" s="1115"/>
      <c r="S38" s="1115"/>
      <c r="T38" s="1115"/>
      <c r="U38" s="1115"/>
      <c r="V38" s="1115"/>
      <c r="W38" s="1115"/>
      <c r="X38" s="1115"/>
      <c r="Y38" s="1115"/>
      <c r="Z38" s="1116"/>
      <c r="AA38" s="1116"/>
      <c r="AB38" s="1116"/>
      <c r="AC38" s="1116"/>
      <c r="AD38" s="1116"/>
    </row>
    <row r="39" spans="1:37" ht="13.5" thickBot="1">
      <c r="A39" s="3723"/>
      <c r="B39" s="2037" t="s">
        <v>3260</v>
      </c>
      <c r="C39" s="171" t="e">
        <f>ROUND(D5*C22*C23*C24*C28*F39,0)</f>
        <v>#DIV/0!</v>
      </c>
      <c r="D39" s="2094"/>
      <c r="E39" s="167" t="e">
        <f t="shared" si="4"/>
        <v>#DIV/0!</v>
      </c>
      <c r="F39" s="167">
        <f>SUMIF(修正!A57:A68,G2,修正!D57:D68)</f>
        <v>0.2</v>
      </c>
      <c r="G39" s="167" t="e">
        <f>ROUND(IF(E2="工业",C39*$M$42,C39*$M$41),0)</f>
        <v>#DIV/0!</v>
      </c>
      <c r="H39" s="167">
        <f t="shared" si="5"/>
        <v>0</v>
      </c>
      <c r="I39" s="167" t="e">
        <f t="shared" si="6"/>
        <v>#DIV/0!</v>
      </c>
      <c r="J39" s="3001"/>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67" t="e">
        <f>ROUND(D5*C22*C23*C24*C28*F40,0)</f>
        <v>#DIV/0!</v>
      </c>
      <c r="D40" s="2094"/>
      <c r="E40" s="167" t="e">
        <f t="shared" si="4"/>
        <v>#DIV/0!</v>
      </c>
      <c r="F40" s="171">
        <f>SUMIF(修正!A57:A68,G2,修正!E57:E68)</f>
        <v>0.2</v>
      </c>
      <c r="G40" s="167" t="e">
        <f>ROUND(IF(E2="工业",C40*$M$42,C40*$M$41),0)</f>
        <v>#DIV/0!</v>
      </c>
      <c r="H40" s="167">
        <f t="shared" si="5"/>
        <v>0</v>
      </c>
      <c r="I40" s="167" t="e">
        <f t="shared" si="6"/>
        <v>#DIV/0!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67">
        <f>ROUND(D5*C22*C23*C44*C28*F41,0)</f>
        <v>0</v>
      </c>
      <c r="D41" s="2094"/>
      <c r="E41" s="167">
        <f t="shared" si="4"/>
        <v>0</v>
      </c>
      <c r="F41" s="171">
        <f>SUMIF(修正!A57:A68,G2,修正!F57:F68)</f>
        <v>0.2</v>
      </c>
      <c r="G41" s="167">
        <f>ROUND(IF(E2="工业",C41*$M$42,C41*$M$41),0)</f>
        <v>0</v>
      </c>
      <c r="H41" s="167">
        <f t="shared" si="5"/>
        <v>0</v>
      </c>
      <c r="I41" s="167">
        <f t="shared" si="6"/>
        <v>0</v>
      </c>
      <c r="J41" s="2110"/>
      <c r="L41" s="3350" t="s">
        <v>3268</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3">
        <f>ROUND(D5*C22*C23*C44*C28*F42,0)</f>
        <v>0</v>
      </c>
      <c r="D42" s="2099"/>
      <c r="E42" s="183">
        <f t="shared" si="4"/>
        <v>0</v>
      </c>
      <c r="F42" s="763">
        <f>SUMIF(修正!A57:A68,G2,修正!G57:G68)</f>
        <v>0.1</v>
      </c>
      <c r="G42" s="183">
        <f>ROUND(IF(E2="工业",C42*$M$42,C42*$M$41),0)</f>
        <v>0</v>
      </c>
      <c r="H42" s="183">
        <f t="shared" si="5"/>
        <v>0</v>
      </c>
      <c r="I42" s="183">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38">
        <f>ROUND(POWER(1+E44,H44-G44)*(POWER(1+E44,G44)-1)/(POWER(1+E44,H44)-1),4)</f>
        <v>0</v>
      </c>
      <c r="D44" s="167" t="s">
        <v>1999</v>
      </c>
      <c r="E44" s="2149">
        <f>G24</f>
        <v>0.05</v>
      </c>
      <c r="F44" s="167" t="s">
        <v>2008</v>
      </c>
      <c r="G44" s="179"/>
      <c r="H44" s="167">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2044</v>
      </c>
      <c r="B49" s="1347" t="s">
        <v>2045</v>
      </c>
      <c r="C49" s="1347" t="s">
        <v>2046</v>
      </c>
      <c r="D49" s="1347" t="s">
        <v>2047</v>
      </c>
      <c r="E49" s="739" t="s">
        <v>2048</v>
      </c>
      <c r="F49" s="2127" t="s">
        <v>2049</v>
      </c>
      <c r="G49" s="1347" t="s">
        <v>310</v>
      </c>
      <c r="H49" s="2128" t="s">
        <v>2050</v>
      </c>
      <c r="I49" s="1347" t="s">
        <v>2051</v>
      </c>
      <c r="J49" s="548" t="s">
        <v>1721</v>
      </c>
      <c r="K49" s="548" t="s">
        <v>1722</v>
      </c>
      <c r="L49" s="548" t="s">
        <v>1723</v>
      </c>
      <c r="M49" s="548" t="s">
        <v>1724</v>
      </c>
      <c r="N49" s="548" t="s">
        <v>1725</v>
      </c>
      <c r="AA49" s="1116"/>
      <c r="AB49" s="1116"/>
      <c r="AC49" s="1116"/>
      <c r="AD49" s="1116"/>
      <c r="AE49" s="1116"/>
      <c r="AF49" s="1116"/>
      <c r="AG49" s="1116"/>
      <c r="AH49" s="1116"/>
      <c r="AI49" s="1116"/>
      <c r="AJ49" s="1116"/>
      <c r="AK49" s="1116"/>
    </row>
    <row r="50" spans="1:37" s="1115" customFormat="1" ht="38.25" hidden="1">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57">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57">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59" t="s">
        <v>3270</v>
      </c>
      <c r="B52" s="2130">
        <f>估价对象房地状况!C19</f>
        <v>0</v>
      </c>
      <c r="C52" s="2040"/>
      <c r="D52" s="1061">
        <f t="shared" si="7"/>
        <v>0</v>
      </c>
      <c r="E52" s="741"/>
      <c r="F52" s="1810"/>
      <c r="G52" s="1059"/>
      <c r="H52" s="1062" t="str">
        <f t="shared" si="8"/>
        <v>——</v>
      </c>
      <c r="I52" s="3357">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2054</v>
      </c>
      <c r="B53" s="2131" t="s">
        <v>2055</v>
      </c>
      <c r="C53" s="2040"/>
      <c r="D53" s="1061">
        <f t="shared" si="7"/>
        <v>0</v>
      </c>
      <c r="E53" s="741"/>
      <c r="F53" s="1810"/>
      <c r="G53" s="1059"/>
      <c r="H53" s="1062" t="str">
        <f t="shared" si="8"/>
        <v>——</v>
      </c>
      <c r="I53" s="3357">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2056</v>
      </c>
      <c r="B54" s="2130">
        <f>估价对象房地状况!C24</f>
        <v>0</v>
      </c>
      <c r="C54" s="2040"/>
      <c r="D54" s="1061">
        <f t="shared" si="7"/>
        <v>0</v>
      </c>
      <c r="E54" s="741"/>
      <c r="F54" s="1810"/>
      <c r="G54" s="1059"/>
      <c r="H54" s="1062" t="str">
        <f t="shared" si="8"/>
        <v>——</v>
      </c>
      <c r="I54" s="3357">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2057</v>
      </c>
      <c r="B55" s="2132" t="s">
        <v>2058</v>
      </c>
      <c r="C55" s="2040"/>
      <c r="D55" s="1061">
        <f t="shared" si="7"/>
        <v>0</v>
      </c>
      <c r="E55" s="741"/>
      <c r="F55" s="1810"/>
      <c r="G55" s="1059"/>
      <c r="H55" s="1062" t="str">
        <f t="shared" si="8"/>
        <v>——</v>
      </c>
      <c r="I55" s="3357">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2059</v>
      </c>
      <c r="B56" s="1322" t="str">
        <f>估价对象房地状况!C21</f>
        <v>估价对象所在区域公共配套设施齐备情况</v>
      </c>
      <c r="C56" s="2040"/>
      <c r="D56" s="1061">
        <f t="shared" si="7"/>
        <v>0</v>
      </c>
      <c r="E56" s="741"/>
      <c r="F56" s="1810"/>
      <c r="G56" s="1059"/>
      <c r="H56" s="1062" t="str">
        <f t="shared" si="8"/>
        <v>——</v>
      </c>
      <c r="I56" s="3357">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2060</v>
      </c>
      <c r="B57" s="2130" t="str">
        <f>估价对象房地状况!C22</f>
        <v>估价对象所在区域基础设施水平</v>
      </c>
      <c r="C57" s="2040"/>
      <c r="D57" s="1061">
        <f t="shared" si="7"/>
        <v>0</v>
      </c>
      <c r="E57" s="741"/>
      <c r="F57" s="1810"/>
      <c r="G57" s="1059"/>
      <c r="H57" s="1062" t="str">
        <f t="shared" si="8"/>
        <v>——</v>
      </c>
      <c r="I57" s="3357">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58">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2044</v>
      </c>
      <c r="B60" s="1347"/>
      <c r="C60" s="1347" t="s">
        <v>2046</v>
      </c>
      <c r="D60" s="1347" t="s">
        <v>2047</v>
      </c>
      <c r="E60" s="739" t="s">
        <v>2048</v>
      </c>
      <c r="F60" s="2127" t="s">
        <v>2063</v>
      </c>
      <c r="G60" s="1347" t="s">
        <v>310</v>
      </c>
      <c r="H60" s="2128" t="s">
        <v>2050</v>
      </c>
      <c r="I60" s="1347" t="s">
        <v>2051</v>
      </c>
      <c r="J60" s="548" t="s">
        <v>1721</v>
      </c>
      <c r="K60" s="548" t="s">
        <v>1722</v>
      </c>
      <c r="L60" s="548" t="s">
        <v>1723</v>
      </c>
      <c r="M60" s="548" t="s">
        <v>1724</v>
      </c>
      <c r="N60" s="548" t="s">
        <v>1725</v>
      </c>
      <c r="AA60" s="1116"/>
      <c r="AB60" s="1116"/>
      <c r="AC60" s="1116"/>
      <c r="AD60" s="1116"/>
      <c r="AE60" s="1116"/>
      <c r="AF60" s="1116"/>
      <c r="AG60" s="1116"/>
      <c r="AH60" s="1116"/>
      <c r="AI60" s="1116"/>
      <c r="AJ60" s="1116"/>
      <c r="AK60" s="1116"/>
    </row>
    <row r="61" spans="1:37" s="1115" customFormat="1" ht="38.25" hidden="1">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57">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57">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59" t="s">
        <v>3270</v>
      </c>
      <c r="B63" s="2130">
        <f>估价对象房地状况!C19</f>
        <v>0</v>
      </c>
      <c r="C63" s="2040"/>
      <c r="D63" s="1061">
        <f t="shared" si="12"/>
        <v>0</v>
      </c>
      <c r="E63" s="741"/>
      <c r="F63" s="1810"/>
      <c r="G63" s="1059"/>
      <c r="H63" s="1062" t="str">
        <f t="shared" si="13"/>
        <v>——</v>
      </c>
      <c r="I63" s="3357">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2054</v>
      </c>
      <c r="B64" s="2131" t="s">
        <v>2055</v>
      </c>
      <c r="C64" s="2040"/>
      <c r="D64" s="1061">
        <f t="shared" si="12"/>
        <v>0</v>
      </c>
      <c r="E64" s="741"/>
      <c r="F64" s="1810"/>
      <c r="G64" s="1059"/>
      <c r="H64" s="1062" t="str">
        <f t="shared" si="13"/>
        <v>——</v>
      </c>
      <c r="I64" s="3357">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2056</v>
      </c>
      <c r="B65" s="2130">
        <f>估价对象房地状况!C24</f>
        <v>0</v>
      </c>
      <c r="C65" s="2040"/>
      <c r="D65" s="1061">
        <f t="shared" si="12"/>
        <v>0</v>
      </c>
      <c r="E65" s="741"/>
      <c r="F65" s="1810"/>
      <c r="G65" s="1059"/>
      <c r="H65" s="1062" t="str">
        <f t="shared" si="13"/>
        <v>——</v>
      </c>
      <c r="I65" s="3357">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2057</v>
      </c>
      <c r="B66" s="2132" t="s">
        <v>2058</v>
      </c>
      <c r="C66" s="2040"/>
      <c r="D66" s="1061">
        <f t="shared" si="12"/>
        <v>0</v>
      </c>
      <c r="E66" s="741"/>
      <c r="F66" s="1810"/>
      <c r="G66" s="1059"/>
      <c r="H66" s="1062" t="str">
        <f t="shared" si="13"/>
        <v>——</v>
      </c>
      <c r="I66" s="3357">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2059</v>
      </c>
      <c r="B67" s="1322" t="str">
        <f>估价对象房地状况!C21</f>
        <v>估价对象所在区域公共配套设施齐备情况</v>
      </c>
      <c r="C67" s="2040"/>
      <c r="D67" s="1061">
        <f t="shared" si="12"/>
        <v>0</v>
      </c>
      <c r="E67" s="741"/>
      <c r="F67" s="1810"/>
      <c r="G67" s="1059"/>
      <c r="H67" s="1062" t="str">
        <f t="shared" si="13"/>
        <v>——</v>
      </c>
      <c r="I67" s="3357">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2060</v>
      </c>
      <c r="B68" s="1322" t="str">
        <f>估价对象房地状况!C22</f>
        <v>估价对象所在区域基础设施水平</v>
      </c>
      <c r="C68" s="2040"/>
      <c r="D68" s="1061">
        <f t="shared" si="12"/>
        <v>0</v>
      </c>
      <c r="E68" s="741"/>
      <c r="F68" s="1810"/>
      <c r="G68" s="1059"/>
      <c r="H68" s="1062" t="str">
        <f t="shared" si="13"/>
        <v>——</v>
      </c>
      <c r="I68" s="3357">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58">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hidden="1">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2044</v>
      </c>
      <c r="B71" s="1347"/>
      <c r="C71" s="1347" t="s">
        <v>2046</v>
      </c>
      <c r="D71" s="1347" t="s">
        <v>2047</v>
      </c>
      <c r="E71" s="739" t="s">
        <v>2048</v>
      </c>
      <c r="F71" s="2127" t="s">
        <v>2063</v>
      </c>
      <c r="G71" s="1347" t="s">
        <v>310</v>
      </c>
      <c r="H71" s="2128" t="s">
        <v>2050</v>
      </c>
      <c r="I71" s="1347" t="s">
        <v>2051</v>
      </c>
      <c r="J71" s="548" t="s">
        <v>1721</v>
      </c>
      <c r="K71" s="548" t="s">
        <v>1722</v>
      </c>
      <c r="L71" s="548" t="s">
        <v>1723</v>
      </c>
      <c r="M71" s="548" t="s">
        <v>1724</v>
      </c>
      <c r="N71" s="548" t="s">
        <v>1725</v>
      </c>
      <c r="AA71" s="1116"/>
      <c r="AB71" s="1116"/>
      <c r="AC71" s="1116"/>
      <c r="AD71" s="1116"/>
      <c r="AE71" s="1116"/>
      <c r="AF71" s="1116"/>
      <c r="AG71" s="1116"/>
      <c r="AH71" s="1116"/>
      <c r="AI71" s="1116"/>
      <c r="AJ71" s="1116"/>
      <c r="AK71" s="1116"/>
    </row>
    <row r="72" spans="1:37" s="1115" customFormat="1" ht="51" hidden="1">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57">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hidden="1">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57">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hidden="1">
      <c r="A74" s="3359" t="s">
        <v>3270</v>
      </c>
      <c r="B74" s="2130">
        <f>估价对象房地状况!C19</f>
        <v>0</v>
      </c>
      <c r="C74" s="2040"/>
      <c r="D74" s="1061">
        <f t="shared" si="17"/>
        <v>0</v>
      </c>
      <c r="E74" s="743"/>
      <c r="F74" s="1810"/>
      <c r="G74" s="1059"/>
      <c r="H74" s="1062" t="str">
        <f t="shared" si="18"/>
        <v>——</v>
      </c>
      <c r="I74" s="3357">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hidden="1">
      <c r="A75" s="2126" t="s">
        <v>2067</v>
      </c>
      <c r="B75" s="2130">
        <f>估价对象房地状况!C24</f>
        <v>0</v>
      </c>
      <c r="C75" s="2040"/>
      <c r="D75" s="1061">
        <f t="shared" si="17"/>
        <v>0</v>
      </c>
      <c r="E75" s="743"/>
      <c r="F75" s="1810"/>
      <c r="G75" s="1059"/>
      <c r="H75" s="1062" t="str">
        <f t="shared" si="18"/>
        <v>——</v>
      </c>
      <c r="I75" s="3357">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hidden="1">
      <c r="A76" s="2126" t="s">
        <v>2059</v>
      </c>
      <c r="B76" s="1322" t="str">
        <f>估价对象房地状况!C21</f>
        <v>估价对象所在区域公共配套设施齐备情况</v>
      </c>
      <c r="C76" s="2040"/>
      <c r="D76" s="1061">
        <f t="shared" si="17"/>
        <v>0</v>
      </c>
      <c r="E76" s="743"/>
      <c r="F76" s="1810"/>
      <c r="G76" s="1059"/>
      <c r="H76" s="1062" t="str">
        <f t="shared" si="18"/>
        <v>——</v>
      </c>
      <c r="I76" s="3357">
        <v>0.08</v>
      </c>
      <c r="J76" s="1060">
        <f t="shared" si="19"/>
        <v>0</v>
      </c>
      <c r="K76" s="1060">
        <f t="shared" si="20"/>
        <v>0</v>
      </c>
      <c r="L76" s="1060">
        <v>0</v>
      </c>
      <c r="M76" s="1060">
        <f t="shared" si="21"/>
        <v>0</v>
      </c>
      <c r="N76" s="1060">
        <f t="shared" si="21"/>
        <v>0</v>
      </c>
      <c r="O76" s="1115"/>
      <c r="P76" s="1115"/>
      <c r="Z76" s="1994"/>
      <c r="AA76" s="2049"/>
      <c r="AG76" s="1117"/>
      <c r="AK76" s="2049"/>
    </row>
    <row r="77" spans="1:37" ht="25.5" hidden="1">
      <c r="A77" s="2126" t="s">
        <v>2060</v>
      </c>
      <c r="B77" s="1322" t="str">
        <f>估价对象房地状况!C22</f>
        <v>估价对象所在区域基础设施水平</v>
      </c>
      <c r="C77" s="2040"/>
      <c r="D77" s="1061">
        <f t="shared" si="17"/>
        <v>0</v>
      </c>
      <c r="E77" s="743"/>
      <c r="F77" s="1810"/>
      <c r="G77" s="1059"/>
      <c r="H77" s="1062" t="str">
        <f t="shared" si="18"/>
        <v>——</v>
      </c>
      <c r="I77" s="3357">
        <v>0.09</v>
      </c>
      <c r="J77" s="1060">
        <f t="shared" si="19"/>
        <v>0</v>
      </c>
      <c r="K77" s="1060">
        <f t="shared" si="20"/>
        <v>0</v>
      </c>
      <c r="L77" s="1060">
        <v>0</v>
      </c>
      <c r="M77" s="1060">
        <f t="shared" si="21"/>
        <v>0</v>
      </c>
      <c r="N77" s="1060">
        <f t="shared" si="21"/>
        <v>0</v>
      </c>
      <c r="O77" s="1115"/>
      <c r="P77" s="1115"/>
      <c r="Z77" s="1994"/>
      <c r="AA77" s="2049"/>
      <c r="AG77" s="1117"/>
      <c r="AK77" s="2049"/>
    </row>
    <row r="78" spans="1:37" ht="24" hidden="1">
      <c r="A78" s="2126" t="s">
        <v>2057</v>
      </c>
      <c r="B78" s="2132" t="s">
        <v>2058</v>
      </c>
      <c r="C78" s="2040"/>
      <c r="D78" s="1061">
        <f t="shared" si="17"/>
        <v>0</v>
      </c>
      <c r="E78" s="743"/>
      <c r="F78" s="1810"/>
      <c r="G78" s="1059"/>
      <c r="H78" s="1062" t="str">
        <f t="shared" si="18"/>
        <v>——</v>
      </c>
      <c r="I78" s="3357">
        <v>0.05</v>
      </c>
      <c r="J78" s="1060">
        <f t="shared" si="19"/>
        <v>0</v>
      </c>
      <c r="K78" s="1060">
        <f t="shared" si="20"/>
        <v>0</v>
      </c>
      <c r="L78" s="1060">
        <v>0</v>
      </c>
      <c r="M78" s="1060">
        <f t="shared" si="21"/>
        <v>0</v>
      </c>
      <c r="N78" s="1060">
        <f t="shared" si="21"/>
        <v>0</v>
      </c>
      <c r="O78" s="1993"/>
      <c r="P78" s="1993"/>
      <c r="Z78" s="1994"/>
      <c r="AA78" s="2049"/>
      <c r="AG78" s="1117"/>
      <c r="AK78" s="2049"/>
    </row>
    <row r="79" spans="1:37" ht="25.5" hidden="1">
      <c r="A79" s="2126" t="s">
        <v>2061</v>
      </c>
      <c r="B79" s="2129" t="str">
        <f>估价对象房地状况!C20</f>
        <v>区域自然环境：；人文环境；综合评价环境状况一般</v>
      </c>
      <c r="C79" s="2040"/>
      <c r="D79" s="1061">
        <f t="shared" si="17"/>
        <v>0</v>
      </c>
      <c r="E79" s="743"/>
      <c r="F79" s="1810"/>
      <c r="G79" s="1059"/>
      <c r="H79" s="1062" t="str">
        <f t="shared" si="18"/>
        <v>——</v>
      </c>
      <c r="I79" s="3357">
        <v>0.12</v>
      </c>
      <c r="J79" s="1060">
        <f t="shared" si="19"/>
        <v>0</v>
      </c>
      <c r="K79" s="1060">
        <f t="shared" si="20"/>
        <v>0</v>
      </c>
      <c r="L79" s="1060">
        <v>0</v>
      </c>
      <c r="M79" s="1060">
        <f t="shared" si="21"/>
        <v>0</v>
      </c>
      <c r="N79" s="1060">
        <f t="shared" si="21"/>
        <v>0</v>
      </c>
      <c r="Z79" s="1994"/>
      <c r="AA79" s="2049"/>
      <c r="AG79" s="1117"/>
      <c r="AK79" s="2049"/>
    </row>
    <row r="80" spans="1:37" ht="24.75" hidden="1" thickBot="1">
      <c r="A80" s="2134" t="s">
        <v>2068</v>
      </c>
      <c r="B80" s="2138"/>
      <c r="C80" s="2040"/>
      <c r="D80" s="1061">
        <f t="shared" si="17"/>
        <v>0</v>
      </c>
      <c r="E80" s="744"/>
      <c r="F80" s="1810"/>
      <c r="G80" s="1059"/>
      <c r="H80" s="1062" t="str">
        <f t="shared" si="18"/>
        <v>——</v>
      </c>
      <c r="I80" s="3358">
        <v>0.05</v>
      </c>
      <c r="J80" s="1060">
        <f t="shared" si="19"/>
        <v>0</v>
      </c>
      <c r="K80" s="1060">
        <f t="shared" si="20"/>
        <v>0</v>
      </c>
      <c r="L80" s="1060">
        <v>0</v>
      </c>
      <c r="M80" s="1060">
        <f t="shared" si="21"/>
        <v>0</v>
      </c>
      <c r="N80" s="1060">
        <f t="shared" si="21"/>
        <v>0</v>
      </c>
      <c r="Z80" s="1994"/>
      <c r="AA80" s="2049"/>
      <c r="AG80" s="1117"/>
      <c r="AK80" s="2049"/>
    </row>
    <row r="81" spans="1:37" ht="15">
      <c r="A81" s="2122" t="s">
        <v>2069</v>
      </c>
      <c r="B81" s="2123">
        <f>1+E83</f>
        <v>0.96779999999999999</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48" t="s">
        <v>1721</v>
      </c>
      <c r="K82" s="548" t="s">
        <v>1722</v>
      </c>
      <c r="L82" s="548" t="s">
        <v>1723</v>
      </c>
      <c r="M82" s="548" t="s">
        <v>1724</v>
      </c>
      <c r="N82" s="548" t="s">
        <v>1725</v>
      </c>
      <c r="Z82" s="1994"/>
      <c r="AA82" s="2049"/>
      <c r="AG82" s="1117"/>
      <c r="AK82" s="2049"/>
    </row>
    <row r="83" spans="1:37" ht="38.25">
      <c r="A83" s="2126" t="s">
        <v>2070</v>
      </c>
      <c r="B83" s="2130" t="str">
        <f>估价对象房地状况!G15</f>
        <v>估价对象位于XX开发区，园区建设成熟度XX，产业集聚程度XX</v>
      </c>
      <c r="C83" s="2040" t="s">
        <v>3394</v>
      </c>
      <c r="D83" s="1061">
        <f t="shared" ref="D83:D90" si="22">SUMIF($J$82:$N$82,C83,J83:N83)</f>
        <v>-1.95E-2</v>
      </c>
      <c r="E83" s="740">
        <f>ROUND(SUM(D83:D90),4)</f>
        <v>-3.2199999999999999E-2</v>
      </c>
      <c r="F83" s="1810">
        <f>IF(E2="工业",SUMIF(L1:L12,G2,N1:N12),"——")</f>
        <v>0.15</v>
      </c>
      <c r="G83" s="1059">
        <v>1.95E-2</v>
      </c>
      <c r="H83" s="1062">
        <f t="shared" ref="H83:H90" si="23">IFERROR(ROUNDDOWN($F$83*I83/2,4),"——")</f>
        <v>1.95E-2</v>
      </c>
      <c r="I83" s="3357">
        <v>0.26</v>
      </c>
      <c r="J83" s="1060">
        <f t="shared" ref="J83:J90" si="24">K83+$G83</f>
        <v>3.9E-2</v>
      </c>
      <c r="K83" s="1060">
        <f t="shared" ref="K83:K90" si="25">$L83+$G83</f>
        <v>1.95E-2</v>
      </c>
      <c r="L83" s="1060">
        <v>0</v>
      </c>
      <c r="M83" s="1060">
        <f t="shared" ref="M83:N90" si="26">L83-$G83</f>
        <v>-1.95E-2</v>
      </c>
      <c r="N83" s="1060">
        <f t="shared" si="26"/>
        <v>-3.9E-2</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t="s">
        <v>3394</v>
      </c>
      <c r="D84" s="1061">
        <f t="shared" si="22"/>
        <v>-2.2499999999999999E-2</v>
      </c>
      <c r="E84" s="743"/>
      <c r="F84" s="1810"/>
      <c r="G84" s="1059">
        <v>2.2499999999999999E-2</v>
      </c>
      <c r="H84" s="1062">
        <f t="shared" si="23"/>
        <v>2.2499999999999999E-2</v>
      </c>
      <c r="I84" s="3357">
        <v>0.3</v>
      </c>
      <c r="J84" s="1060">
        <f t="shared" si="24"/>
        <v>4.4999999999999998E-2</v>
      </c>
      <c r="K84" s="1060">
        <f t="shared" si="25"/>
        <v>2.2499999999999999E-2</v>
      </c>
      <c r="L84" s="1060">
        <v>0</v>
      </c>
      <c r="M84" s="1060">
        <f t="shared" si="26"/>
        <v>-2.2499999999999999E-2</v>
      </c>
      <c r="N84" s="1060">
        <f t="shared" si="26"/>
        <v>-4.4999999999999998E-2</v>
      </c>
      <c r="Z84" s="1994"/>
      <c r="AA84" s="2049"/>
      <c r="AG84" s="1117"/>
      <c r="AK84" s="2049"/>
    </row>
    <row r="85" spans="1:37" ht="36">
      <c r="A85" s="3359" t="s">
        <v>3271</v>
      </c>
      <c r="B85" s="2130">
        <f>估价对象房地状况!G17</f>
        <v>0</v>
      </c>
      <c r="C85" s="2040" t="s">
        <v>3395</v>
      </c>
      <c r="D85" s="1061">
        <f t="shared" si="22"/>
        <v>0</v>
      </c>
      <c r="E85" s="743"/>
      <c r="F85" s="1810"/>
      <c r="G85" s="1059">
        <v>7.4999999999999997E-3</v>
      </c>
      <c r="H85" s="1062">
        <f t="shared" si="23"/>
        <v>7.4999999999999997E-3</v>
      </c>
      <c r="I85" s="3357">
        <v>0.1</v>
      </c>
      <c r="J85" s="1060">
        <f t="shared" si="24"/>
        <v>1.4999999999999999E-2</v>
      </c>
      <c r="K85" s="1060">
        <f t="shared" si="25"/>
        <v>7.4999999999999997E-3</v>
      </c>
      <c r="L85" s="1060">
        <v>0</v>
      </c>
      <c r="M85" s="1060">
        <f t="shared" si="26"/>
        <v>-7.4999999999999997E-3</v>
      </c>
      <c r="N85" s="1060">
        <f t="shared" si="26"/>
        <v>-1.4999999999999999E-2</v>
      </c>
      <c r="Z85" s="1994"/>
      <c r="AA85" s="2049"/>
      <c r="AG85" s="1117"/>
      <c r="AK85" s="2049"/>
    </row>
    <row r="86" spans="1:37" ht="14.25">
      <c r="A86" s="2126" t="s">
        <v>2067</v>
      </c>
      <c r="B86" s="2130">
        <f>估价对象房地状况!G22</f>
        <v>0</v>
      </c>
      <c r="C86" s="2040" t="s">
        <v>3394</v>
      </c>
      <c r="D86" s="1061">
        <f t="shared" si="22"/>
        <v>-3.7000000000000002E-3</v>
      </c>
      <c r="E86" s="743"/>
      <c r="F86" s="1810"/>
      <c r="G86" s="1059">
        <v>3.7000000000000002E-3</v>
      </c>
      <c r="H86" s="1062">
        <f t="shared" si="23"/>
        <v>3.7000000000000002E-3</v>
      </c>
      <c r="I86" s="3357">
        <v>0.05</v>
      </c>
      <c r="J86" s="1060">
        <f t="shared" si="24"/>
        <v>7.4000000000000003E-3</v>
      </c>
      <c r="K86" s="1060">
        <f t="shared" si="25"/>
        <v>3.7000000000000002E-3</v>
      </c>
      <c r="L86" s="1060">
        <v>0</v>
      </c>
      <c r="M86" s="1060">
        <f t="shared" si="26"/>
        <v>-3.7000000000000002E-3</v>
      </c>
      <c r="N86" s="1060">
        <f t="shared" si="26"/>
        <v>-7.4000000000000003E-3</v>
      </c>
      <c r="Z86" s="1994"/>
      <c r="AA86" s="2049"/>
      <c r="AG86" s="1117"/>
      <c r="AK86" s="2049"/>
    </row>
    <row r="87" spans="1:37" ht="25.5">
      <c r="A87" s="2126" t="s">
        <v>2059</v>
      </c>
      <c r="B87" s="1322" t="str">
        <f>估价对象房地状况!G19</f>
        <v>估价对象所在区域公共配套设施齐备情况</v>
      </c>
      <c r="C87" s="2040" t="s">
        <v>3395</v>
      </c>
      <c r="D87" s="1061">
        <f t="shared" si="22"/>
        <v>0</v>
      </c>
      <c r="E87" s="743"/>
      <c r="F87" s="1810"/>
      <c r="G87" s="1059">
        <v>4.4999999999999997E-3</v>
      </c>
      <c r="H87" s="1062">
        <f t="shared" si="23"/>
        <v>4.4999999999999997E-3</v>
      </c>
      <c r="I87" s="3357">
        <v>0.06</v>
      </c>
      <c r="J87" s="1060">
        <f t="shared" si="24"/>
        <v>8.9999999999999993E-3</v>
      </c>
      <c r="K87" s="1060">
        <f t="shared" si="25"/>
        <v>4.4999999999999997E-3</v>
      </c>
      <c r="L87" s="1060">
        <v>0</v>
      </c>
      <c r="M87" s="1060">
        <f t="shared" si="26"/>
        <v>-4.4999999999999997E-3</v>
      </c>
      <c r="N87" s="1060">
        <f t="shared" si="26"/>
        <v>-8.9999999999999993E-3</v>
      </c>
    </row>
    <row r="88" spans="1:37" ht="25.5">
      <c r="A88" s="2126" t="s">
        <v>2060</v>
      </c>
      <c r="B88" s="1322" t="str">
        <f>估价对象房地状况!G20</f>
        <v>估价对象所在区域基础设施水平</v>
      </c>
      <c r="C88" s="2040" t="s">
        <v>3396</v>
      </c>
      <c r="D88" s="1061">
        <f t="shared" si="22"/>
        <v>8.9999999999999993E-3</v>
      </c>
      <c r="E88" s="743"/>
      <c r="F88" s="1810"/>
      <c r="G88" s="1059">
        <v>8.9999999999999993E-3</v>
      </c>
      <c r="H88" s="1062">
        <f t="shared" si="23"/>
        <v>8.9999999999999993E-3</v>
      </c>
      <c r="I88" s="3357">
        <v>0.12</v>
      </c>
      <c r="J88" s="1060">
        <f t="shared" si="24"/>
        <v>1.7999999999999999E-2</v>
      </c>
      <c r="K88" s="1060">
        <f t="shared" si="25"/>
        <v>8.9999999999999993E-3</v>
      </c>
      <c r="L88" s="1060">
        <v>0</v>
      </c>
      <c r="M88" s="1060">
        <f t="shared" si="26"/>
        <v>-8.9999999999999993E-3</v>
      </c>
      <c r="N88" s="1060">
        <f t="shared" si="26"/>
        <v>-1.7999999999999999E-2</v>
      </c>
    </row>
    <row r="89" spans="1:37" ht="24">
      <c r="A89" s="2126" t="s">
        <v>2057</v>
      </c>
      <c r="B89" s="2132" t="s">
        <v>2071</v>
      </c>
      <c r="C89" s="2040" t="s">
        <v>3396</v>
      </c>
      <c r="D89" s="1061">
        <f t="shared" si="22"/>
        <v>4.4999999999999997E-3</v>
      </c>
      <c r="E89" s="743"/>
      <c r="F89" s="1810"/>
      <c r="G89" s="1059">
        <v>4.4999999999999997E-3</v>
      </c>
      <c r="H89" s="1062">
        <f t="shared" si="23"/>
        <v>4.4999999999999997E-3</v>
      </c>
      <c r="I89" s="3357">
        <v>0.06</v>
      </c>
      <c r="J89" s="1060">
        <f t="shared" si="24"/>
        <v>8.9999999999999993E-3</v>
      </c>
      <c r="K89" s="1060">
        <f t="shared" si="25"/>
        <v>4.4999999999999997E-3</v>
      </c>
      <c r="L89" s="1060">
        <v>0</v>
      </c>
      <c r="M89" s="1060">
        <f t="shared" si="26"/>
        <v>-4.4999999999999997E-3</v>
      </c>
      <c r="N89" s="1060">
        <f t="shared" si="26"/>
        <v>-8.9999999999999993E-3</v>
      </c>
    </row>
    <row r="90" spans="1:37" ht="39" thickBot="1">
      <c r="A90" s="2134" t="s">
        <v>2072</v>
      </c>
      <c r="B90" s="2139" t="str">
        <f>估价对象房地状况!G18</f>
        <v>该园区内是否有污染型企业，绿化情况，卫生条件，整体环境状况判断</v>
      </c>
      <c r="C90" s="2040" t="s">
        <v>3395</v>
      </c>
      <c r="D90" s="1061">
        <f t="shared" si="22"/>
        <v>0</v>
      </c>
      <c r="E90" s="744"/>
      <c r="F90" s="1810"/>
      <c r="G90" s="1059">
        <v>3.7000000000000002E-3</v>
      </c>
      <c r="H90" s="1062">
        <f t="shared" si="23"/>
        <v>3.7000000000000002E-3</v>
      </c>
      <c r="I90" s="3358">
        <v>0.05</v>
      </c>
      <c r="J90" s="1060">
        <f t="shared" si="24"/>
        <v>7.4000000000000003E-3</v>
      </c>
      <c r="K90" s="1060">
        <f t="shared" si="25"/>
        <v>3.7000000000000002E-3</v>
      </c>
      <c r="L90" s="1060">
        <v>0</v>
      </c>
      <c r="M90" s="1060">
        <f t="shared" si="26"/>
        <v>-3.7000000000000002E-3</v>
      </c>
      <c r="N90" s="1060">
        <f t="shared" si="26"/>
        <v>-7.4000000000000003E-3</v>
      </c>
    </row>
    <row r="91" spans="1:37" ht="15">
      <c r="A91" s="3367" t="s">
        <v>2609</v>
      </c>
      <c r="B91" s="3368">
        <f>1+E93</f>
        <v>1</v>
      </c>
      <c r="C91" s="3361"/>
      <c r="D91" s="3362"/>
      <c r="E91" s="1810"/>
      <c r="F91" s="1810"/>
      <c r="G91" s="3363"/>
      <c r="H91" s="3364"/>
      <c r="I91" s="3365"/>
      <c r="J91" s="3366"/>
      <c r="K91" s="3366"/>
      <c r="L91" s="3366"/>
      <c r="M91" s="3366"/>
      <c r="N91" s="3366"/>
    </row>
    <row r="92" spans="1:37" ht="24.75">
      <c r="A92" s="3369" t="s">
        <v>3272</v>
      </c>
      <c r="B92" s="3356"/>
      <c r="C92" s="3356" t="s">
        <v>3281</v>
      </c>
      <c r="D92" s="3356" t="s">
        <v>3282</v>
      </c>
      <c r="E92" s="3338" t="s">
        <v>3283</v>
      </c>
      <c r="F92" s="3371" t="s">
        <v>3284</v>
      </c>
      <c r="G92" s="3356" t="s">
        <v>3285</v>
      </c>
      <c r="H92" s="3378" t="s">
        <v>3288</v>
      </c>
      <c r="I92" s="3356" t="s">
        <v>3289</v>
      </c>
      <c r="J92" s="3379" t="s">
        <v>3290</v>
      </c>
      <c r="K92" s="3379" t="s">
        <v>3291</v>
      </c>
      <c r="L92" s="3379" t="s">
        <v>3292</v>
      </c>
      <c r="M92" s="3379" t="s">
        <v>3293</v>
      </c>
      <c r="N92" s="3379" t="s">
        <v>3294</v>
      </c>
    </row>
    <row r="93" spans="1:37" ht="24">
      <c r="A93" s="3359" t="s">
        <v>3273</v>
      </c>
      <c r="B93" s="1302"/>
      <c r="C93" s="2040"/>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38.25">
      <c r="A94" s="3369" t="s">
        <v>3274</v>
      </c>
      <c r="B94" s="3360" t="str">
        <f>估价对象房地状况!C18</f>
        <v>估价对象周边道路状况、公共交通通达情况、停车便捷程度，综合评价交通便捷度较好</v>
      </c>
      <c r="C94" s="2040"/>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3270</v>
      </c>
      <c r="B95" s="3360">
        <f>估价对象房地状况!C19</f>
        <v>0</v>
      </c>
      <c r="C95" s="2040"/>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3275</v>
      </c>
      <c r="B96" s="3375" t="s">
        <v>3286</v>
      </c>
      <c r="C96" s="2040"/>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3276</v>
      </c>
      <c r="B97" s="3360">
        <f>估价对象房地状况!C24</f>
        <v>0</v>
      </c>
      <c r="C97" s="2040"/>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3277</v>
      </c>
      <c r="B98" s="3376" t="s">
        <v>3287</v>
      </c>
      <c r="C98" s="2040"/>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5.5">
      <c r="A99" s="3369" t="s">
        <v>3278</v>
      </c>
      <c r="B99" s="3360" t="str">
        <f>估价对象房地状况!C21</f>
        <v>估价对象所在区域公共配套设施齐备情况</v>
      </c>
      <c r="C99" s="2040"/>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5.5">
      <c r="A100" s="3369" t="s">
        <v>3279</v>
      </c>
      <c r="B100" s="3360" t="str">
        <f>估价对象房地状况!C22</f>
        <v>估价对象所在区域基础设施水平</v>
      </c>
      <c r="C100" s="2040"/>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6.25" thickBot="1">
      <c r="A101" s="3370" t="s">
        <v>3280</v>
      </c>
      <c r="B101" s="3377" t="str">
        <f>估价对象房地状况!C20</f>
        <v>区域自然环境：；人文环境；综合评价环境状况一般</v>
      </c>
      <c r="C101" s="2040"/>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20" t="s">
        <v>3295</v>
      </c>
      <c r="B103" s="3720"/>
      <c r="C103" s="3720"/>
      <c r="D103" s="3720"/>
      <c r="E103" s="3720"/>
      <c r="F103" s="3720"/>
      <c r="G103" s="3720"/>
      <c r="H103" s="3720"/>
      <c r="I103" s="3720"/>
      <c r="J103" s="3720"/>
      <c r="K103" s="3380"/>
      <c r="L103" s="3380"/>
      <c r="M103" s="3380"/>
      <c r="N103" s="3380"/>
    </row>
    <row r="104" spans="1:14">
      <c r="A104" s="3721" t="s">
        <v>3296</v>
      </c>
      <c r="B104" s="3721" t="s">
        <v>3297</v>
      </c>
      <c r="C104" s="3381" t="s">
        <v>3298</v>
      </c>
      <c r="D104" s="3382"/>
      <c r="E104" s="3382"/>
      <c r="F104" s="3382"/>
      <c r="G104" s="3382"/>
      <c r="H104" s="3382"/>
      <c r="I104" s="3382"/>
      <c r="J104" s="3383"/>
      <c r="K104" s="3384"/>
      <c r="L104" s="3384"/>
      <c r="M104" s="3384"/>
      <c r="N104" s="3384"/>
    </row>
    <row r="105" spans="1:14">
      <c r="A105" s="3721"/>
      <c r="B105" s="3721"/>
      <c r="C105" s="3385" t="s">
        <v>3299</v>
      </c>
      <c r="D105" s="3385" t="s">
        <v>3300</v>
      </c>
      <c r="E105" s="3385" t="s">
        <v>3301</v>
      </c>
      <c r="F105" s="3385" t="s">
        <v>3302</v>
      </c>
      <c r="G105" s="3385" t="s">
        <v>3303</v>
      </c>
      <c r="H105" s="3385" t="s">
        <v>3304</v>
      </c>
      <c r="I105" s="3385" t="s">
        <v>3305</v>
      </c>
      <c r="J105" s="3385" t="s">
        <v>3306</v>
      </c>
      <c r="K105" s="3385" t="s">
        <v>3307</v>
      </c>
      <c r="L105" s="3385" t="s">
        <v>3308</v>
      </c>
      <c r="M105" s="3385" t="s">
        <v>3309</v>
      </c>
      <c r="N105" s="3385" t="s">
        <v>3310</v>
      </c>
    </row>
    <row r="106" spans="1:14">
      <c r="A106" s="3707" t="s">
        <v>3311</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08"/>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08"/>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08"/>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08"/>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08"/>
      <c r="B111" s="3385" t="s">
        <v>3269</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09"/>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10" t="s">
        <v>3312</v>
      </c>
      <c r="B113" s="3710"/>
      <c r="C113" s="3710"/>
      <c r="D113" s="3710"/>
      <c r="E113" s="3710"/>
      <c r="F113" s="3710"/>
      <c r="G113" s="3710"/>
      <c r="H113" s="3710"/>
      <c r="I113" s="3710"/>
      <c r="J113" s="3710"/>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3313</v>
      </c>
      <c r="B116" s="3406">
        <f>G3</f>
        <v>2.38</v>
      </c>
      <c r="C116" s="3390" t="s">
        <v>3314</v>
      </c>
      <c r="D116" s="3391">
        <f>SUMPRODUCT((A118:A122=F116)*(B117:M117=H116)*B118:M122)</f>
        <v>0.54530000000000001</v>
      </c>
      <c r="E116" s="1996" t="s">
        <v>3315</v>
      </c>
      <c r="F116" s="3392" t="str">
        <f>E2</f>
        <v>工业</v>
      </c>
      <c r="G116" s="1996" t="s">
        <v>3316</v>
      </c>
      <c r="H116" s="3392" t="str">
        <f>G2</f>
        <v>十级</v>
      </c>
      <c r="I116" s="1996"/>
      <c r="J116" s="3393"/>
      <c r="K116" s="3393"/>
      <c r="L116" s="3393"/>
      <c r="M116" s="3393"/>
      <c r="N116" s="3388"/>
    </row>
    <row r="117" spans="1:14">
      <c r="A117" s="3394"/>
      <c r="B117" s="3395" t="s">
        <v>3317</v>
      </c>
      <c r="C117" s="3395" t="s">
        <v>3318</v>
      </c>
      <c r="D117" s="3395" t="s">
        <v>3319</v>
      </c>
      <c r="E117" s="3396" t="s">
        <v>3320</v>
      </c>
      <c r="F117" s="3396" t="s">
        <v>3321</v>
      </c>
      <c r="G117" s="3396" t="s">
        <v>3322</v>
      </c>
      <c r="H117" s="3397" t="s">
        <v>3323</v>
      </c>
      <c r="I117" s="3397" t="s">
        <v>3324</v>
      </c>
      <c r="J117" s="3398" t="s">
        <v>3325</v>
      </c>
      <c r="K117" s="3398" t="s">
        <v>3326</v>
      </c>
      <c r="L117" s="3398" t="s">
        <v>3327</v>
      </c>
      <c r="M117" s="3399" t="s">
        <v>3328</v>
      </c>
      <c r="N117" s="3388"/>
    </row>
    <row r="118" spans="1:14">
      <c r="A118" s="3400" t="s">
        <v>3329</v>
      </c>
      <c r="B118" s="3378">
        <f>ROUND(0.9968-0.011*B116,4)</f>
        <v>0.97060000000000002</v>
      </c>
      <c r="C118" s="3378">
        <f>B118</f>
        <v>0.97060000000000002</v>
      </c>
      <c r="D118" s="3378">
        <f>ROUND(0.949-0.014*B116,4)</f>
        <v>0.91569999999999996</v>
      </c>
      <c r="E118" s="3378">
        <f>D118</f>
        <v>0.91569999999999996</v>
      </c>
      <c r="F118" s="3378">
        <f>E118</f>
        <v>0.91569999999999996</v>
      </c>
      <c r="G118" s="3378">
        <f>F118</f>
        <v>0.91569999999999996</v>
      </c>
      <c r="H118" s="3378">
        <f>G118</f>
        <v>0.91569999999999996</v>
      </c>
      <c r="I118" s="3378">
        <f>ROUND(0.8486-0.018*B116,4)</f>
        <v>0.80579999999999996</v>
      </c>
      <c r="J118" s="3378">
        <f t="shared" ref="J118:M122" si="35">I118</f>
        <v>0.80579999999999996</v>
      </c>
      <c r="K118" s="3378">
        <f t="shared" si="35"/>
        <v>0.80579999999999996</v>
      </c>
      <c r="L118" s="3378">
        <f t="shared" si="35"/>
        <v>0.80579999999999996</v>
      </c>
      <c r="M118" s="3401">
        <f t="shared" si="35"/>
        <v>0.80579999999999996</v>
      </c>
      <c r="N118" s="3388"/>
    </row>
    <row r="119" spans="1:14">
      <c r="A119" s="3400" t="s">
        <v>3330</v>
      </c>
      <c r="B119" s="3378">
        <f>ROUND(0.993-0.0112*B116,4)</f>
        <v>0.96630000000000005</v>
      </c>
      <c r="C119" s="3378">
        <f>B119</f>
        <v>0.96630000000000005</v>
      </c>
      <c r="D119" s="3378">
        <f>ROUND(0.9415-0.0142*B116,4)</f>
        <v>0.90769999999999995</v>
      </c>
      <c r="E119" s="3378">
        <f t="shared" ref="E119:H120" si="36">D119</f>
        <v>0.90769999999999995</v>
      </c>
      <c r="F119" s="3378">
        <f t="shared" si="36"/>
        <v>0.90769999999999995</v>
      </c>
      <c r="G119" s="3378">
        <f t="shared" si="36"/>
        <v>0.90769999999999995</v>
      </c>
      <c r="H119" s="3378">
        <f t="shared" si="36"/>
        <v>0.90769999999999995</v>
      </c>
      <c r="I119" s="3378">
        <f>ROUND(0.838-0.0182*B116,4)</f>
        <v>0.79469999999999996</v>
      </c>
      <c r="J119" s="3378">
        <f t="shared" si="35"/>
        <v>0.79469999999999996</v>
      </c>
      <c r="K119" s="3378">
        <f t="shared" si="35"/>
        <v>0.79469999999999996</v>
      </c>
      <c r="L119" s="3378">
        <f t="shared" si="35"/>
        <v>0.79469999999999996</v>
      </c>
      <c r="M119" s="3401">
        <f t="shared" si="35"/>
        <v>0.79469999999999996</v>
      </c>
      <c r="N119" s="3388"/>
    </row>
    <row r="120" spans="1:14">
      <c r="A120" s="3400" t="s">
        <v>3331</v>
      </c>
      <c r="B120" s="3378">
        <f>ROUND(0.9448-0.0115*B116,4)</f>
        <v>0.91739999999999999</v>
      </c>
      <c r="C120" s="3378">
        <f>B120</f>
        <v>0.91739999999999999</v>
      </c>
      <c r="D120" s="3378">
        <f>ROUND(0.937-0.0145*B116,4)</f>
        <v>0.90249999999999997</v>
      </c>
      <c r="E120" s="3378">
        <f t="shared" si="36"/>
        <v>0.90249999999999997</v>
      </c>
      <c r="F120" s="3378">
        <f t="shared" si="36"/>
        <v>0.90249999999999997</v>
      </c>
      <c r="G120" s="3378">
        <f t="shared" si="36"/>
        <v>0.90249999999999997</v>
      </c>
      <c r="H120" s="3378">
        <f t="shared" si="36"/>
        <v>0.90249999999999997</v>
      </c>
      <c r="I120" s="3378">
        <f>ROUND(0.7965-0.0185*B116,4)</f>
        <v>0.75249999999999995</v>
      </c>
      <c r="J120" s="3378">
        <f t="shared" si="35"/>
        <v>0.75249999999999995</v>
      </c>
      <c r="K120" s="3378">
        <f t="shared" si="35"/>
        <v>0.75249999999999995</v>
      </c>
      <c r="L120" s="3378">
        <f t="shared" si="35"/>
        <v>0.75249999999999995</v>
      </c>
      <c r="M120" s="3401">
        <f t="shared" si="35"/>
        <v>0.75249999999999995</v>
      </c>
      <c r="N120" s="3388"/>
    </row>
    <row r="121" spans="1:14" ht="13.5" thickBot="1">
      <c r="A121" s="3402" t="s">
        <v>3332</v>
      </c>
      <c r="B121" s="3403">
        <f>ROUND(0.7836-0.012*B116,4)</f>
        <v>0.755</v>
      </c>
      <c r="C121" s="3403">
        <f>B121</f>
        <v>0.755</v>
      </c>
      <c r="D121" s="3403">
        <f>ROUND(0.753-0.015*B116,4)</f>
        <v>0.71730000000000005</v>
      </c>
      <c r="E121" s="3403">
        <f>D121</f>
        <v>0.71730000000000005</v>
      </c>
      <c r="F121" s="3403">
        <f>E121</f>
        <v>0.71730000000000005</v>
      </c>
      <c r="G121" s="3403">
        <f>ROUND(0.6612-0.018*B116,4)</f>
        <v>0.61839999999999995</v>
      </c>
      <c r="H121" s="3403">
        <f>G121</f>
        <v>0.61839999999999995</v>
      </c>
      <c r="I121" s="3403">
        <f>ROUND(0.5905-0.019*B116,4)</f>
        <v>0.54530000000000001</v>
      </c>
      <c r="J121" s="3403">
        <f t="shared" si="35"/>
        <v>0.54530000000000001</v>
      </c>
      <c r="K121" s="3403">
        <f t="shared" si="35"/>
        <v>0.54530000000000001</v>
      </c>
      <c r="L121" s="3403">
        <f t="shared" si="35"/>
        <v>0.54530000000000001</v>
      </c>
      <c r="M121" s="3404">
        <f t="shared" si="35"/>
        <v>0.54530000000000001</v>
      </c>
      <c r="N121" s="3388"/>
    </row>
    <row r="122" spans="1:14">
      <c r="A122" s="3405" t="s">
        <v>2609</v>
      </c>
      <c r="B122" s="3378">
        <f>ROUND(0.9404-0.0106*B116,4)</f>
        <v>0.91520000000000001</v>
      </c>
      <c r="C122" s="3378">
        <f>B122</f>
        <v>0.91520000000000001</v>
      </c>
      <c r="D122" s="3378">
        <f>ROUND(0.8955-0.0135*B116,4)</f>
        <v>0.86339999999999995</v>
      </c>
      <c r="E122" s="3378">
        <f t="shared" ref="E122:H122" si="37">D122</f>
        <v>0.86339999999999995</v>
      </c>
      <c r="F122" s="3378">
        <f t="shared" si="37"/>
        <v>0.86339999999999995</v>
      </c>
      <c r="G122" s="3378">
        <f t="shared" si="37"/>
        <v>0.86339999999999995</v>
      </c>
      <c r="H122" s="3378">
        <f t="shared" si="37"/>
        <v>0.86339999999999995</v>
      </c>
      <c r="I122" s="3378">
        <f>ROUND(0.7632-0.0166*B116,4)</f>
        <v>0.72370000000000001</v>
      </c>
      <c r="J122" s="3378">
        <f t="shared" si="35"/>
        <v>0.72370000000000001</v>
      </c>
      <c r="K122" s="3378">
        <f t="shared" si="35"/>
        <v>0.72370000000000001</v>
      </c>
      <c r="L122" s="3378">
        <f t="shared" si="35"/>
        <v>0.72370000000000001</v>
      </c>
      <c r="M122" s="3401">
        <f t="shared" si="35"/>
        <v>0.72370000000000001</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85" zoomScaleNormal="60" zoomScaleSheetLayoutView="85" workbookViewId="0">
      <selection activeCell="H71" sqref="H71"/>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30" s="348" customFormat="1" ht="28.5" customHeight="1">
      <c r="A1" s="344" t="s">
        <v>1867</v>
      </c>
      <c r="B1" s="345"/>
      <c r="C1" s="346"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7"/>
    </row>
    <row r="2" spans="1:30" s="348" customFormat="1" ht="28.5" customHeight="1">
      <c r="A2" s="197" t="s">
        <v>1462</v>
      </c>
      <c r="B2" s="615">
        <f>F65</f>
        <v>102365</v>
      </c>
      <c r="C2" s="903"/>
      <c r="D2" s="903"/>
      <c r="E2" s="904"/>
      <c r="F2" s="905"/>
      <c r="G2" s="904"/>
      <c r="H2" s="904"/>
      <c r="I2" s="904"/>
      <c r="J2" s="904"/>
      <c r="K2" s="906"/>
      <c r="L2" s="2724"/>
      <c r="M2" s="2725"/>
      <c r="N2" s="2725"/>
      <c r="O2" s="2725"/>
      <c r="P2" s="695"/>
      <c r="Q2" s="695"/>
      <c r="R2" s="695"/>
      <c r="S2" s="695"/>
      <c r="T2" s="695"/>
      <c r="U2" s="695"/>
      <c r="V2" s="695"/>
      <c r="W2" s="695"/>
      <c r="X2" s="695"/>
      <c r="Y2" s="695"/>
      <c r="Z2" s="695"/>
      <c r="AA2" s="695"/>
      <c r="AB2" s="695"/>
      <c r="AC2" s="696"/>
      <c r="AD2" s="347"/>
    </row>
    <row r="3" spans="1:30" s="348" customFormat="1" ht="28.5" customHeight="1" thickBot="1">
      <c r="A3" s="199" t="s">
        <v>1464</v>
      </c>
      <c r="B3" s="554">
        <f>ROUND(IF(D3="",B2*10000/'数据-汇总表'!E3,B2*10000/D3),0)</f>
        <v>9929</v>
      </c>
      <c r="C3" s="199" t="s">
        <v>1869</v>
      </c>
      <c r="D3" s="1189"/>
      <c r="E3" s="904"/>
      <c r="F3" s="905"/>
      <c r="G3" s="904"/>
      <c r="H3" s="904"/>
      <c r="I3" s="904"/>
      <c r="J3" s="904"/>
      <c r="K3" s="906"/>
      <c r="L3" s="2724"/>
      <c r="M3" s="2725"/>
      <c r="N3" s="2725"/>
      <c r="O3" s="2725"/>
      <c r="P3" s="695"/>
      <c r="Q3" s="695"/>
      <c r="R3" s="695"/>
      <c r="S3" s="695"/>
      <c r="T3" s="695"/>
      <c r="U3" s="695"/>
      <c r="V3" s="695"/>
      <c r="W3" s="695"/>
      <c r="X3" s="695"/>
      <c r="Y3" s="695"/>
      <c r="Z3" s="695"/>
      <c r="AA3" s="695"/>
      <c r="AB3" s="712"/>
      <c r="AC3" s="709"/>
    </row>
    <row r="4" spans="1:30" ht="15">
      <c r="A4" s="351" t="s">
        <v>1769</v>
      </c>
      <c r="B4" s="352"/>
      <c r="C4" s="3730" t="s">
        <v>1770</v>
      </c>
      <c r="D4" s="3742"/>
      <c r="E4" s="3743" t="s">
        <v>1771</v>
      </c>
      <c r="F4" s="3744"/>
      <c r="G4" s="3730" t="s">
        <v>1772</v>
      </c>
      <c r="H4" s="3742"/>
      <c r="I4" s="3730" t="s">
        <v>1773</v>
      </c>
      <c r="J4" s="3742"/>
      <c r="K4" s="555" t="s">
        <v>1774</v>
      </c>
      <c r="L4" s="2705"/>
      <c r="M4" s="2706"/>
      <c r="N4" s="2706"/>
      <c r="O4" s="2706"/>
      <c r="P4" s="3745" t="s">
        <v>1775</v>
      </c>
      <c r="Q4" s="3746"/>
      <c r="R4" s="3751" t="s">
        <v>1771</v>
      </c>
      <c r="S4" s="3752"/>
      <c r="T4" s="3751" t="s">
        <v>1772</v>
      </c>
      <c r="U4" s="3752"/>
      <c r="V4" s="3738" t="s">
        <v>1773</v>
      </c>
      <c r="W4" s="3738"/>
      <c r="X4" s="1351"/>
      <c r="Y4" s="3751" t="s">
        <v>1775</v>
      </c>
      <c r="Z4" s="3752"/>
      <c r="AA4" s="3739" t="s">
        <v>1771</v>
      </c>
      <c r="AB4" s="3740" t="s">
        <v>1772</v>
      </c>
      <c r="AC4" s="3739" t="s">
        <v>1773</v>
      </c>
    </row>
    <row r="5" spans="1:30" ht="15">
      <c r="A5" s="354"/>
      <c r="B5" s="355"/>
      <c r="C5" s="3759" t="s">
        <v>1673</v>
      </c>
      <c r="D5" s="3760"/>
      <c r="E5" s="3766" t="str">
        <f>土地案例!A4</f>
        <v>北京市丰台区丽泽金融商务区D-01地块B4综合性商业金融服务业用地</v>
      </c>
      <c r="F5" s="3767"/>
      <c r="G5" s="3759" t="str">
        <f>土地案例!A17</f>
        <v>北京市石景山区首钢园区东南区土地一级开发项目1612-774地块B4综合性商业金融服务业用地</v>
      </c>
      <c r="H5" s="3760"/>
      <c r="I5" s="3759" t="str">
        <f>土地案例!A18</f>
        <v>北京市东城区广渠门外大街马圈土地一级开发项目0407-001地块F3其他类多功能用地</v>
      </c>
      <c r="J5" s="3760"/>
      <c r="K5" s="555"/>
      <c r="L5" s="2705"/>
      <c r="M5" s="2706"/>
      <c r="N5" s="2706"/>
      <c r="O5" s="2706"/>
      <c r="P5" s="3747"/>
      <c r="Q5" s="3748"/>
      <c r="R5" s="3753"/>
      <c r="S5" s="3754"/>
      <c r="T5" s="3753"/>
      <c r="U5" s="3754"/>
      <c r="V5" s="3738"/>
      <c r="W5" s="3738"/>
      <c r="X5" s="1351"/>
      <c r="Y5" s="3753"/>
      <c r="Z5" s="3754"/>
      <c r="AA5" s="3740"/>
      <c r="AB5" s="3740"/>
      <c r="AC5" s="3740"/>
    </row>
    <row r="6" spans="1:30" ht="15.75" thickBot="1">
      <c r="A6" s="356"/>
      <c r="B6" s="357"/>
      <c r="C6" s="3757" t="s">
        <v>1677</v>
      </c>
      <c r="D6" s="3758"/>
      <c r="E6" s="3764" t="s">
        <v>1677</v>
      </c>
      <c r="F6" s="3765"/>
      <c r="G6" s="3757" t="s">
        <v>1677</v>
      </c>
      <c r="H6" s="3758"/>
      <c r="I6" s="3757" t="s">
        <v>1677</v>
      </c>
      <c r="J6" s="3758"/>
      <c r="K6" s="555" t="s">
        <v>1678</v>
      </c>
      <c r="L6" s="2705"/>
      <c r="M6" s="2706"/>
      <c r="N6" s="2706"/>
      <c r="O6" s="2706"/>
      <c r="P6" s="3749"/>
      <c r="Q6" s="3750"/>
      <c r="R6" s="3753"/>
      <c r="S6" s="3754"/>
      <c r="T6" s="3755"/>
      <c r="U6" s="3756"/>
      <c r="V6" s="3738"/>
      <c r="W6" s="3738"/>
      <c r="X6" s="1351"/>
      <c r="Y6" s="3755"/>
      <c r="Z6" s="3756"/>
      <c r="AA6" s="3741"/>
      <c r="AB6" s="3741"/>
      <c r="AC6" s="3741"/>
    </row>
    <row r="7" spans="1:30" s="106" customFormat="1" ht="15.75" thickBot="1">
      <c r="A7" s="358" t="s">
        <v>1679</v>
      </c>
      <c r="B7" s="359"/>
      <c r="C7" s="360">
        <f>'数据-取费表'!B2</f>
        <v>44992</v>
      </c>
      <c r="D7" s="361">
        <v>100</v>
      </c>
      <c r="E7" s="362">
        <f>土地案例!M4</f>
        <v>44798.000497685185</v>
      </c>
      <c r="F7" s="363">
        <f>SUMIF(69:69,YEAR(E7)&amp;"-"&amp;INT((MONTH(E7)+2)/3),70:70)</f>
        <v>98</v>
      </c>
      <c r="G7" s="1970">
        <f>土地案例!M17</f>
        <v>44495.000497685185</v>
      </c>
      <c r="H7" s="361">
        <f>SUMIF(69:69,YEAR(G7)&amp;"-"&amp;INT((MONTH(G7)+2)/3),70:70)</f>
        <v>95</v>
      </c>
      <c r="I7" s="1970">
        <f>土地案例!M18</f>
        <v>44495.000497685185</v>
      </c>
      <c r="J7" s="361">
        <f>SUMIF(69:69,YEAR(I7)&amp;"-"&amp;INT((MONTH(I7)+2)/3),70:70)</f>
        <v>95</v>
      </c>
      <c r="K7" s="556"/>
      <c r="L7" s="2707"/>
      <c r="M7" s="2708"/>
      <c r="N7" s="2708"/>
      <c r="O7" s="2708"/>
      <c r="P7" s="3761" t="s">
        <v>1680</v>
      </c>
      <c r="Q7" s="3763"/>
      <c r="R7" s="697" t="s">
        <v>14</v>
      </c>
      <c r="S7" s="698">
        <f t="shared" ref="S7:S15" si="0">F7</f>
        <v>98</v>
      </c>
      <c r="T7" s="697" t="s">
        <v>14</v>
      </c>
      <c r="U7" s="698">
        <f t="shared" ref="U7:U15" si="1">H7</f>
        <v>95</v>
      </c>
      <c r="V7" s="697" t="s">
        <v>14</v>
      </c>
      <c r="W7" s="698">
        <f t="shared" ref="W7:W15" si="2">J7</f>
        <v>95</v>
      </c>
      <c r="X7" s="699"/>
      <c r="Y7" s="3761" t="s">
        <v>1680</v>
      </c>
      <c r="Z7" s="3762"/>
      <c r="AA7" s="700">
        <f>D7/F7</f>
        <v>1.0204081632653061</v>
      </c>
      <c r="AB7" s="700">
        <f>D7/H7</f>
        <v>1.0526315789473684</v>
      </c>
      <c r="AC7" s="700">
        <f>D7/J7</f>
        <v>1.0526315789473684</v>
      </c>
    </row>
    <row r="8" spans="1:30" s="106" customFormat="1" ht="15.75" thickBot="1">
      <c r="A8" s="358" t="s">
        <v>1681</v>
      </c>
      <c r="B8" s="359"/>
      <c r="C8" s="364" t="s">
        <v>1682</v>
      </c>
      <c r="D8" s="361">
        <v>100</v>
      </c>
      <c r="E8" s="364" t="s">
        <v>1682</v>
      </c>
      <c r="F8" s="363">
        <f>SUMIF(72:72,E8,73:73)-SUMIF(72:72,C8,73:73)+100</f>
        <v>100</v>
      </c>
      <c r="G8" s="364" t="s">
        <v>1682</v>
      </c>
      <c r="H8" s="361">
        <f>SUMIF(72:72,G8,73:73)-SUMIF(72:72,C8,73:73)+100</f>
        <v>100</v>
      </c>
      <c r="I8" s="364" t="s">
        <v>1682</v>
      </c>
      <c r="J8" s="361">
        <f>SUMIF(72:72,I8,73:73)-SUMIF(72:72,C8,73:73)+100</f>
        <v>100</v>
      </c>
      <c r="K8" s="556"/>
      <c r="L8" s="2707"/>
      <c r="M8" s="2708"/>
      <c r="N8" s="2708"/>
      <c r="O8" s="2708"/>
      <c r="P8" s="3761" t="s">
        <v>1683</v>
      </c>
      <c r="Q8" s="3762"/>
      <c r="R8" s="697" t="s">
        <v>14</v>
      </c>
      <c r="S8" s="698">
        <f t="shared" si="0"/>
        <v>100</v>
      </c>
      <c r="T8" s="697" t="s">
        <v>14</v>
      </c>
      <c r="U8" s="698">
        <f t="shared" si="1"/>
        <v>100</v>
      </c>
      <c r="V8" s="697" t="s">
        <v>14</v>
      </c>
      <c r="W8" s="698">
        <f t="shared" si="2"/>
        <v>100</v>
      </c>
      <c r="X8" s="699"/>
      <c r="Y8" s="3761" t="s">
        <v>1683</v>
      </c>
      <c r="Z8" s="3762"/>
      <c r="AA8" s="700">
        <f t="shared" ref="AA8:AA45" si="3">D8/F8</f>
        <v>1</v>
      </c>
      <c r="AB8" s="700">
        <f t="shared" ref="AB8:AB45" si="4">D8/H8</f>
        <v>1</v>
      </c>
      <c r="AC8" s="700">
        <f t="shared" ref="AC8:AC45" si="5">D8/J8</f>
        <v>1</v>
      </c>
    </row>
    <row r="9" spans="1:30" s="106" customFormat="1" ht="15">
      <c r="A9" s="365" t="s">
        <v>1684</v>
      </c>
      <c r="B9" s="63" t="s">
        <v>1685</v>
      </c>
      <c r="C9" s="1973" t="s">
        <v>3854</v>
      </c>
      <c r="D9" s="122">
        <v>100</v>
      </c>
      <c r="E9" s="1973" t="s">
        <v>3855</v>
      </c>
      <c r="F9" s="122">
        <f>SUMIF(74:74,E9,75:75)-SUMIF(74:74,C9,75:75)+100</f>
        <v>110</v>
      </c>
      <c r="G9" s="1973" t="s">
        <v>3855</v>
      </c>
      <c r="H9" s="122">
        <f>SUMIF(74:74,G9,75:75)-SUMIF(74:74,C9,75:75)+100</f>
        <v>110</v>
      </c>
      <c r="I9" s="1973" t="s">
        <v>3855</v>
      </c>
      <c r="J9" s="122">
        <f>SUMIF(74:74,I9,75:75)-SUMIF(74:74,C9,75:75)+100</f>
        <v>110</v>
      </c>
      <c r="K9" s="556"/>
      <c r="L9" s="2707"/>
      <c r="M9" s="2708"/>
      <c r="N9" s="2708"/>
      <c r="O9" s="2762"/>
      <c r="P9" s="3733" t="s">
        <v>1686</v>
      </c>
      <c r="Q9" s="1339" t="str">
        <f t="shared" ref="Q9:Q15" si="6">B9</f>
        <v>用途</v>
      </c>
      <c r="R9" s="697" t="s">
        <v>14</v>
      </c>
      <c r="S9" s="698">
        <f t="shared" si="0"/>
        <v>110</v>
      </c>
      <c r="T9" s="697" t="s">
        <v>14</v>
      </c>
      <c r="U9" s="698">
        <f t="shared" si="1"/>
        <v>110</v>
      </c>
      <c r="V9" s="697" t="s">
        <v>14</v>
      </c>
      <c r="W9" s="698">
        <f t="shared" si="2"/>
        <v>110</v>
      </c>
      <c r="X9" s="699"/>
      <c r="Y9" s="3614" t="s">
        <v>1687</v>
      </c>
      <c r="Z9" s="52" t="str">
        <f t="shared" ref="Z9:Z15" si="7">Q9</f>
        <v>用途</v>
      </c>
      <c r="AA9" s="700">
        <f t="shared" si="3"/>
        <v>0.90909090909090906</v>
      </c>
      <c r="AB9" s="700">
        <f t="shared" si="4"/>
        <v>0.90909090909090906</v>
      </c>
      <c r="AC9" s="700">
        <f t="shared" si="5"/>
        <v>0.90909090909090906</v>
      </c>
    </row>
    <row r="10" spans="1:30" s="374" customFormat="1" ht="27">
      <c r="A10" s="370"/>
      <c r="B10" s="371" t="s">
        <v>1688</v>
      </c>
      <c r="C10" s="379"/>
      <c r="D10" s="123">
        <v>100</v>
      </c>
      <c r="E10" s="412"/>
      <c r="F10" s="123">
        <f>ROUND(100/'数据-取费表'!G16,0)</f>
        <v>114</v>
      </c>
      <c r="G10" s="410"/>
      <c r="H10" s="123">
        <f>ROUND(100/'数据-取费表'!G16,0)</f>
        <v>114</v>
      </c>
      <c r="I10" s="410"/>
      <c r="J10" s="123">
        <f>ROUND(100/'数据-取费表'!G16,0)</f>
        <v>114</v>
      </c>
      <c r="K10" s="616"/>
      <c r="L10" s="2709"/>
      <c r="M10" s="2710"/>
      <c r="N10" s="2710"/>
      <c r="O10" s="2763"/>
      <c r="P10" s="3733"/>
      <c r="Q10" s="1339" t="str">
        <f t="shared" si="6"/>
        <v>土地使用年限（年）</v>
      </c>
      <c r="R10" s="697" t="s">
        <v>14</v>
      </c>
      <c r="S10" s="698">
        <f t="shared" si="0"/>
        <v>114</v>
      </c>
      <c r="T10" s="697" t="s">
        <v>14</v>
      </c>
      <c r="U10" s="698">
        <f t="shared" si="1"/>
        <v>114</v>
      </c>
      <c r="V10" s="697" t="s">
        <v>14</v>
      </c>
      <c r="W10" s="698">
        <f t="shared" si="2"/>
        <v>114</v>
      </c>
      <c r="X10" s="699"/>
      <c r="Y10" s="3614"/>
      <c r="Z10" s="52" t="str">
        <f t="shared" si="7"/>
        <v>土地使用年限（年）</v>
      </c>
      <c r="AA10" s="700">
        <f t="shared" si="3"/>
        <v>0.8771929824561403</v>
      </c>
      <c r="AB10" s="700">
        <f t="shared" si="4"/>
        <v>0.8771929824561403</v>
      </c>
      <c r="AC10" s="700">
        <f t="shared" si="5"/>
        <v>0.8771929824561403</v>
      </c>
    </row>
    <row r="11" spans="1:30" ht="15">
      <c r="A11" s="375"/>
      <c r="B11" s="371" t="s">
        <v>1689</v>
      </c>
      <c r="C11" s="376">
        <f>'数据-汇总表'!I7</f>
        <v>2.38</v>
      </c>
      <c r="D11" s="123">
        <v>100</v>
      </c>
      <c r="E11" s="376">
        <v>6.33</v>
      </c>
      <c r="F11" s="123">
        <f>LOOKUP(E11,79:79,80:80)-LOOKUP(C11,79:79,80:80)+100</f>
        <v>91</v>
      </c>
      <c r="G11" s="377">
        <v>3.5</v>
      </c>
      <c r="H11" s="123">
        <f>LOOKUP(G11,79:79,80:80)-LOOKUP(C11,79:79,80:80)+100</f>
        <v>97</v>
      </c>
      <c r="I11" s="376">
        <v>3.71</v>
      </c>
      <c r="J11" s="123">
        <f>LOOKUP(I11,79:79,80:80)-LOOKUP(C11,79:79,80:80)+100</f>
        <v>97</v>
      </c>
      <c r="K11" s="617">
        <v>3</v>
      </c>
      <c r="L11" s="2711"/>
      <c r="M11" s="2706"/>
      <c r="N11" s="2706"/>
      <c r="O11" s="2764"/>
      <c r="P11" s="3733"/>
      <c r="Q11" s="1339" t="str">
        <f t="shared" si="6"/>
        <v>容积率</v>
      </c>
      <c r="R11" s="697" t="s">
        <v>14</v>
      </c>
      <c r="S11" s="698">
        <f t="shared" si="0"/>
        <v>91</v>
      </c>
      <c r="T11" s="697" t="s">
        <v>14</v>
      </c>
      <c r="U11" s="698">
        <f t="shared" si="1"/>
        <v>97</v>
      </c>
      <c r="V11" s="697" t="s">
        <v>14</v>
      </c>
      <c r="W11" s="698">
        <f t="shared" si="2"/>
        <v>97</v>
      </c>
      <c r="X11" s="699"/>
      <c r="Y11" s="3614"/>
      <c r="Z11" s="52" t="str">
        <f t="shared" si="7"/>
        <v>容积率</v>
      </c>
      <c r="AA11" s="700">
        <f t="shared" si="3"/>
        <v>1.098901098901099</v>
      </c>
      <c r="AB11" s="700">
        <f t="shared" si="4"/>
        <v>1.0309278350515463</v>
      </c>
      <c r="AC11" s="700">
        <f t="shared" si="5"/>
        <v>1.0309278350515463</v>
      </c>
    </row>
    <row r="12" spans="1:30" s="106" customFormat="1" ht="15">
      <c r="A12" s="378"/>
      <c r="B12" s="1889" t="s">
        <v>1870</v>
      </c>
      <c r="C12" s="379"/>
      <c r="D12" s="380">
        <v>100</v>
      </c>
      <c r="E12" s="412"/>
      <c r="F12" s="123">
        <f>SUMIF(81:81,E12,82:82)-SUMIF(81:81,C12,82:82)+100</f>
        <v>100</v>
      </c>
      <c r="G12" s="410"/>
      <c r="H12" s="123">
        <f>SUMIF(81:81,G12,82:82)-SUMIF(81:81,C12,82:82)+100</f>
        <v>100</v>
      </c>
      <c r="I12" s="412"/>
      <c r="J12" s="123">
        <f>SUMIF(81:81,I12,82:82)-SUMIF(81:81,C12,82:82)+100</f>
        <v>100</v>
      </c>
      <c r="K12" s="616"/>
      <c r="L12" s="2707"/>
      <c r="M12" s="2708"/>
      <c r="N12" s="2708"/>
      <c r="O12" s="2762"/>
      <c r="P12" s="3733"/>
      <c r="Q12" s="1339" t="str">
        <f t="shared" si="6"/>
        <v>配建</v>
      </c>
      <c r="R12" s="697" t="s">
        <v>14</v>
      </c>
      <c r="S12" s="698">
        <f t="shared" si="0"/>
        <v>100</v>
      </c>
      <c r="T12" s="697" t="s">
        <v>14</v>
      </c>
      <c r="U12" s="698">
        <f t="shared" si="1"/>
        <v>100</v>
      </c>
      <c r="V12" s="697" t="s">
        <v>14</v>
      </c>
      <c r="W12" s="698">
        <f t="shared" si="2"/>
        <v>100</v>
      </c>
      <c r="X12" s="699"/>
      <c r="Y12" s="3614"/>
      <c r="Z12" s="52" t="str">
        <f t="shared" si="7"/>
        <v>配建</v>
      </c>
      <c r="AA12" s="700">
        <f>D12/F12</f>
        <v>1</v>
      </c>
      <c r="AB12" s="700">
        <f>D12/H12</f>
        <v>1</v>
      </c>
      <c r="AC12" s="700">
        <f>D12/J12</f>
        <v>1</v>
      </c>
    </row>
    <row r="13" spans="1:30" ht="15">
      <c r="A13" s="375"/>
      <c r="B13" s="1889">
        <v>111</v>
      </c>
      <c r="C13" s="381"/>
      <c r="D13" s="382">
        <v>100</v>
      </c>
      <c r="E13" s="494"/>
      <c r="F13" s="123">
        <f>SUMIF(83:83,E13,84:84)-SUMIF(83:83,C13,84:84)+100</f>
        <v>100</v>
      </c>
      <c r="G13" s="618"/>
      <c r="H13" s="382">
        <f>SUMIF(83:83,G13,84:84)-SUMIF(83:83,C13,84:84)+100</f>
        <v>100</v>
      </c>
      <c r="I13" s="618"/>
      <c r="J13" s="382">
        <f>SUMIF(83:83,I13,84:84)-SUMIF(83:83,C13,84:84)+100</f>
        <v>100</v>
      </c>
      <c r="K13" s="616"/>
      <c r="L13" s="2712"/>
      <c r="M13" s="2706"/>
      <c r="N13" s="2706"/>
      <c r="O13" s="2764"/>
      <c r="P13" s="3733"/>
      <c r="Q13" s="1339">
        <f t="shared" si="6"/>
        <v>111</v>
      </c>
      <c r="R13" s="697" t="s">
        <v>14</v>
      </c>
      <c r="S13" s="698">
        <f t="shared" si="0"/>
        <v>100</v>
      </c>
      <c r="T13" s="697" t="s">
        <v>14</v>
      </c>
      <c r="U13" s="698">
        <f t="shared" si="1"/>
        <v>100</v>
      </c>
      <c r="V13" s="697" t="s">
        <v>14</v>
      </c>
      <c r="W13" s="698">
        <f t="shared" si="2"/>
        <v>100</v>
      </c>
      <c r="X13" s="699"/>
      <c r="Y13" s="3614"/>
      <c r="Z13" s="52">
        <f t="shared" si="7"/>
        <v>111</v>
      </c>
      <c r="AA13" s="700">
        <f>D13/F13</f>
        <v>1</v>
      </c>
      <c r="AB13" s="700">
        <f>D13/H13</f>
        <v>1</v>
      </c>
      <c r="AC13" s="700">
        <f>D13/J13</f>
        <v>1</v>
      </c>
    </row>
    <row r="14" spans="1:30" ht="15.75" thickBot="1">
      <c r="A14" s="383"/>
      <c r="B14" s="1891">
        <v>111</v>
      </c>
      <c r="C14" s="384"/>
      <c r="D14" s="385">
        <v>100</v>
      </c>
      <c r="E14" s="494"/>
      <c r="F14" s="385">
        <f>SUMIF(85:85,E14,86:86)-SUMIF(85:85,C14,86:86)+100</f>
        <v>100</v>
      </c>
      <c r="G14" s="618"/>
      <c r="H14" s="385">
        <f>SUMIF(85:85,G14,86:86)-SUMIF(85:85,C14,86:86)+100</f>
        <v>100</v>
      </c>
      <c r="I14" s="618"/>
      <c r="J14" s="385">
        <f>SUMIF(85:85,I14,86:86)-SUMIF(85:85,C14,86:86)+100</f>
        <v>100</v>
      </c>
      <c r="K14" s="616"/>
      <c r="L14" s="2712"/>
      <c r="M14" s="2706"/>
      <c r="N14" s="2706"/>
      <c r="O14" s="2764"/>
      <c r="P14" s="3733"/>
      <c r="Q14" s="1339">
        <f t="shared" si="6"/>
        <v>111</v>
      </c>
      <c r="R14" s="697" t="s">
        <v>14</v>
      </c>
      <c r="S14" s="698">
        <f t="shared" si="0"/>
        <v>100</v>
      </c>
      <c r="T14" s="697" t="s">
        <v>14</v>
      </c>
      <c r="U14" s="698">
        <f t="shared" si="1"/>
        <v>100</v>
      </c>
      <c r="V14" s="697" t="s">
        <v>14</v>
      </c>
      <c r="W14" s="698">
        <f t="shared" si="2"/>
        <v>100</v>
      </c>
      <c r="X14" s="699"/>
      <c r="Y14" s="3614"/>
      <c r="Z14" s="52">
        <f t="shared" si="7"/>
        <v>111</v>
      </c>
      <c r="AA14" s="700">
        <f>D14/F14</f>
        <v>1</v>
      </c>
      <c r="AB14" s="700">
        <f>D14/H14</f>
        <v>1</v>
      </c>
      <c r="AC14" s="700">
        <f>D14/J14</f>
        <v>1</v>
      </c>
    </row>
    <row r="15" spans="1:30" ht="99.75" hidden="1">
      <c r="A15" s="387" t="s">
        <v>1690</v>
      </c>
      <c r="B15" s="61" t="s">
        <v>1257</v>
      </c>
      <c r="C15" s="1892"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17"/>
      <c r="L15" s="2712"/>
      <c r="M15" s="2706"/>
      <c r="N15" s="2706"/>
      <c r="O15" s="2764"/>
      <c r="P15" s="3734" t="s">
        <v>1691</v>
      </c>
      <c r="Q15" s="1348" t="str">
        <f t="shared" si="6"/>
        <v>居住社区成熟度</v>
      </c>
      <c r="R15" s="701" t="s">
        <v>14</v>
      </c>
      <c r="S15" s="702">
        <f t="shared" si="0"/>
        <v>100</v>
      </c>
      <c r="T15" s="701" t="s">
        <v>14</v>
      </c>
      <c r="U15" s="702">
        <f t="shared" si="1"/>
        <v>100</v>
      </c>
      <c r="V15" s="701" t="s">
        <v>14</v>
      </c>
      <c r="W15" s="702">
        <f t="shared" si="2"/>
        <v>100</v>
      </c>
      <c r="X15" s="1351"/>
      <c r="Y15" s="3734" t="s">
        <v>1691</v>
      </c>
      <c r="Z15" s="1352" t="str">
        <f t="shared" si="7"/>
        <v>居住社区成熟度</v>
      </c>
      <c r="AA15" s="1349">
        <f t="shared" si="3"/>
        <v>1</v>
      </c>
      <c r="AB15" s="1349">
        <f t="shared" si="4"/>
        <v>1</v>
      </c>
      <c r="AC15" s="1349">
        <f t="shared" si="5"/>
        <v>1</v>
      </c>
    </row>
    <row r="16" spans="1:30" ht="15" hidden="1">
      <c r="A16" s="375"/>
      <c r="B16" s="393"/>
      <c r="C16" s="394"/>
      <c r="D16" s="395"/>
      <c r="E16" s="394"/>
      <c r="F16" s="395"/>
      <c r="G16" s="394"/>
      <c r="H16" s="397"/>
      <c r="I16" s="1893"/>
      <c r="J16" s="395"/>
      <c r="K16" s="616"/>
      <c r="L16" s="2712"/>
      <c r="M16" s="2706"/>
      <c r="N16" s="2706"/>
      <c r="O16" s="2764"/>
      <c r="P16" s="3735"/>
      <c r="Q16" s="1348"/>
      <c r="R16" s="701"/>
      <c r="S16" s="702"/>
      <c r="T16" s="701"/>
      <c r="U16" s="702"/>
      <c r="V16" s="701"/>
      <c r="W16" s="702"/>
      <c r="X16" s="1351"/>
      <c r="Y16" s="3735"/>
      <c r="Z16" s="1352"/>
      <c r="AA16" s="1349">
        <v>1</v>
      </c>
      <c r="AB16" s="1349">
        <v>1</v>
      </c>
      <c r="AC16" s="1349">
        <v>1</v>
      </c>
    </row>
    <row r="17" spans="1:29" ht="71.25" hidden="1">
      <c r="A17" s="375"/>
      <c r="B17" s="398" t="s">
        <v>1777</v>
      </c>
      <c r="C17" s="1951"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17"/>
      <c r="L17" s="2712"/>
      <c r="M17" s="2706"/>
      <c r="N17" s="2706"/>
      <c r="O17" s="2764"/>
      <c r="P17" s="3735"/>
      <c r="Q17" s="1348" t="str">
        <f>B17</f>
        <v>商业繁华度</v>
      </c>
      <c r="R17" s="701" t="s">
        <v>14</v>
      </c>
      <c r="S17" s="702">
        <f>F17</f>
        <v>100</v>
      </c>
      <c r="T17" s="701" t="s">
        <v>14</v>
      </c>
      <c r="U17" s="702">
        <f>H17</f>
        <v>100</v>
      </c>
      <c r="V17" s="701" t="s">
        <v>14</v>
      </c>
      <c r="W17" s="702">
        <f>J17</f>
        <v>100</v>
      </c>
      <c r="X17" s="1351"/>
      <c r="Y17" s="3735"/>
      <c r="Z17" s="1352" t="str">
        <f>Q17</f>
        <v>商业繁华度</v>
      </c>
      <c r="AA17" s="1349">
        <f t="shared" si="3"/>
        <v>1</v>
      </c>
      <c r="AB17" s="1349">
        <f t="shared" si="4"/>
        <v>1</v>
      </c>
      <c r="AC17" s="1349">
        <f t="shared" si="5"/>
        <v>1</v>
      </c>
    </row>
    <row r="18" spans="1:29" ht="15" hidden="1">
      <c r="A18" s="375"/>
      <c r="B18" s="403"/>
      <c r="C18" s="1897"/>
      <c r="D18" s="397"/>
      <c r="E18" s="1899"/>
      <c r="F18" s="397"/>
      <c r="G18" s="1899"/>
      <c r="H18" s="395"/>
      <c r="I18" s="1898"/>
      <c r="J18" s="395"/>
      <c r="K18" s="616"/>
      <c r="L18" s="2712"/>
      <c r="M18" s="2706"/>
      <c r="N18" s="2706"/>
      <c r="O18" s="2764"/>
      <c r="P18" s="3735"/>
      <c r="Q18" s="1348"/>
      <c r="R18" s="701"/>
      <c r="S18" s="702"/>
      <c r="T18" s="701"/>
      <c r="U18" s="702"/>
      <c r="V18" s="701"/>
      <c r="W18" s="702"/>
      <c r="X18" s="1351"/>
      <c r="Y18" s="3735"/>
      <c r="Z18" s="1352"/>
      <c r="AA18" s="1349">
        <v>1</v>
      </c>
      <c r="AB18" s="1349">
        <v>1</v>
      </c>
      <c r="AC18" s="1349">
        <v>1</v>
      </c>
    </row>
    <row r="19" spans="1:29" ht="71.25">
      <c r="A19" s="375"/>
      <c r="B19" s="398" t="s">
        <v>1811</v>
      </c>
      <c r="C19" s="1951"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102</v>
      </c>
      <c r="K19" s="617">
        <v>2</v>
      </c>
      <c r="L19" s="2712"/>
      <c r="M19" s="2706"/>
      <c r="N19" s="2706"/>
      <c r="O19" s="2764"/>
      <c r="P19" s="3735"/>
      <c r="Q19" s="1348" t="str">
        <f>B19</f>
        <v>办公集聚程度</v>
      </c>
      <c r="R19" s="701" t="s">
        <v>14</v>
      </c>
      <c r="S19" s="702">
        <f>F19</f>
        <v>100</v>
      </c>
      <c r="T19" s="701" t="s">
        <v>14</v>
      </c>
      <c r="U19" s="702">
        <f>H19</f>
        <v>100</v>
      </c>
      <c r="V19" s="701" t="s">
        <v>14</v>
      </c>
      <c r="W19" s="702">
        <f>J19</f>
        <v>102</v>
      </c>
      <c r="X19" s="1351"/>
      <c r="Y19" s="3735"/>
      <c r="Z19" s="1352" t="str">
        <f>Q19</f>
        <v>办公集聚程度</v>
      </c>
      <c r="AA19" s="1349">
        <f t="shared" si="3"/>
        <v>1</v>
      </c>
      <c r="AB19" s="1349">
        <f t="shared" si="4"/>
        <v>1</v>
      </c>
      <c r="AC19" s="1349">
        <f t="shared" si="5"/>
        <v>0.98039215686274506</v>
      </c>
    </row>
    <row r="20" spans="1:29" ht="15">
      <c r="A20" s="375"/>
      <c r="B20" s="403"/>
      <c r="C20" s="394" t="s">
        <v>3396</v>
      </c>
      <c r="D20" s="395"/>
      <c r="E20" s="394" t="s">
        <v>3396</v>
      </c>
      <c r="F20" s="395"/>
      <c r="G20" s="394" t="s">
        <v>3396</v>
      </c>
      <c r="H20" s="395"/>
      <c r="I20" s="1893" t="s">
        <v>3870</v>
      </c>
      <c r="J20" s="395"/>
      <c r="K20" s="616"/>
      <c r="L20" s="2712"/>
      <c r="M20" s="2706"/>
      <c r="N20" s="2706"/>
      <c r="O20" s="2764"/>
      <c r="P20" s="3735"/>
      <c r="Q20" s="1348"/>
      <c r="R20" s="701"/>
      <c r="S20" s="702"/>
      <c r="T20" s="701"/>
      <c r="U20" s="702"/>
      <c r="V20" s="701"/>
      <c r="W20" s="702"/>
      <c r="X20" s="1351"/>
      <c r="Y20" s="3735"/>
      <c r="Z20" s="1352"/>
      <c r="AA20" s="1349">
        <v>1</v>
      </c>
      <c r="AB20" s="1349">
        <v>1</v>
      </c>
      <c r="AC20" s="1349">
        <v>1</v>
      </c>
    </row>
    <row r="21" spans="1:29" ht="85.5">
      <c r="A21" s="375"/>
      <c r="B21" s="398" t="s">
        <v>1833</v>
      </c>
      <c r="C21" s="1896"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97</v>
      </c>
      <c r="I21" s="401"/>
      <c r="J21" s="397">
        <f>SUMIF(93:93,I22,94:94)-SUMIF(93:93,C22,94:94)+100</f>
        <v>100</v>
      </c>
      <c r="K21" s="617">
        <v>3</v>
      </c>
      <c r="L21" s="2712"/>
      <c r="M21" s="2706"/>
      <c r="N21" s="2706"/>
      <c r="O21" s="2764"/>
      <c r="P21" s="3735"/>
      <c r="Q21" s="1348" t="str">
        <f>B21</f>
        <v>交通便捷度</v>
      </c>
      <c r="R21" s="701" t="s">
        <v>14</v>
      </c>
      <c r="S21" s="702">
        <f>F21</f>
        <v>100</v>
      </c>
      <c r="T21" s="701" t="s">
        <v>14</v>
      </c>
      <c r="U21" s="702">
        <f>H21</f>
        <v>97</v>
      </c>
      <c r="V21" s="701" t="s">
        <v>14</v>
      </c>
      <c r="W21" s="702">
        <f>J21</f>
        <v>100</v>
      </c>
      <c r="X21" s="1351"/>
      <c r="Y21" s="3735"/>
      <c r="Z21" s="1352" t="str">
        <f>Q21</f>
        <v>交通便捷度</v>
      </c>
      <c r="AA21" s="1349">
        <f t="shared" si="3"/>
        <v>1</v>
      </c>
      <c r="AB21" s="1349">
        <f t="shared" si="4"/>
        <v>1.0309278350515463</v>
      </c>
      <c r="AC21" s="1349">
        <f t="shared" si="5"/>
        <v>1</v>
      </c>
    </row>
    <row r="22" spans="1:29" ht="15">
      <c r="A22" s="375"/>
      <c r="B22" s="1127"/>
      <c r="C22" s="394" t="s">
        <v>3396</v>
      </c>
      <c r="D22" s="397"/>
      <c r="E22" s="1894" t="s">
        <v>3396</v>
      </c>
      <c r="F22" s="395"/>
      <c r="G22" s="1894" t="s">
        <v>3395</v>
      </c>
      <c r="H22" s="395"/>
      <c r="I22" s="1893" t="s">
        <v>3396</v>
      </c>
      <c r="J22" s="395"/>
      <c r="K22" s="616"/>
      <c r="L22" s="2712"/>
      <c r="M22" s="2706"/>
      <c r="N22" s="2706"/>
      <c r="O22" s="2764"/>
      <c r="P22" s="3735"/>
      <c r="Q22" s="1348"/>
      <c r="R22" s="701"/>
      <c r="S22" s="702"/>
      <c r="T22" s="701"/>
      <c r="U22" s="702"/>
      <c r="V22" s="701"/>
      <c r="W22" s="702"/>
      <c r="X22" s="1351"/>
      <c r="Y22" s="3735"/>
      <c r="Z22" s="1352"/>
      <c r="AA22" s="1349">
        <v>1</v>
      </c>
      <c r="AB22" s="1349">
        <v>1</v>
      </c>
      <c r="AC22" s="1349">
        <v>1</v>
      </c>
    </row>
    <row r="23" spans="1:29" ht="15">
      <c r="A23" s="354"/>
      <c r="B23" s="398" t="s">
        <v>1871</v>
      </c>
      <c r="C23" s="1132">
        <f>估价对象房地状况!C19</f>
        <v>0</v>
      </c>
      <c r="D23" s="402">
        <v>100</v>
      </c>
      <c r="E23" s="399"/>
      <c r="F23" s="402">
        <f>SUMIF(95:95,E24,96:96)-SUMIF(95:95,C24,96:96)+100</f>
        <v>100</v>
      </c>
      <c r="G23" s="401"/>
      <c r="H23" s="402">
        <f>SUMIF(95:95,G24,96:96)-SUMIF(95:95,C24,96:96)+100</f>
        <v>100</v>
      </c>
      <c r="I23" s="401"/>
      <c r="J23" s="402">
        <f>SUMIF(95:95,I24,96:96)-SUMIF(95:95,C24,96:96)+100</f>
        <v>100</v>
      </c>
      <c r="K23" s="617"/>
      <c r="L23" s="2712"/>
      <c r="M23" s="2706"/>
      <c r="N23" s="2706"/>
      <c r="O23" s="2764"/>
      <c r="P23" s="3735"/>
      <c r="Q23" s="1348" t="str">
        <f t="shared" ref="Q23:Q37" si="8">B23</f>
        <v>区域土地利用方向</v>
      </c>
      <c r="R23" s="701" t="s">
        <v>14</v>
      </c>
      <c r="S23" s="702">
        <f>F23</f>
        <v>100</v>
      </c>
      <c r="T23" s="701" t="s">
        <v>14</v>
      </c>
      <c r="U23" s="702">
        <f>H23</f>
        <v>100</v>
      </c>
      <c r="V23" s="701" t="s">
        <v>14</v>
      </c>
      <c r="W23" s="702">
        <f>J23</f>
        <v>100</v>
      </c>
      <c r="X23" s="1351"/>
      <c r="Y23" s="3735"/>
      <c r="Z23" s="1352" t="str">
        <f>Q23</f>
        <v>区域土地利用方向</v>
      </c>
      <c r="AA23" s="1349">
        <f t="shared" si="3"/>
        <v>1</v>
      </c>
      <c r="AB23" s="1349">
        <f t="shared" si="4"/>
        <v>1</v>
      </c>
      <c r="AC23" s="1349">
        <f t="shared" si="5"/>
        <v>1</v>
      </c>
    </row>
    <row r="24" spans="1:29" ht="15">
      <c r="A24" s="354"/>
      <c r="B24" s="403"/>
      <c r="C24" s="561"/>
      <c r="D24" s="395"/>
      <c r="E24" s="1894"/>
      <c r="F24" s="395"/>
      <c r="G24" s="1893"/>
      <c r="H24" s="395"/>
      <c r="I24" s="1893"/>
      <c r="J24" s="395"/>
      <c r="K24" s="736"/>
      <c r="L24" s="2712"/>
      <c r="M24" s="2706"/>
      <c r="N24" s="2706"/>
      <c r="O24" s="2764"/>
      <c r="P24" s="3735"/>
      <c r="Q24" s="1348"/>
      <c r="R24" s="701"/>
      <c r="S24" s="702"/>
      <c r="T24" s="701"/>
      <c r="U24" s="702"/>
      <c r="V24" s="701"/>
      <c r="W24" s="702"/>
      <c r="X24" s="1351"/>
      <c r="Y24" s="3735"/>
      <c r="Z24" s="1352"/>
      <c r="AA24" s="1349"/>
      <c r="AB24" s="1349"/>
      <c r="AC24" s="1349"/>
    </row>
    <row r="25" spans="1:29" ht="57">
      <c r="A25" s="354"/>
      <c r="B25" s="1127" t="s">
        <v>1872</v>
      </c>
      <c r="C25" s="1951"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17">
        <v>2</v>
      </c>
      <c r="L25" s="2712"/>
      <c r="M25" s="2706"/>
      <c r="N25" s="2706"/>
      <c r="O25" s="2764"/>
      <c r="P25" s="3735"/>
      <c r="Q25" s="1348" t="str">
        <f t="shared" si="8"/>
        <v>自然及人文环境状况</v>
      </c>
      <c r="R25" s="701" t="s">
        <v>14</v>
      </c>
      <c r="S25" s="702">
        <f>F25</f>
        <v>100</v>
      </c>
      <c r="T25" s="701" t="s">
        <v>14</v>
      </c>
      <c r="U25" s="702">
        <f>H25</f>
        <v>100</v>
      </c>
      <c r="V25" s="701" t="s">
        <v>14</v>
      </c>
      <c r="W25" s="702">
        <f>J25</f>
        <v>100</v>
      </c>
      <c r="X25" s="1351"/>
      <c r="Y25" s="3735"/>
      <c r="Z25" s="1352" t="str">
        <f>Q25</f>
        <v>自然及人文环境状况</v>
      </c>
      <c r="AA25" s="1349">
        <f t="shared" si="3"/>
        <v>1</v>
      </c>
      <c r="AB25" s="1349">
        <f t="shared" si="4"/>
        <v>1</v>
      </c>
      <c r="AC25" s="1349">
        <f t="shared" si="5"/>
        <v>1</v>
      </c>
    </row>
    <row r="26" spans="1:29" ht="15">
      <c r="A26" s="354"/>
      <c r="B26" s="403"/>
      <c r="C26" s="394" t="s">
        <v>3395</v>
      </c>
      <c r="D26" s="395"/>
      <c r="E26" s="394" t="s">
        <v>3395</v>
      </c>
      <c r="F26" s="395"/>
      <c r="G26" s="394" t="s">
        <v>3395</v>
      </c>
      <c r="H26" s="395"/>
      <c r="I26" s="394" t="s">
        <v>3395</v>
      </c>
      <c r="J26" s="395"/>
      <c r="K26" s="616"/>
      <c r="L26" s="2712"/>
      <c r="M26" s="2706"/>
      <c r="N26" s="2706"/>
      <c r="O26" s="2764"/>
      <c r="P26" s="3735"/>
      <c r="Q26" s="1348"/>
      <c r="R26" s="701"/>
      <c r="S26" s="702"/>
      <c r="T26" s="701"/>
      <c r="U26" s="702"/>
      <c r="V26" s="701"/>
      <c r="W26" s="702"/>
      <c r="X26" s="1351"/>
      <c r="Y26" s="3735"/>
      <c r="Z26" s="1352"/>
      <c r="AA26" s="1349">
        <v>1</v>
      </c>
      <c r="AB26" s="1349">
        <v>1</v>
      </c>
      <c r="AC26" s="1349">
        <v>1</v>
      </c>
    </row>
    <row r="27" spans="1:29" s="106" customFormat="1" ht="42.75">
      <c r="A27" s="593"/>
      <c r="B27" s="1127" t="s">
        <v>1778</v>
      </c>
      <c r="C27" s="1896" t="str">
        <f>估价对象房地状况!C21</f>
        <v>估价对象所在区域公共配套设施齐备情况</v>
      </c>
      <c r="D27" s="397">
        <v>100</v>
      </c>
      <c r="E27" s="399"/>
      <c r="F27" s="397">
        <f>SUMIF(99:99,E28,100:100)-SUMIF(99:99,C28,100:100)+100</f>
        <v>100</v>
      </c>
      <c r="G27" s="399"/>
      <c r="H27" s="397">
        <f>SUMIF(99:99,G28,100:100)-SUMIF(99:99,C28,100:100)+100</f>
        <v>97</v>
      </c>
      <c r="I27" s="401"/>
      <c r="J27" s="397">
        <f>SUMIF(99:99,I28,100:100)-SUMIF(99:99,C28,100:100)+100</f>
        <v>100</v>
      </c>
      <c r="K27" s="617">
        <v>3</v>
      </c>
      <c r="L27" s="2707"/>
      <c r="M27" s="2708"/>
      <c r="N27" s="2708"/>
      <c r="O27" s="2762"/>
      <c r="P27" s="3735"/>
      <c r="Q27" s="1339" t="str">
        <f t="shared" si="8"/>
        <v>公共配套设施</v>
      </c>
      <c r="R27" s="697" t="s">
        <v>14</v>
      </c>
      <c r="S27" s="698">
        <f>F27</f>
        <v>100</v>
      </c>
      <c r="T27" s="697" t="s">
        <v>14</v>
      </c>
      <c r="U27" s="698">
        <f>H27</f>
        <v>97</v>
      </c>
      <c r="V27" s="697" t="s">
        <v>14</v>
      </c>
      <c r="W27" s="698">
        <f>J27</f>
        <v>100</v>
      </c>
      <c r="X27" s="699"/>
      <c r="Y27" s="3735"/>
      <c r="Z27" s="52" t="str">
        <f>Q27</f>
        <v>公共配套设施</v>
      </c>
      <c r="AA27" s="1349">
        <f>D27/F27</f>
        <v>1</v>
      </c>
      <c r="AB27" s="1349">
        <f>D27/H27</f>
        <v>1.0309278350515463</v>
      </c>
      <c r="AC27" s="1349">
        <f>D27/J27</f>
        <v>1</v>
      </c>
    </row>
    <row r="28" spans="1:29" s="106" customFormat="1" ht="15">
      <c r="A28" s="593"/>
      <c r="B28" s="403"/>
      <c r="C28" s="1974" t="s">
        <v>3396</v>
      </c>
      <c r="D28" s="395"/>
      <c r="E28" s="1900" t="s">
        <v>3396</v>
      </c>
      <c r="F28" s="395"/>
      <c r="G28" s="1900" t="s">
        <v>3395</v>
      </c>
      <c r="H28" s="395"/>
      <c r="I28" s="1900" t="s">
        <v>3396</v>
      </c>
      <c r="J28" s="395"/>
      <c r="K28" s="616"/>
      <c r="L28" s="2707"/>
      <c r="M28" s="2708"/>
      <c r="N28" s="2708"/>
      <c r="O28" s="2762"/>
      <c r="P28" s="3735"/>
      <c r="Q28" s="1339"/>
      <c r="R28" s="697"/>
      <c r="S28" s="698"/>
      <c r="T28" s="697"/>
      <c r="U28" s="698"/>
      <c r="V28" s="697"/>
      <c r="W28" s="698"/>
      <c r="X28" s="699"/>
      <c r="Y28" s="3735"/>
      <c r="Z28" s="52"/>
      <c r="AA28" s="1349">
        <v>1</v>
      </c>
      <c r="AB28" s="1349">
        <v>1</v>
      </c>
      <c r="AC28" s="1349">
        <v>1</v>
      </c>
    </row>
    <row r="29" spans="1:29" s="106" customFormat="1" ht="28.5">
      <c r="A29" s="593"/>
      <c r="B29" s="1127" t="s">
        <v>1779</v>
      </c>
      <c r="C29" s="1896"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17">
        <v>1</v>
      </c>
      <c r="L29" s="2707"/>
      <c r="M29" s="2708"/>
      <c r="N29" s="2708"/>
      <c r="O29" s="2762"/>
      <c r="P29" s="3735"/>
      <c r="Q29" s="1339" t="str">
        <f t="shared" ref="Q29" si="9">B29</f>
        <v>基础设施水平</v>
      </c>
      <c r="R29" s="697" t="s">
        <v>14</v>
      </c>
      <c r="S29" s="698">
        <f>F29</f>
        <v>100</v>
      </c>
      <c r="T29" s="697" t="s">
        <v>14</v>
      </c>
      <c r="U29" s="698">
        <f>H29</f>
        <v>100</v>
      </c>
      <c r="V29" s="697" t="s">
        <v>14</v>
      </c>
      <c r="W29" s="698">
        <f>J29</f>
        <v>100</v>
      </c>
      <c r="X29" s="699"/>
      <c r="Y29" s="3735"/>
      <c r="Z29" s="52" t="str">
        <f>Q29</f>
        <v>基础设施水平</v>
      </c>
      <c r="AA29" s="1349">
        <f>D29/F29</f>
        <v>1</v>
      </c>
      <c r="AB29" s="1349">
        <f>D29/H29</f>
        <v>1</v>
      </c>
      <c r="AC29" s="1349">
        <f>D29/J29</f>
        <v>1</v>
      </c>
    </row>
    <row r="30" spans="1:29" s="106" customFormat="1" ht="15">
      <c r="A30" s="593"/>
      <c r="B30" s="403"/>
      <c r="C30" s="1974" t="s">
        <v>3865</v>
      </c>
      <c r="D30" s="395"/>
      <c r="E30" s="1974" t="s">
        <v>3865</v>
      </c>
      <c r="F30" s="395"/>
      <c r="G30" s="1974" t="s">
        <v>3865</v>
      </c>
      <c r="H30" s="395"/>
      <c r="I30" s="1974" t="s">
        <v>3865</v>
      </c>
      <c r="J30" s="395"/>
      <c r="K30" s="616"/>
      <c r="L30" s="2707"/>
      <c r="M30" s="2708"/>
      <c r="N30" s="2708"/>
      <c r="O30" s="2762"/>
      <c r="P30" s="3735"/>
      <c r="Q30" s="1339"/>
      <c r="R30" s="697"/>
      <c r="S30" s="698"/>
      <c r="T30" s="697"/>
      <c r="U30" s="698"/>
      <c r="V30" s="697"/>
      <c r="W30" s="698"/>
      <c r="X30" s="699"/>
      <c r="Y30" s="3735"/>
      <c r="Z30" s="52"/>
      <c r="AA30" s="1349">
        <v>1</v>
      </c>
      <c r="AB30" s="1349">
        <v>1</v>
      </c>
      <c r="AC30" s="1349">
        <v>1</v>
      </c>
    </row>
    <row r="31" spans="1:29" ht="15">
      <c r="A31" s="375"/>
      <c r="B31" s="403" t="s">
        <v>1780</v>
      </c>
      <c r="C31" s="561"/>
      <c r="D31" s="382">
        <v>100</v>
      </c>
      <c r="E31" s="578"/>
      <c r="F31" s="382">
        <f>SUMIF(103:103,E31,104:104)-SUMIF(103:103,C31,104:104)+100</f>
        <v>100</v>
      </c>
      <c r="G31" s="578"/>
      <c r="H31" s="382">
        <f>SUMIF(103:103,G31,104:104)-SUMIF(103:103,C31,104:104)+100</f>
        <v>100</v>
      </c>
      <c r="I31" s="578"/>
      <c r="J31" s="382">
        <f>SUMIF(103:103,I31,104:104)-SUMIF(103:103,C31,104:104)+100</f>
        <v>100</v>
      </c>
      <c r="K31" s="617"/>
      <c r="L31" s="2712"/>
      <c r="M31" s="2706"/>
      <c r="N31" s="2706"/>
      <c r="O31" s="2764"/>
      <c r="P31" s="3735"/>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35"/>
      <c r="Z31" s="1352" t="str">
        <f t="shared" ref="Z31:Z45" si="13">Q31</f>
        <v>临街状况</v>
      </c>
      <c r="AA31" s="1349">
        <f t="shared" si="3"/>
        <v>1</v>
      </c>
      <c r="AB31" s="1349">
        <f t="shared" si="4"/>
        <v>1</v>
      </c>
      <c r="AC31" s="1349">
        <f t="shared" si="5"/>
        <v>1</v>
      </c>
    </row>
    <row r="32" spans="1:29" ht="27">
      <c r="A32" s="375"/>
      <c r="B32" s="1127" t="s">
        <v>1815</v>
      </c>
      <c r="C32" s="3502" t="s">
        <v>3882</v>
      </c>
      <c r="D32" s="397">
        <v>100</v>
      </c>
      <c r="E32" s="3503" t="s">
        <v>3883</v>
      </c>
      <c r="F32" s="397">
        <f>SUMIF(105:105,E33,106:106)-SUMIF(105:105,C33,106:106)+100</f>
        <v>101</v>
      </c>
      <c r="G32" s="3503" t="s">
        <v>3884</v>
      </c>
      <c r="H32" s="397">
        <f>SUMIF(105:105,G33,106:106)-SUMIF(105:105,C33,106:106)+100</f>
        <v>99</v>
      </c>
      <c r="I32" s="3502" t="s">
        <v>3885</v>
      </c>
      <c r="J32" s="397">
        <f>SUMIF(105:105,I33,106:106)-SUMIF(105:105,C33,106:106)+100</f>
        <v>101</v>
      </c>
      <c r="K32" s="617">
        <v>1</v>
      </c>
      <c r="L32" s="2712"/>
      <c r="M32" s="2706"/>
      <c r="N32" s="2706"/>
      <c r="O32" s="2764"/>
      <c r="P32" s="3735"/>
      <c r="Q32" s="1348" t="str">
        <f t="shared" si="8"/>
        <v>毗邻道路的类型与等级</v>
      </c>
      <c r="R32" s="701" t="s">
        <v>14</v>
      </c>
      <c r="S32" s="702">
        <f t="shared" si="10"/>
        <v>101</v>
      </c>
      <c r="T32" s="701" t="s">
        <v>14</v>
      </c>
      <c r="U32" s="702">
        <f t="shared" si="11"/>
        <v>99</v>
      </c>
      <c r="V32" s="701" t="s">
        <v>14</v>
      </c>
      <c r="W32" s="702">
        <f t="shared" si="12"/>
        <v>101</v>
      </c>
      <c r="X32" s="1351"/>
      <c r="Y32" s="3735"/>
      <c r="Z32" s="1352" t="str">
        <f t="shared" si="13"/>
        <v>毗邻道路的类型与等级</v>
      </c>
      <c r="AA32" s="1349">
        <f t="shared" si="3"/>
        <v>0.99009900990099009</v>
      </c>
      <c r="AB32" s="1349">
        <f t="shared" si="4"/>
        <v>1.0101010101010102</v>
      </c>
      <c r="AC32" s="1349">
        <f t="shared" si="5"/>
        <v>0.99009900990099009</v>
      </c>
    </row>
    <row r="33" spans="1:29" ht="15">
      <c r="A33" s="375"/>
      <c r="B33" s="403"/>
      <c r="C33" s="394" t="s">
        <v>3858</v>
      </c>
      <c r="D33" s="395"/>
      <c r="E33" s="1900" t="s">
        <v>3857</v>
      </c>
      <c r="F33" s="395"/>
      <c r="G33" s="1900" t="s">
        <v>3859</v>
      </c>
      <c r="H33" s="395"/>
      <c r="I33" s="1900" t="s">
        <v>3857</v>
      </c>
      <c r="J33" s="395"/>
      <c r="K33" s="558"/>
      <c r="L33" s="2712"/>
      <c r="M33" s="2706"/>
      <c r="N33" s="2706"/>
      <c r="O33" s="2764"/>
      <c r="P33" s="3735"/>
      <c r="Q33" s="1348"/>
      <c r="R33" s="701"/>
      <c r="S33" s="702"/>
      <c r="T33" s="701"/>
      <c r="U33" s="702"/>
      <c r="V33" s="701"/>
      <c r="W33" s="702"/>
      <c r="X33" s="1351"/>
      <c r="Y33" s="3735"/>
      <c r="Z33" s="1352"/>
      <c r="AA33" s="1349">
        <v>1</v>
      </c>
      <c r="AB33" s="1349">
        <v>1</v>
      </c>
      <c r="AC33" s="1349">
        <v>1</v>
      </c>
    </row>
    <row r="34" spans="1:29" ht="15">
      <c r="A34" s="375"/>
      <c r="B34" s="371" t="s">
        <v>1873</v>
      </c>
      <c r="C34" s="561"/>
      <c r="D34" s="382">
        <v>100</v>
      </c>
      <c r="E34" s="578"/>
      <c r="F34" s="382">
        <f>SUMIF(107:107,E34,108:108)-SUMIF(107:107,C34,108:108)+100</f>
        <v>100</v>
      </c>
      <c r="G34" s="578"/>
      <c r="H34" s="382">
        <f>SUMIF(107:107,G34,108:108)-SUMIF(107:107,C34,108:108)+100</f>
        <v>100</v>
      </c>
      <c r="I34" s="561"/>
      <c r="J34" s="382">
        <f>SUMIF(107:107,I34,108:108)-SUMIF(107:107,C34,108:108)+100</f>
        <v>100</v>
      </c>
      <c r="K34" s="557"/>
      <c r="L34" s="2712"/>
      <c r="M34" s="2706"/>
      <c r="N34" s="2706"/>
      <c r="O34" s="2764"/>
      <c r="P34" s="3735"/>
      <c r="Q34" s="1348" t="str">
        <f t="shared" si="8"/>
        <v>土地级别</v>
      </c>
      <c r="R34" s="701" t="s">
        <v>14</v>
      </c>
      <c r="S34" s="702">
        <f t="shared" si="10"/>
        <v>100</v>
      </c>
      <c r="T34" s="701" t="s">
        <v>14</v>
      </c>
      <c r="U34" s="702">
        <f t="shared" si="11"/>
        <v>100</v>
      </c>
      <c r="V34" s="701" t="s">
        <v>14</v>
      </c>
      <c r="W34" s="702">
        <f t="shared" si="12"/>
        <v>100</v>
      </c>
      <c r="X34" s="1351"/>
      <c r="Y34" s="3735"/>
      <c r="Z34" s="1352" t="str">
        <f t="shared" si="13"/>
        <v>土地级别</v>
      </c>
      <c r="AA34" s="1349">
        <f t="shared" si="3"/>
        <v>1</v>
      </c>
      <c r="AB34" s="1349">
        <f t="shared" si="4"/>
        <v>1</v>
      </c>
      <c r="AC34" s="1349">
        <f t="shared" si="5"/>
        <v>1</v>
      </c>
    </row>
    <row r="35" spans="1:29" ht="15">
      <c r="A35" s="354"/>
      <c r="B35" s="1129">
        <v>111</v>
      </c>
      <c r="C35" s="618"/>
      <c r="D35" s="382">
        <v>100</v>
      </c>
      <c r="E35" s="424"/>
      <c r="F35" s="382">
        <f>SUMIF(109:109,E35,110:110)-SUMIF(109:109,C35,110:110)+100</f>
        <v>100</v>
      </c>
      <c r="G35" s="424"/>
      <c r="H35" s="382">
        <f>SUMIF(109:109,G35,110:110)-SUMIF(109:109,C35,110:110)+100</f>
        <v>100</v>
      </c>
      <c r="I35" s="618"/>
      <c r="J35" s="382">
        <f>SUMIF(109:109,I35,110:110)-SUMIF(109:109,C35,110:110)+100</f>
        <v>100</v>
      </c>
      <c r="K35" s="558"/>
      <c r="L35" s="2712"/>
      <c r="M35" s="2706"/>
      <c r="N35" s="2706"/>
      <c r="O35" s="2764"/>
      <c r="P35" s="3735"/>
      <c r="Q35" s="1348">
        <f t="shared" si="8"/>
        <v>111</v>
      </c>
      <c r="R35" s="701" t="s">
        <v>14</v>
      </c>
      <c r="S35" s="702">
        <f t="shared" si="10"/>
        <v>100</v>
      </c>
      <c r="T35" s="701" t="s">
        <v>14</v>
      </c>
      <c r="U35" s="702">
        <f t="shared" si="11"/>
        <v>100</v>
      </c>
      <c r="V35" s="701" t="s">
        <v>14</v>
      </c>
      <c r="W35" s="702">
        <f t="shared" si="12"/>
        <v>100</v>
      </c>
      <c r="X35" s="1351"/>
      <c r="Y35" s="3735"/>
      <c r="Z35" s="1352">
        <f t="shared" si="13"/>
        <v>111</v>
      </c>
      <c r="AA35" s="1349">
        <f t="shared" si="3"/>
        <v>1</v>
      </c>
      <c r="AB35" s="1349">
        <f t="shared" si="4"/>
        <v>1</v>
      </c>
      <c r="AC35" s="1349">
        <f t="shared" si="5"/>
        <v>1</v>
      </c>
    </row>
    <row r="36" spans="1:29" ht="15">
      <c r="A36" s="619"/>
      <c r="B36" s="1130">
        <v>111</v>
      </c>
      <c r="C36" s="618"/>
      <c r="D36" s="382">
        <v>100</v>
      </c>
      <c r="E36" s="424"/>
      <c r="F36" s="382">
        <f>SUMIF(111:111,E37,112:112)-SUMIF(111:111,C37,112:112)+100</f>
        <v>100</v>
      </c>
      <c r="G36" s="424"/>
      <c r="H36" s="382">
        <f>SUMIF(111:111,G36,112:112)-SUMIF(111:111,C36,112:112)+100</f>
        <v>100</v>
      </c>
      <c r="I36" s="618"/>
      <c r="J36" s="382">
        <f>SUMIF(111:111,I36,112:112)-SUMIF(111:111,C36,112:112)+100</f>
        <v>100</v>
      </c>
      <c r="K36" s="558"/>
      <c r="L36" s="2712"/>
      <c r="M36" s="2706"/>
      <c r="N36" s="2706"/>
      <c r="O36" s="2764"/>
      <c r="P36" s="3736" t="s">
        <v>1696</v>
      </c>
      <c r="Q36" s="1348">
        <f t="shared" si="8"/>
        <v>111</v>
      </c>
      <c r="R36" s="701" t="s">
        <v>14</v>
      </c>
      <c r="S36" s="702">
        <f t="shared" si="10"/>
        <v>100</v>
      </c>
      <c r="T36" s="701" t="s">
        <v>14</v>
      </c>
      <c r="U36" s="702">
        <f t="shared" si="11"/>
        <v>100</v>
      </c>
      <c r="V36" s="701" t="s">
        <v>14</v>
      </c>
      <c r="W36" s="702">
        <f t="shared" si="12"/>
        <v>100</v>
      </c>
      <c r="X36" s="1351"/>
      <c r="Y36" s="3737" t="s">
        <v>1696</v>
      </c>
      <c r="Z36" s="1352">
        <f t="shared" si="13"/>
        <v>111</v>
      </c>
      <c r="AA36" s="1349">
        <f t="shared" si="3"/>
        <v>1</v>
      </c>
      <c r="AB36" s="1349">
        <f t="shared" si="4"/>
        <v>1</v>
      </c>
      <c r="AC36" s="1349">
        <f t="shared" si="5"/>
        <v>1</v>
      </c>
    </row>
    <row r="37" spans="1:29" s="418" customFormat="1" ht="15.75" thickBot="1">
      <c r="A37" s="620"/>
      <c r="B37" s="1131">
        <v>111</v>
      </c>
      <c r="C37" s="622"/>
      <c r="D37" s="124">
        <v>100</v>
      </c>
      <c r="E37" s="645"/>
      <c r="F37" s="385">
        <f>SUMIF(113:113,E37,114:114)-SUMIF(113:113,C37,114:114)+100</f>
        <v>100</v>
      </c>
      <c r="G37" s="645"/>
      <c r="H37" s="385">
        <f>SUMIF(113:113,G37,114:114)-SUMIF(113:113,C37,114:114)+100</f>
        <v>100</v>
      </c>
      <c r="I37" s="622"/>
      <c r="J37" s="385">
        <f>SUMIF(113:113,I37,114:114)-SUMIF(113:113,C37,114:114)+100</f>
        <v>100</v>
      </c>
      <c r="K37" s="558"/>
      <c r="L37" s="2711"/>
      <c r="M37" s="2713"/>
      <c r="N37" s="2713"/>
      <c r="O37" s="2765"/>
      <c r="P37" s="3737"/>
      <c r="Q37" s="1348">
        <f t="shared" si="8"/>
        <v>111</v>
      </c>
      <c r="R37" s="704" t="s">
        <v>14</v>
      </c>
      <c r="S37" s="705">
        <f t="shared" si="10"/>
        <v>100</v>
      </c>
      <c r="T37" s="704" t="s">
        <v>14</v>
      </c>
      <c r="U37" s="705">
        <f t="shared" si="11"/>
        <v>100</v>
      </c>
      <c r="V37" s="704" t="s">
        <v>14</v>
      </c>
      <c r="W37" s="705">
        <f t="shared" si="12"/>
        <v>100</v>
      </c>
      <c r="X37" s="706"/>
      <c r="Y37" s="3737"/>
      <c r="Z37" s="707">
        <f t="shared" si="13"/>
        <v>111</v>
      </c>
      <c r="AA37" s="1349">
        <f t="shared" si="3"/>
        <v>1</v>
      </c>
      <c r="AB37" s="1349">
        <f t="shared" si="4"/>
        <v>1</v>
      </c>
      <c r="AC37" s="1349">
        <f t="shared" si="5"/>
        <v>1</v>
      </c>
    </row>
    <row r="38" spans="1:29" ht="15">
      <c r="A38" s="419" t="s">
        <v>1694</v>
      </c>
      <c r="B38" s="403" t="s">
        <v>1874</v>
      </c>
      <c r="C38" s="623">
        <f>'数据-汇总表'!D3</f>
        <v>23586.720000000001</v>
      </c>
      <c r="D38" s="414">
        <v>100</v>
      </c>
      <c r="E38" s="623">
        <f>土地案例!F4</f>
        <v>80000</v>
      </c>
      <c r="F38" s="414">
        <f>LOOKUP(E38,116:116,117:117)-LOOKUP(C38,116:116,117:117)+100</f>
        <v>101</v>
      </c>
      <c r="G38" s="623">
        <f>土地案例!F17</f>
        <v>42477</v>
      </c>
      <c r="H38" s="414">
        <f>LOOKUP(G38,116:116,117:117)-LOOKUP(C38,116:116,117:117)+100</f>
        <v>100.5</v>
      </c>
      <c r="I38" s="475">
        <f>土地案例!F18</f>
        <v>21900</v>
      </c>
      <c r="J38" s="414">
        <f>LOOKUP(I38,116:116,117:117)-LOOKUP(C38,116:116,117:117)+100</f>
        <v>100</v>
      </c>
      <c r="K38" s="558"/>
      <c r="L38" s="2712"/>
      <c r="M38" s="2706"/>
      <c r="N38" s="2706"/>
      <c r="O38" s="2764"/>
      <c r="P38" s="3737"/>
      <c r="Q38" s="1348" t="str">
        <f>B38</f>
        <v>宗地面积</v>
      </c>
      <c r="R38" s="701" t="s">
        <v>14</v>
      </c>
      <c r="S38" s="702">
        <f t="shared" si="10"/>
        <v>101</v>
      </c>
      <c r="T38" s="701" t="s">
        <v>14</v>
      </c>
      <c r="U38" s="702">
        <f t="shared" si="11"/>
        <v>100.5</v>
      </c>
      <c r="V38" s="701" t="s">
        <v>14</v>
      </c>
      <c r="W38" s="702">
        <f t="shared" si="12"/>
        <v>100</v>
      </c>
      <c r="X38" s="1351"/>
      <c r="Y38" s="3737"/>
      <c r="Z38" s="1352" t="str">
        <f t="shared" si="13"/>
        <v>宗地面积</v>
      </c>
      <c r="AA38" s="1349">
        <f t="shared" si="3"/>
        <v>0.99009900990099009</v>
      </c>
      <c r="AB38" s="1349">
        <f t="shared" si="4"/>
        <v>0.99502487562189057</v>
      </c>
      <c r="AC38" s="1349">
        <f t="shared" si="5"/>
        <v>1</v>
      </c>
    </row>
    <row r="39" spans="1:29" ht="15">
      <c r="A39" s="419"/>
      <c r="B39" s="371" t="s">
        <v>1875</v>
      </c>
      <c r="C39" s="1902" t="s">
        <v>3862</v>
      </c>
      <c r="D39" s="382">
        <v>100</v>
      </c>
      <c r="E39" s="1902" t="s">
        <v>3862</v>
      </c>
      <c r="F39" s="382">
        <f>SUMIF(118:118,E39,119:119)-SUMIF(118:118,C39,119:119)+100</f>
        <v>100</v>
      </c>
      <c r="G39" s="1902" t="s">
        <v>3862</v>
      </c>
      <c r="H39" s="382">
        <f>SUMIF(118:118,G39,119:119)-SUMIF(118:118,C39,119:119)+100</f>
        <v>100</v>
      </c>
      <c r="I39" s="1902" t="s">
        <v>3862</v>
      </c>
      <c r="J39" s="382">
        <f>SUMIF(118:118,I39,119:119)-SUMIF(118:118,C39,119:119)+100</f>
        <v>100</v>
      </c>
      <c r="K39" s="557">
        <v>2</v>
      </c>
      <c r="L39" s="2712"/>
      <c r="M39" s="2706"/>
      <c r="N39" s="2706"/>
      <c r="O39" s="2764"/>
      <c r="P39" s="3737"/>
      <c r="Q39" s="1348" t="str">
        <f t="shared" ref="Q39:Q45" si="14">B39</f>
        <v>宗地形状</v>
      </c>
      <c r="R39" s="701" t="s">
        <v>14</v>
      </c>
      <c r="S39" s="702">
        <f t="shared" si="10"/>
        <v>100</v>
      </c>
      <c r="T39" s="701" t="s">
        <v>14</v>
      </c>
      <c r="U39" s="702">
        <f t="shared" si="11"/>
        <v>100</v>
      </c>
      <c r="V39" s="701" t="s">
        <v>14</v>
      </c>
      <c r="W39" s="702">
        <f t="shared" si="12"/>
        <v>100</v>
      </c>
      <c r="X39" s="1351"/>
      <c r="Y39" s="3737"/>
      <c r="Z39" s="1352" t="str">
        <f t="shared" si="13"/>
        <v>宗地形状</v>
      </c>
      <c r="AA39" s="1349">
        <f t="shared" si="3"/>
        <v>1</v>
      </c>
      <c r="AB39" s="1349">
        <f t="shared" si="4"/>
        <v>1</v>
      </c>
      <c r="AC39" s="1349">
        <f t="shared" si="5"/>
        <v>1</v>
      </c>
    </row>
    <row r="40" spans="1:29" ht="15">
      <c r="A40" s="419"/>
      <c r="B40" s="371" t="s">
        <v>1876</v>
      </c>
      <c r="C40" s="1902"/>
      <c r="D40" s="382">
        <v>100</v>
      </c>
      <c r="E40" s="1902"/>
      <c r="F40" s="382">
        <f>SUMIF(120:120,E40,121:121)-SUMIF(120:120,C40,121:121)+100</f>
        <v>100</v>
      </c>
      <c r="G40" s="1902"/>
      <c r="H40" s="382">
        <f>SUMIF(120:120,G40,121:121)-SUMIF(120:120,C40,121:121)+100</f>
        <v>100</v>
      </c>
      <c r="I40" s="1902"/>
      <c r="J40" s="382">
        <f>SUMIF(120:120,I40,121:121)-SUMIF(120:120,C40,121:121)+100</f>
        <v>100</v>
      </c>
      <c r="K40" s="557"/>
      <c r="L40" s="2712"/>
      <c r="M40" s="2706"/>
      <c r="N40" s="2706"/>
      <c r="O40" s="2764"/>
      <c r="P40" s="3737"/>
      <c r="Q40" s="1348" t="str">
        <f t="shared" si="14"/>
        <v>临街宽度及深度</v>
      </c>
      <c r="R40" s="701" t="s">
        <v>14</v>
      </c>
      <c r="S40" s="702">
        <f t="shared" si="10"/>
        <v>100</v>
      </c>
      <c r="T40" s="701" t="s">
        <v>14</v>
      </c>
      <c r="U40" s="702">
        <f t="shared" si="11"/>
        <v>100</v>
      </c>
      <c r="V40" s="701" t="s">
        <v>14</v>
      </c>
      <c r="W40" s="702">
        <f t="shared" si="12"/>
        <v>100</v>
      </c>
      <c r="X40" s="1351"/>
      <c r="Y40" s="3737"/>
      <c r="Z40" s="1352" t="str">
        <f t="shared" si="13"/>
        <v>临街宽度及深度</v>
      </c>
      <c r="AA40" s="1349">
        <f t="shared" si="3"/>
        <v>1</v>
      </c>
      <c r="AB40" s="1349">
        <f t="shared" si="4"/>
        <v>1</v>
      </c>
      <c r="AC40" s="1349">
        <f t="shared" si="5"/>
        <v>1</v>
      </c>
    </row>
    <row r="41" spans="1:29" s="106" customFormat="1" ht="15">
      <c r="A41" s="420"/>
      <c r="B41" s="371" t="s">
        <v>1877</v>
      </c>
      <c r="C41" s="1976" t="s">
        <v>3866</v>
      </c>
      <c r="D41" s="123">
        <v>100</v>
      </c>
      <c r="E41" s="3501" t="s">
        <v>3880</v>
      </c>
      <c r="F41" s="382">
        <f>SUMIF(122:122,E41,123:123)-SUMIF(122:122,C41,123:123)+100</f>
        <v>97</v>
      </c>
      <c r="G41" s="3501" t="s">
        <v>3881</v>
      </c>
      <c r="H41" s="382">
        <f>SUMIF(122:122,G41,123:123)-SUMIF(122:122,C41,123:123)+100</f>
        <v>100</v>
      </c>
      <c r="I41" s="3501" t="s">
        <v>3880</v>
      </c>
      <c r="J41" s="382">
        <f>SUMIF(122:122,I41,123:123)-SUMIF(122:122,C41,123:123)+100</f>
        <v>97</v>
      </c>
      <c r="K41" s="557">
        <v>1</v>
      </c>
      <c r="L41" s="2707"/>
      <c r="M41" s="2708"/>
      <c r="N41" s="2708"/>
      <c r="O41" s="2762"/>
      <c r="P41" s="3737"/>
      <c r="Q41" s="1348" t="str">
        <f t="shared" si="14"/>
        <v>宗地开发程度</v>
      </c>
      <c r="R41" s="697" t="s">
        <v>14</v>
      </c>
      <c r="S41" s="698">
        <f t="shared" si="10"/>
        <v>97</v>
      </c>
      <c r="T41" s="697" t="s">
        <v>14</v>
      </c>
      <c r="U41" s="698">
        <f t="shared" si="11"/>
        <v>100</v>
      </c>
      <c r="V41" s="697" t="s">
        <v>14</v>
      </c>
      <c r="W41" s="698">
        <f t="shared" si="12"/>
        <v>97</v>
      </c>
      <c r="X41" s="699"/>
      <c r="Y41" s="3737"/>
      <c r="Z41" s="52" t="str">
        <f t="shared" si="13"/>
        <v>宗地开发程度</v>
      </c>
      <c r="AA41" s="700">
        <f t="shared" si="3"/>
        <v>1.0309278350515463</v>
      </c>
      <c r="AB41" s="700">
        <f t="shared" si="4"/>
        <v>1</v>
      </c>
      <c r="AC41" s="700">
        <f t="shared" si="5"/>
        <v>1.0309278350515463</v>
      </c>
    </row>
    <row r="42" spans="1:29" ht="15">
      <c r="A42" s="419"/>
      <c r="B42" s="371" t="s">
        <v>1878</v>
      </c>
      <c r="C42" s="1902" t="s">
        <v>3396</v>
      </c>
      <c r="D42" s="382">
        <v>100</v>
      </c>
      <c r="E42" s="1902" t="s">
        <v>3396</v>
      </c>
      <c r="F42" s="382">
        <f>SUMIF(124:124,E42,125:125)-SUMIF(124:124,C42,125:125)+100</f>
        <v>100</v>
      </c>
      <c r="G42" s="1902" t="s">
        <v>3396</v>
      </c>
      <c r="H42" s="382">
        <f>SUMIF(124:124,G42,125:125)-SUMIF(124:124,C42,125:125)+100</f>
        <v>100</v>
      </c>
      <c r="I42" s="1902" t="s">
        <v>3396</v>
      </c>
      <c r="J42" s="382">
        <f>SUMIF(124:124,I42,125:125)-SUMIF(124:124,C42,125:125)+100</f>
        <v>100</v>
      </c>
      <c r="K42" s="557">
        <v>2</v>
      </c>
      <c r="L42" s="2712"/>
      <c r="M42" s="2706"/>
      <c r="N42" s="2706"/>
      <c r="O42" s="2764"/>
      <c r="P42" s="3737" t="s">
        <v>1696</v>
      </c>
      <c r="Q42" s="1348" t="str">
        <f t="shared" si="14"/>
        <v>工程地质条件</v>
      </c>
      <c r="R42" s="701" t="s">
        <v>14</v>
      </c>
      <c r="S42" s="702">
        <f t="shared" si="10"/>
        <v>100</v>
      </c>
      <c r="T42" s="701" t="s">
        <v>14</v>
      </c>
      <c r="U42" s="702">
        <f t="shared" si="11"/>
        <v>100</v>
      </c>
      <c r="V42" s="701" t="s">
        <v>14</v>
      </c>
      <c r="W42" s="702">
        <f t="shared" si="12"/>
        <v>100</v>
      </c>
      <c r="X42" s="1351"/>
      <c r="Y42" s="3737" t="s">
        <v>1696</v>
      </c>
      <c r="Z42" s="1352" t="str">
        <f t="shared" si="13"/>
        <v>工程地质条件</v>
      </c>
      <c r="AA42" s="1349">
        <f t="shared" si="3"/>
        <v>1</v>
      </c>
      <c r="AB42" s="1349">
        <f t="shared" si="4"/>
        <v>1</v>
      </c>
      <c r="AC42" s="1349">
        <f t="shared" si="5"/>
        <v>1</v>
      </c>
    </row>
    <row r="43" spans="1:29" ht="15">
      <c r="A43" s="419"/>
      <c r="B43" s="1130">
        <v>111</v>
      </c>
      <c r="C43" s="618"/>
      <c r="D43" s="382">
        <v>100</v>
      </c>
      <c r="E43" s="618"/>
      <c r="F43" s="382">
        <f>SUMIF(126:126,E43,127:127)-SUMIF(126:126,C43,127:127)+100</f>
        <v>100</v>
      </c>
      <c r="G43" s="618"/>
      <c r="H43" s="382">
        <f>SUMIF(126:126,G43,127:127)-SUMIF(126:126,C43,127:127)+100</f>
        <v>100</v>
      </c>
      <c r="I43" s="494"/>
      <c r="J43" s="382">
        <f>SUMIF(126:126,I43,127:127)-SUMIF(126:126,C43,127:127)+100</f>
        <v>100</v>
      </c>
      <c r="K43" s="558"/>
      <c r="L43" s="2712"/>
      <c r="M43" s="2706"/>
      <c r="N43" s="2706"/>
      <c r="O43" s="2764"/>
      <c r="P43" s="3737"/>
      <c r="Q43" s="1348">
        <f t="shared" si="14"/>
        <v>111</v>
      </c>
      <c r="R43" s="701" t="s">
        <v>14</v>
      </c>
      <c r="S43" s="702">
        <f t="shared" si="10"/>
        <v>100</v>
      </c>
      <c r="T43" s="701" t="s">
        <v>14</v>
      </c>
      <c r="U43" s="702">
        <f t="shared" si="11"/>
        <v>100</v>
      </c>
      <c r="V43" s="701" t="s">
        <v>14</v>
      </c>
      <c r="W43" s="702">
        <f t="shared" si="12"/>
        <v>100</v>
      </c>
      <c r="X43" s="1351"/>
      <c r="Y43" s="3737"/>
      <c r="Z43" s="1352">
        <f t="shared" si="13"/>
        <v>111</v>
      </c>
      <c r="AA43" s="1349">
        <f t="shared" si="3"/>
        <v>1</v>
      </c>
      <c r="AB43" s="1349">
        <f t="shared" si="4"/>
        <v>1</v>
      </c>
      <c r="AC43" s="1349">
        <f t="shared" si="5"/>
        <v>1</v>
      </c>
    </row>
    <row r="44" spans="1:29" ht="15">
      <c r="A44" s="419"/>
      <c r="B44" s="1130">
        <v>111</v>
      </c>
      <c r="C44" s="618"/>
      <c r="D44" s="382">
        <v>100</v>
      </c>
      <c r="E44" s="618"/>
      <c r="F44" s="382">
        <f>SUMIF(128:128,E44,129:129)-SUMIF(128:128,C44,129:129)+100</f>
        <v>100</v>
      </c>
      <c r="G44" s="618"/>
      <c r="H44" s="382">
        <f>SUMIF(128:128,G44,129:129)-SUMIF(128:128,C44,129:129)+100</f>
        <v>100</v>
      </c>
      <c r="I44" s="494"/>
      <c r="J44" s="382">
        <f>SUMIF(128:128,I44,129:129)-SUMIF(128:128,C44,129:129)+100</f>
        <v>100</v>
      </c>
      <c r="K44" s="558"/>
      <c r="L44" s="2712"/>
      <c r="M44" s="2706"/>
      <c r="N44" s="2706"/>
      <c r="O44" s="2764"/>
      <c r="P44" s="3737"/>
      <c r="Q44" s="1348">
        <f t="shared" si="14"/>
        <v>111</v>
      </c>
      <c r="R44" s="701" t="s">
        <v>14</v>
      </c>
      <c r="S44" s="702">
        <f t="shared" si="10"/>
        <v>100</v>
      </c>
      <c r="T44" s="701" t="s">
        <v>14</v>
      </c>
      <c r="U44" s="702">
        <f t="shared" si="11"/>
        <v>100</v>
      </c>
      <c r="V44" s="701" t="s">
        <v>14</v>
      </c>
      <c r="W44" s="702">
        <f t="shared" si="12"/>
        <v>100</v>
      </c>
      <c r="X44" s="1351"/>
      <c r="Y44" s="3737"/>
      <c r="Z44" s="1352">
        <f t="shared" si="13"/>
        <v>111</v>
      </c>
      <c r="AA44" s="1349">
        <f t="shared" si="3"/>
        <v>1</v>
      </c>
      <c r="AB44" s="1349">
        <f t="shared" si="4"/>
        <v>1</v>
      </c>
      <c r="AC44" s="1349">
        <f t="shared" si="5"/>
        <v>1</v>
      </c>
    </row>
    <row r="45" spans="1:29" s="418" customFormat="1" ht="15.75" thickBot="1">
      <c r="A45" s="415"/>
      <c r="B45" s="1130">
        <v>111</v>
      </c>
      <c r="C45" s="1977"/>
      <c r="D45" s="624">
        <v>100</v>
      </c>
      <c r="E45" s="618"/>
      <c r="F45" s="385">
        <f>SUMIF(130:130,E45,131:131)-SUMIF(130:130,C45,131:131)+100</f>
        <v>100</v>
      </c>
      <c r="G45" s="618"/>
      <c r="H45" s="385">
        <f>SUMIF(130:130,G45,131:131)-SUMIF(130:130,C45,131:131)+100</f>
        <v>100</v>
      </c>
      <c r="I45" s="618"/>
      <c r="J45" s="385">
        <f>SUMIF(130:130,I45,131:131)-SUMIF(130:130,C45,131:131)+100</f>
        <v>100</v>
      </c>
      <c r="K45" s="625"/>
      <c r="L45" s="2711"/>
      <c r="M45" s="2713"/>
      <c r="N45" s="2713"/>
      <c r="O45" s="2765"/>
      <c r="P45" s="3737"/>
      <c r="Q45" s="1348">
        <f t="shared" si="14"/>
        <v>111</v>
      </c>
      <c r="R45" s="704" t="s">
        <v>14</v>
      </c>
      <c r="S45" s="705">
        <f t="shared" si="10"/>
        <v>100</v>
      </c>
      <c r="T45" s="704" t="s">
        <v>14</v>
      </c>
      <c r="U45" s="705">
        <f t="shared" si="11"/>
        <v>100</v>
      </c>
      <c r="V45" s="704" t="s">
        <v>14</v>
      </c>
      <c r="W45" s="705">
        <f t="shared" si="12"/>
        <v>100</v>
      </c>
      <c r="X45" s="706"/>
      <c r="Y45" s="3737"/>
      <c r="Z45" s="707">
        <f t="shared" si="13"/>
        <v>111</v>
      </c>
      <c r="AA45" s="1349">
        <f t="shared" si="3"/>
        <v>1</v>
      </c>
      <c r="AB45" s="1349">
        <f t="shared" si="4"/>
        <v>1</v>
      </c>
      <c r="AC45" s="1349">
        <f t="shared" si="5"/>
        <v>1</v>
      </c>
    </row>
    <row r="46" spans="1:29" ht="15">
      <c r="A46" s="426" t="s">
        <v>1844</v>
      </c>
      <c r="B46" s="1978" t="s">
        <v>1879</v>
      </c>
      <c r="C46" s="626" t="s">
        <v>0</v>
      </c>
      <c r="D46" s="428"/>
      <c r="E46" s="429">
        <f>土地案例!S4</f>
        <v>20750</v>
      </c>
      <c r="F46" s="430"/>
      <c r="G46" s="431">
        <f>土地案例!S17</f>
        <v>16715</v>
      </c>
      <c r="H46" s="432"/>
      <c r="I46" s="429">
        <f>土地案例!S18</f>
        <v>21005</v>
      </c>
      <c r="J46" s="432"/>
      <c r="K46" s="710"/>
      <c r="L46" s="2714"/>
      <c r="M46" s="2715"/>
      <c r="N46" s="2706"/>
      <c r="O46" s="2715"/>
      <c r="P46" s="3733" t="str">
        <f>A46</f>
        <v>成交单价</v>
      </c>
      <c r="Q46" s="3733"/>
      <c r="R46" s="3738">
        <f>E46</f>
        <v>20750</v>
      </c>
      <c r="S46" s="3738"/>
      <c r="T46" s="3738">
        <f>G46</f>
        <v>16715</v>
      </c>
      <c r="U46" s="3738"/>
      <c r="V46" s="3738">
        <f>I46</f>
        <v>21005</v>
      </c>
      <c r="W46" s="3738"/>
      <c r="X46" s="686"/>
      <c r="Y46" s="708"/>
      <c r="Z46" s="686"/>
      <c r="AA46" s="686"/>
      <c r="AB46" s="686"/>
      <c r="AC46" s="686"/>
    </row>
    <row r="47" spans="1:29" ht="15.75" thickBot="1">
      <c r="A47" s="433" t="s">
        <v>1793</v>
      </c>
      <c r="B47" s="627"/>
      <c r="C47" s="436">
        <f>R48</f>
        <v>17464</v>
      </c>
      <c r="D47" s="2313" t="s">
        <v>2138</v>
      </c>
      <c r="E47" s="436">
        <f>R47</f>
        <v>18752</v>
      </c>
      <c r="F47" s="2314"/>
      <c r="G47" s="435">
        <f>T47</f>
        <v>15451</v>
      </c>
      <c r="H47" s="2314"/>
      <c r="I47" s="436">
        <f>V47</f>
        <v>18190</v>
      </c>
      <c r="J47" s="2314"/>
      <c r="K47" s="2316">
        <f>F47+H47+J47</f>
        <v>0</v>
      </c>
      <c r="L47" s="2714"/>
      <c r="M47" s="2715"/>
      <c r="N47" s="2715"/>
      <c r="O47" s="2715"/>
      <c r="P47" s="3733" t="str">
        <f>A47</f>
        <v>比较价值（元/平方米）</v>
      </c>
      <c r="Q47" s="3733"/>
      <c r="R47" s="3726">
        <f>ROUND(PRODUCT(R46,AA7:AA45),0)</f>
        <v>18752</v>
      </c>
      <c r="S47" s="3726"/>
      <c r="T47" s="3726">
        <f>ROUND(PRODUCT(T46,AB7:AB45),0)</f>
        <v>15451</v>
      </c>
      <c r="U47" s="3726"/>
      <c r="V47" s="3726">
        <f>ROUND(PRODUCT(V46,AC7:AC45),0)</f>
        <v>18190</v>
      </c>
      <c r="W47" s="3726"/>
      <c r="X47" s="686"/>
      <c r="Y47" s="686"/>
      <c r="Z47" s="686"/>
      <c r="AA47" s="686"/>
      <c r="AB47" s="686"/>
      <c r="AC47" s="686"/>
    </row>
    <row r="48" spans="1:29" ht="15.75" thickBot="1">
      <c r="A48" s="437" t="s">
        <v>1880</v>
      </c>
      <c r="B48" s="438"/>
      <c r="C48" s="439">
        <f>R48</f>
        <v>17464</v>
      </c>
      <c r="D48" s="439"/>
      <c r="E48" s="439"/>
      <c r="F48" s="439"/>
      <c r="G48" s="439"/>
      <c r="H48" s="439"/>
      <c r="I48" s="439"/>
      <c r="J48" s="439"/>
      <c r="K48" s="711"/>
      <c r="L48" s="2714"/>
      <c r="M48" s="2715"/>
      <c r="N48" s="2715"/>
      <c r="O48" s="2715"/>
      <c r="P48" s="3727" t="str">
        <f>A48</f>
        <v>估价对象XX用房的比较价值（楼面单价，元/平方米）</v>
      </c>
      <c r="Q48" s="3728"/>
      <c r="R48" s="3729">
        <f>ROUND(IF(D47="简单平均",AVERAGE(R47:W47),R47*F47+T47*H47+V47*J47),0)</f>
        <v>17464</v>
      </c>
      <c r="S48" s="3729"/>
      <c r="T48" s="3729"/>
      <c r="U48" s="3729"/>
      <c r="V48" s="3729"/>
      <c r="W48" s="3729"/>
      <c r="X48" s="686"/>
      <c r="Y48" s="686"/>
      <c r="Z48" s="686"/>
      <c r="AA48" s="686"/>
      <c r="AB48" s="686"/>
      <c r="AC48" s="686"/>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2" t="s">
        <v>1795</v>
      </c>
      <c r="D51" s="443"/>
      <c r="E51" s="444">
        <f>IF(E46&lt;E47,E47/E46-1,E46/E47-1)</f>
        <v>0.1065486348122866</v>
      </c>
      <c r="F51" s="445" t="str">
        <f>IF(OR(E51&gt;=0.3,E51&lt;=-0.3),"超过30%","")</f>
        <v/>
      </c>
      <c r="G51" s="444">
        <f>IF(G46&lt;G47,G47/G46-1,G46/G47-1)</f>
        <v>8.1807002782991356E-2</v>
      </c>
      <c r="H51" s="445" t="str">
        <f>IF(OR(G51&gt;=0.3,G51&lt;=-0.3),"超过30%","")</f>
        <v/>
      </c>
      <c r="I51" s="444">
        <f>IF(I46&lt;I47,I47/I46-1,I46/I47-1)</f>
        <v>0.15475536008796031</v>
      </c>
      <c r="J51" s="445"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2" t="s">
        <v>1796</v>
      </c>
      <c r="D52" s="446"/>
      <c r="E52" s="444">
        <f>IF(E47&lt;G47,G47/E47-1,E47/G47-1)</f>
        <v>0.21364312989450518</v>
      </c>
      <c r="F52" s="445" t="str">
        <f>IF(OR(E52&gt;=0.2,E52&lt;=-0.2),"超过20%","")</f>
        <v>超过20%</v>
      </c>
      <c r="G52" s="444">
        <f>IF(G47&lt;I47,I47/G47-1,G47/I47-1)</f>
        <v>0.17727007960649788</v>
      </c>
      <c r="H52" s="445" t="str">
        <f>IF(OR(G52&gt;=0.2,G52&lt;=-0.2),"超过20%","")</f>
        <v/>
      </c>
      <c r="I52" s="444">
        <f>IF(I47&lt;E47,E47/I47-1,I47/E47-1)</f>
        <v>3.0896096756459546E-2</v>
      </c>
      <c r="J52" s="445"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47" customFormat="1" ht="13.5" customHeight="1">
      <c r="A53" s="2718"/>
      <c r="B53" s="2718"/>
      <c r="C53" s="442" t="s">
        <v>1797</v>
      </c>
      <c r="D53" s="446"/>
      <c r="E53" s="444">
        <f>IF(E46&lt;G46,G46/E46-1,E46/G46-1)</f>
        <v>0.24139994017349675</v>
      </c>
      <c r="F53" s="445" t="str">
        <f>IF(OR(E53&gt;=0.3,E53&lt;=-0.3),"超过30%","")</f>
        <v/>
      </c>
      <c r="G53" s="444">
        <f>IF(G46&lt;I46,I46/G46-1,G46/I46-1)</f>
        <v>0.25665569847442415</v>
      </c>
      <c r="H53" s="445" t="str">
        <f>IF(OR(G53&gt;=0.3,G53&lt;=-0.3),"超过30%","")</f>
        <v/>
      </c>
      <c r="I53" s="444">
        <f>IF(I46&lt;E46,E46/I46-1,I46/E46-1)</f>
        <v>1.2289156626505982E-2</v>
      </c>
      <c r="J53" s="445"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47" customFormat="1" ht="15" thickBot="1">
      <c r="A54" s="2718"/>
      <c r="B54" s="2721"/>
      <c r="C54" s="689"/>
      <c r="D54" s="687"/>
      <c r="E54" s="687"/>
      <c r="F54" s="687"/>
      <c r="G54" s="687"/>
      <c r="H54" s="687"/>
      <c r="I54" s="687"/>
      <c r="J54" s="687"/>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8" t="s">
        <v>1881</v>
      </c>
      <c r="B55" s="629" t="s">
        <v>1882</v>
      </c>
      <c r="C55" s="1979" t="s">
        <v>1883</v>
      </c>
      <c r="D55" s="1980" t="s">
        <v>1884</v>
      </c>
      <c r="E55" s="630" t="s">
        <v>1885</v>
      </c>
      <c r="F55" s="886" t="s">
        <v>1886</v>
      </c>
      <c r="G55" s="3730" t="s">
        <v>1887</v>
      </c>
      <c r="H55" s="3731"/>
      <c r="I55" s="131" t="s">
        <v>1888</v>
      </c>
      <c r="J55" s="1981">
        <f>项目基本情况!F35</f>
        <v>0</v>
      </c>
      <c r="K55" s="1982" t="s">
        <v>1889</v>
      </c>
      <c r="L55" s="2716"/>
      <c r="M55" s="2715"/>
      <c r="N55" s="2715"/>
      <c r="O55" s="2715"/>
      <c r="P55" s="2715"/>
      <c r="Q55" s="2715"/>
      <c r="R55" s="2715"/>
      <c r="S55" s="2715"/>
      <c r="T55" s="2715"/>
      <c r="U55" s="2715"/>
      <c r="V55" s="2715"/>
      <c r="W55" s="2715"/>
      <c r="X55" s="2715"/>
      <c r="Y55" s="2715"/>
      <c r="Z55" s="2715"/>
      <c r="AA55" s="2715"/>
      <c r="AB55" s="2715"/>
      <c r="AC55" s="2715"/>
    </row>
    <row r="56" spans="1:29" s="636" customFormat="1">
      <c r="A56" s="632" t="s">
        <v>1890</v>
      </c>
      <c r="B56" s="633">
        <f>C48</f>
        <v>17464</v>
      </c>
      <c r="C56" s="634">
        <v>1</v>
      </c>
      <c r="D56" s="940">
        <v>1</v>
      </c>
      <c r="E56" s="634">
        <f>'数据-汇总表'!E8+'数据-汇总表'!E9</f>
        <v>56213.600000000013</v>
      </c>
      <c r="F56" s="882">
        <f t="shared" ref="F56:F64" si="15">ROUND(B56*E56/10000,0)</f>
        <v>98171</v>
      </c>
      <c r="G56" s="3732"/>
      <c r="H56" s="3733"/>
      <c r="I56" s="887">
        <v>1</v>
      </c>
      <c r="J56" s="890">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6" customFormat="1">
      <c r="A57" s="637" t="s">
        <v>1891</v>
      </c>
      <c r="B57" s="214">
        <f>ROUND($C$48*C57*D57,0)</f>
        <v>0</v>
      </c>
      <c r="C57" s="167">
        <f t="shared" ref="C57:C64" si="16">IF($C$55="北京市系数",I57,J57)</f>
        <v>0</v>
      </c>
      <c r="D57" s="941">
        <v>0.25</v>
      </c>
      <c r="E57" s="638"/>
      <c r="F57" s="882">
        <f t="shared" si="15"/>
        <v>0</v>
      </c>
      <c r="G57" s="2996" t="s">
        <v>1892</v>
      </c>
      <c r="H57" s="883">
        <f>项目基本情况!B37</f>
        <v>0</v>
      </c>
      <c r="I57" s="887">
        <f>SUMIF(修正!A57:A68,H57,修正!B57:B68)</f>
        <v>0</v>
      </c>
      <c r="J57" s="891"/>
      <c r="K57" s="2715"/>
      <c r="L57" s="2772"/>
      <c r="M57" s="2772"/>
      <c r="N57" s="2772"/>
      <c r="O57" s="2772"/>
      <c r="P57" s="2772"/>
      <c r="Q57" s="2772"/>
      <c r="R57" s="2772"/>
      <c r="S57" s="2772"/>
      <c r="T57" s="2772"/>
      <c r="U57" s="2772"/>
      <c r="V57" s="2772"/>
      <c r="W57" s="2772"/>
      <c r="X57" s="2772"/>
      <c r="Y57" s="2772"/>
      <c r="Z57" s="2772"/>
      <c r="AA57" s="2772"/>
      <c r="AB57" s="2772"/>
      <c r="AC57" s="2772"/>
    </row>
    <row r="58" spans="1:29" s="636" customFormat="1">
      <c r="A58" s="637" t="s">
        <v>1893</v>
      </c>
      <c r="B58" s="214">
        <f t="shared" ref="B58:B64" si="17">ROUND($C$48*C58*D58,0)</f>
        <v>0</v>
      </c>
      <c r="C58" s="167">
        <f t="shared" si="16"/>
        <v>0</v>
      </c>
      <c r="D58" s="941">
        <v>0.25</v>
      </c>
      <c r="E58" s="638"/>
      <c r="F58" s="882">
        <f t="shared" si="15"/>
        <v>0</v>
      </c>
      <c r="G58" s="2997"/>
      <c r="H58" s="883">
        <f>项目基本情况!B37</f>
        <v>0</v>
      </c>
      <c r="I58" s="887">
        <f>SUMIF(修正!A57:A68,H58,修正!C57:C68)</f>
        <v>0</v>
      </c>
      <c r="J58" s="891"/>
      <c r="K58" s="2718"/>
      <c r="L58" s="2772"/>
      <c r="M58" s="2772"/>
      <c r="N58" s="2772"/>
      <c r="O58" s="2772"/>
      <c r="P58" s="2772"/>
      <c r="Q58" s="2772"/>
      <c r="R58" s="2772"/>
      <c r="S58" s="2772"/>
      <c r="T58" s="2772"/>
      <c r="U58" s="2772"/>
      <c r="V58" s="2772"/>
      <c r="W58" s="2772"/>
      <c r="X58" s="2772"/>
      <c r="Y58" s="2772"/>
      <c r="Z58" s="2772"/>
      <c r="AA58" s="2772"/>
      <c r="AB58" s="2772"/>
      <c r="AC58" s="2772"/>
    </row>
    <row r="59" spans="1:29" s="636" customFormat="1">
      <c r="A59" s="637" t="s">
        <v>1894</v>
      </c>
      <c r="B59" s="214">
        <f t="shared" si="17"/>
        <v>0</v>
      </c>
      <c r="C59" s="167">
        <f t="shared" si="16"/>
        <v>0</v>
      </c>
      <c r="D59" s="941">
        <v>0.25</v>
      </c>
      <c r="E59" s="638"/>
      <c r="F59" s="882">
        <f t="shared" si="15"/>
        <v>0</v>
      </c>
      <c r="G59" s="2997"/>
      <c r="H59" s="883">
        <f>项目基本情况!B37</f>
        <v>0</v>
      </c>
      <c r="I59" s="887">
        <f>SUMIF(修正!A57:A68,H59,修正!D57:D68)</f>
        <v>0</v>
      </c>
      <c r="J59" s="891"/>
      <c r="K59" s="2715"/>
      <c r="L59" s="2772"/>
      <c r="M59" s="2772"/>
      <c r="N59" s="2772"/>
      <c r="O59" s="2772"/>
      <c r="P59" s="2772"/>
      <c r="Q59" s="2772"/>
      <c r="R59" s="2772"/>
      <c r="S59" s="2772"/>
      <c r="T59" s="2772"/>
      <c r="U59" s="2772"/>
      <c r="V59" s="2772"/>
      <c r="W59" s="2772"/>
      <c r="X59" s="2772"/>
      <c r="Y59" s="2772"/>
      <c r="Z59" s="2772"/>
      <c r="AA59" s="2772"/>
      <c r="AB59" s="2772"/>
      <c r="AC59" s="2772"/>
    </row>
    <row r="60" spans="1:29" s="636" customFormat="1">
      <c r="A60" s="637" t="s">
        <v>1895</v>
      </c>
      <c r="B60" s="214">
        <f t="shared" si="17"/>
        <v>1092</v>
      </c>
      <c r="C60" s="167">
        <f t="shared" si="16"/>
        <v>0.25</v>
      </c>
      <c r="D60" s="941">
        <v>0.25</v>
      </c>
      <c r="E60" s="213">
        <f>'数据-汇总表'!E11</f>
        <v>25708.589999999997</v>
      </c>
      <c r="F60" s="882">
        <f t="shared" si="15"/>
        <v>2807</v>
      </c>
      <c r="G60" s="1983" t="s">
        <v>1896</v>
      </c>
      <c r="H60" s="883" t="str">
        <f>项目基本情况!C37</f>
        <v>五级</v>
      </c>
      <c r="I60" s="887">
        <f>SUMIF(修正!A57:A68,H60,修正!E57:E68)</f>
        <v>0.25</v>
      </c>
      <c r="J60" s="891"/>
      <c r="K60" s="2715"/>
      <c r="L60" s="2772"/>
      <c r="M60" s="2772"/>
      <c r="N60" s="2772"/>
      <c r="O60" s="2772"/>
      <c r="P60" s="2772"/>
      <c r="Q60" s="2772"/>
      <c r="R60" s="2772"/>
      <c r="S60" s="2772"/>
      <c r="T60" s="2772"/>
      <c r="U60" s="2772"/>
      <c r="V60" s="2772"/>
      <c r="W60" s="2772"/>
      <c r="X60" s="2772"/>
      <c r="Y60" s="2772"/>
      <c r="Z60" s="2772"/>
      <c r="AA60" s="2772"/>
      <c r="AB60" s="2772"/>
      <c r="AC60" s="2772"/>
    </row>
    <row r="61" spans="1:29" s="636" customFormat="1">
      <c r="A61" s="637" t="s">
        <v>1897</v>
      </c>
      <c r="B61" s="214">
        <f t="shared" si="17"/>
        <v>1092</v>
      </c>
      <c r="C61" s="167">
        <f t="shared" si="16"/>
        <v>0.25</v>
      </c>
      <c r="D61" s="941">
        <v>0.25</v>
      </c>
      <c r="E61" s="213">
        <f>'数据-汇总表'!E12</f>
        <v>0</v>
      </c>
      <c r="F61" s="882">
        <f t="shared" si="15"/>
        <v>0</v>
      </c>
      <c r="G61" s="888" t="s">
        <v>1898</v>
      </c>
      <c r="H61" s="883" t="str">
        <f>IF(G61="商业",项目基本情况!B37,IF(G61="办公",项目基本情况!C37,IF(G61="住宅",项目基本情况!D37,项目基本情况!E37)))</f>
        <v>五级</v>
      </c>
      <c r="I61" s="887">
        <f>SUMIF(修正!A57:A68,H61,修正!F57:F68)</f>
        <v>0.25</v>
      </c>
      <c r="J61" s="891"/>
      <c r="K61" s="2718"/>
      <c r="L61" s="2772"/>
      <c r="M61" s="2772"/>
      <c r="N61" s="2772"/>
      <c r="O61" s="2772"/>
      <c r="P61" s="2772"/>
      <c r="Q61" s="2772"/>
      <c r="R61" s="2772"/>
      <c r="S61" s="2772"/>
      <c r="T61" s="2772"/>
      <c r="U61" s="2772"/>
      <c r="V61" s="2772"/>
      <c r="W61" s="2772"/>
      <c r="X61" s="2772"/>
      <c r="Y61" s="2772"/>
      <c r="Z61" s="2772"/>
      <c r="AA61" s="2772"/>
      <c r="AB61" s="2772"/>
      <c r="AC61" s="2772"/>
    </row>
    <row r="62" spans="1:29" s="636" customFormat="1">
      <c r="A62" s="637" t="s">
        <v>1899</v>
      </c>
      <c r="B62" s="214">
        <f t="shared" si="17"/>
        <v>0</v>
      </c>
      <c r="C62" s="167">
        <f t="shared" si="16"/>
        <v>0</v>
      </c>
      <c r="D62" s="941">
        <v>0.25</v>
      </c>
      <c r="E62" s="213">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15"/>
      <c r="L62" s="2772"/>
      <c r="M62" s="2772"/>
      <c r="N62" s="2772"/>
      <c r="O62" s="2772"/>
      <c r="P62" s="2772"/>
      <c r="Q62" s="2772"/>
      <c r="R62" s="2772"/>
      <c r="S62" s="2772"/>
      <c r="T62" s="2772"/>
      <c r="U62" s="2772"/>
      <c r="V62" s="2772"/>
      <c r="W62" s="2772"/>
      <c r="X62" s="2772"/>
      <c r="Y62" s="2772"/>
      <c r="Z62" s="2772"/>
      <c r="AA62" s="2772"/>
      <c r="AB62" s="2772"/>
      <c r="AC62" s="2772"/>
    </row>
    <row r="63" spans="1:29" s="636" customFormat="1">
      <c r="A63" s="637" t="s">
        <v>1901</v>
      </c>
      <c r="B63" s="214">
        <f t="shared" si="17"/>
        <v>0</v>
      </c>
      <c r="C63" s="167">
        <f t="shared" si="16"/>
        <v>0</v>
      </c>
      <c r="D63" s="941">
        <v>0.25</v>
      </c>
      <c r="E63" s="213">
        <f>'数据-汇总表'!E14</f>
        <v>0</v>
      </c>
      <c r="F63" s="882">
        <f t="shared" si="15"/>
        <v>0</v>
      </c>
      <c r="G63" s="1983" t="s">
        <v>1892</v>
      </c>
      <c r="H63" s="883">
        <f>项目基本情况!B37</f>
        <v>0</v>
      </c>
      <c r="I63" s="887">
        <f>SUMIF(修正!A57:A68,H63,修正!G57:G68)</f>
        <v>0</v>
      </c>
      <c r="J63" s="891"/>
      <c r="K63" s="2718"/>
      <c r="L63" s="2772"/>
      <c r="M63" s="2772"/>
      <c r="N63" s="2772"/>
      <c r="O63" s="2772"/>
      <c r="P63" s="2772"/>
      <c r="Q63" s="2772"/>
      <c r="R63" s="2772"/>
      <c r="S63" s="2772"/>
      <c r="T63" s="2772"/>
      <c r="U63" s="2772"/>
      <c r="V63" s="2772"/>
      <c r="W63" s="2772"/>
      <c r="X63" s="2772"/>
      <c r="Y63" s="2772"/>
      <c r="Z63" s="2772"/>
      <c r="AA63" s="2772"/>
      <c r="AB63" s="2772"/>
      <c r="AC63" s="2772"/>
    </row>
    <row r="64" spans="1:29" s="636" customFormat="1" ht="15" thickBot="1">
      <c r="A64" s="637" t="s">
        <v>1902</v>
      </c>
      <c r="B64" s="214">
        <f t="shared" si="17"/>
        <v>655</v>
      </c>
      <c r="C64" s="167">
        <f t="shared" si="16"/>
        <v>0.15</v>
      </c>
      <c r="D64" s="941">
        <v>0.25</v>
      </c>
      <c r="E64" s="213">
        <f>'数据-汇总表'!E15</f>
        <v>21174.010000000002</v>
      </c>
      <c r="F64" s="882">
        <f t="shared" si="15"/>
        <v>1387</v>
      </c>
      <c r="G64" s="1984" t="s">
        <v>1896</v>
      </c>
      <c r="H64" s="893" t="str">
        <f>项目基本情况!C37</f>
        <v>五级</v>
      </c>
      <c r="I64" s="889">
        <f>SUMIF(修正!A57:A68,H64,修正!G57:G68)</f>
        <v>0.15</v>
      </c>
      <c r="J64" s="892"/>
      <c r="K64" s="2715"/>
      <c r="L64" s="2772"/>
      <c r="M64" s="2772"/>
      <c r="N64" s="2772"/>
      <c r="O64" s="2772"/>
      <c r="P64" s="2772"/>
      <c r="Q64" s="2772"/>
      <c r="R64" s="2772"/>
      <c r="S64" s="2772"/>
      <c r="T64" s="2772"/>
      <c r="U64" s="2772"/>
      <c r="V64" s="2772"/>
      <c r="W64" s="2772"/>
      <c r="X64" s="2772"/>
      <c r="Y64" s="2772"/>
      <c r="Z64" s="2772"/>
      <c r="AA64" s="2772"/>
      <c r="AB64" s="2772"/>
      <c r="AC64" s="2772"/>
    </row>
    <row r="65" spans="1:29" s="636" customFormat="1" ht="13.5" thickBot="1">
      <c r="A65" s="639" t="s">
        <v>1903</v>
      </c>
      <c r="B65" s="640" t="s">
        <v>22</v>
      </c>
      <c r="C65" s="640" t="s">
        <v>23</v>
      </c>
      <c r="D65" s="640" t="s">
        <v>392</v>
      </c>
      <c r="E65" s="640">
        <f>IF(B46="楼面地价",SUM(E56:E64),'数据-汇总表'!D3)</f>
        <v>103096.20000000001</v>
      </c>
      <c r="F65" s="641">
        <f>IF(B46="楼面地价",SUM(F56:F64),ROUND(C48*E65/10000,0))</f>
        <v>102365</v>
      </c>
      <c r="G65" s="713"/>
      <c r="H65" s="713"/>
      <c r="I65" s="713"/>
      <c r="J65" s="713"/>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6"/>
      <c r="B66" s="688"/>
      <c r="C66" s="689"/>
      <c r="D66" s="686"/>
      <c r="E66" s="686"/>
      <c r="F66" s="686"/>
      <c r="G66" s="686"/>
      <c r="H66" s="686"/>
      <c r="I66" s="686"/>
      <c r="J66" s="923"/>
      <c r="K66" s="884"/>
      <c r="L66" s="885"/>
      <c r="M66" s="923"/>
      <c r="N66" s="923"/>
      <c r="O66" s="923"/>
      <c r="P66" s="2715"/>
      <c r="Q66" s="2715"/>
      <c r="R66" s="2715"/>
      <c r="S66" s="2715"/>
      <c r="T66" s="2715"/>
      <c r="U66" s="2715"/>
      <c r="V66" s="2715"/>
      <c r="W66" s="2715"/>
      <c r="X66" s="2715"/>
      <c r="Y66" s="2715"/>
      <c r="Z66" s="2715"/>
      <c r="AA66" s="2715"/>
      <c r="AB66" s="2715"/>
      <c r="AC66" s="2715"/>
    </row>
    <row r="67" spans="1:29">
      <c r="A67" s="686"/>
      <c r="B67" s="688"/>
      <c r="C67" s="688" t="str">
        <f>YEAR(C7)&amp;"-"&amp;MONTH(C7)&amp;"-1"</f>
        <v>2023-3-1</v>
      </c>
      <c r="D67" s="688">
        <f>EDATE(C67,-3)</f>
        <v>44896</v>
      </c>
      <c r="E67" s="688">
        <f>EDATE(D67,-3)</f>
        <v>44805</v>
      </c>
      <c r="F67" s="688">
        <f t="shared" ref="F67:O67" si="18">EDATE(E67,-3)</f>
        <v>44713</v>
      </c>
      <c r="G67" s="688">
        <f t="shared" si="18"/>
        <v>44621</v>
      </c>
      <c r="H67" s="688">
        <f t="shared" si="18"/>
        <v>44531</v>
      </c>
      <c r="I67" s="688">
        <f t="shared" si="18"/>
        <v>44440</v>
      </c>
      <c r="J67" s="688">
        <f t="shared" si="18"/>
        <v>44348</v>
      </c>
      <c r="K67" s="688">
        <f t="shared" si="18"/>
        <v>44256</v>
      </c>
      <c r="L67" s="688">
        <f t="shared" si="18"/>
        <v>44166</v>
      </c>
      <c r="M67" s="688">
        <f t="shared" si="18"/>
        <v>44075</v>
      </c>
      <c r="N67" s="688">
        <f t="shared" si="18"/>
        <v>43983</v>
      </c>
      <c r="O67" s="688">
        <f t="shared" si="18"/>
        <v>43891</v>
      </c>
      <c r="P67" s="2715"/>
      <c r="Q67" s="2715"/>
      <c r="R67" s="2715"/>
      <c r="S67" s="2715"/>
      <c r="T67" s="2715"/>
      <c r="U67" s="2715"/>
      <c r="V67" s="2715"/>
      <c r="W67" s="2715"/>
      <c r="X67" s="2715"/>
      <c r="Y67" s="2715"/>
      <c r="Z67" s="2715"/>
      <c r="AA67" s="2715"/>
      <c r="AB67" s="2715"/>
      <c r="AC67" s="2715"/>
    </row>
    <row r="68" spans="1:29" ht="21.75" thickBot="1">
      <c r="A68" s="690" t="s">
        <v>1798</v>
      </c>
      <c r="B68" s="686"/>
      <c r="C68" s="691"/>
      <c r="D68" s="691"/>
      <c r="E68" s="691"/>
      <c r="F68" s="692"/>
      <c r="G68" s="692"/>
      <c r="H68" s="691"/>
      <c r="I68" s="691"/>
      <c r="J68" s="936"/>
      <c r="K68" s="937"/>
      <c r="L68" s="938"/>
      <c r="M68" s="936"/>
      <c r="N68" s="2759"/>
      <c r="O68" s="2759"/>
      <c r="P68" s="2759"/>
      <c r="Q68" s="2729"/>
      <c r="R68" s="2715"/>
      <c r="S68" s="2715"/>
      <c r="T68" s="2715"/>
      <c r="U68" s="2715"/>
      <c r="V68" s="2715"/>
      <c r="W68" s="2715"/>
      <c r="X68" s="2715"/>
      <c r="Y68" s="2715"/>
      <c r="Z68" s="2715"/>
      <c r="AA68" s="2715"/>
      <c r="AB68" s="2715"/>
      <c r="AC68" s="2715"/>
    </row>
    <row r="69" spans="1:29" s="453" customFormat="1" ht="15">
      <c r="A69" s="1985" t="s">
        <v>1904</v>
      </c>
      <c r="B69" s="1105"/>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66"/>
      <c r="Q69" s="2731"/>
      <c r="R69" s="2731"/>
      <c r="S69" s="2731"/>
      <c r="T69" s="2731"/>
      <c r="U69" s="2731"/>
      <c r="V69" s="2731"/>
      <c r="W69" s="2731"/>
      <c r="X69" s="2731"/>
      <c r="Y69" s="2731"/>
      <c r="Z69" s="2731"/>
      <c r="AA69" s="2731"/>
      <c r="AB69" s="2731"/>
      <c r="AC69" s="2731"/>
    </row>
    <row r="70" spans="1:29" s="106" customFormat="1" ht="30" customHeight="1">
      <c r="A70" s="1986" t="s">
        <v>1905</v>
      </c>
      <c r="B70" s="284" t="str">
        <f>"北京市平均增长率"&amp;TEXT(SUMIF(基准地价修正!N25:N29,A70,基准地价修正!P25:P29),"0.00%")</f>
        <v>北京市平均增长率0.00%</v>
      </c>
      <c r="C70" s="548">
        <v>100</v>
      </c>
      <c r="D70" s="6">
        <f>C70-$C$71</f>
        <v>99</v>
      </c>
      <c r="E70" s="6">
        <f t="shared" ref="E70:M70" si="20">D70-$C$71</f>
        <v>98</v>
      </c>
      <c r="F70" s="6">
        <f t="shared" si="20"/>
        <v>97</v>
      </c>
      <c r="G70" s="6">
        <f t="shared" si="20"/>
        <v>96</v>
      </c>
      <c r="H70" s="6">
        <f t="shared" si="20"/>
        <v>95</v>
      </c>
      <c r="I70" s="6">
        <f t="shared" si="20"/>
        <v>94</v>
      </c>
      <c r="J70" s="6">
        <f t="shared" si="20"/>
        <v>93</v>
      </c>
      <c r="K70" s="6">
        <f t="shared" si="20"/>
        <v>92</v>
      </c>
      <c r="L70" s="6">
        <f t="shared" si="20"/>
        <v>91</v>
      </c>
      <c r="M70" s="6">
        <f t="shared" si="20"/>
        <v>90</v>
      </c>
      <c r="N70" s="540"/>
      <c r="O70" s="1175"/>
      <c r="P70" s="2729"/>
      <c r="Q70" s="2652"/>
      <c r="R70" s="2652"/>
      <c r="S70" s="2652"/>
      <c r="T70" s="2652"/>
      <c r="U70" s="2652"/>
      <c r="V70" s="2652"/>
      <c r="W70" s="2652"/>
      <c r="X70" s="2652"/>
      <c r="Y70" s="2652"/>
      <c r="Z70" s="2652"/>
      <c r="AA70" s="2652"/>
      <c r="AB70" s="2652"/>
      <c r="AC70" s="2652"/>
    </row>
    <row r="71" spans="1:29" s="106" customFormat="1" ht="15.75" thickBot="1">
      <c r="A71" s="460" t="s">
        <v>1716</v>
      </c>
      <c r="B71" s="461"/>
      <c r="C71" s="462">
        <v>1</v>
      </c>
      <c r="D71" s="463"/>
      <c r="E71" s="463"/>
      <c r="F71" s="463"/>
      <c r="G71" s="463"/>
      <c r="H71" s="463"/>
      <c r="I71" s="463"/>
      <c r="J71" s="463"/>
      <c r="K71" s="463"/>
      <c r="L71" s="463"/>
      <c r="M71" s="464"/>
      <c r="N71" s="463"/>
      <c r="O71" s="939"/>
      <c r="P71" s="2729"/>
      <c r="Q71" s="2729"/>
      <c r="R71" s="2652"/>
      <c r="S71" s="2652"/>
      <c r="T71" s="2652"/>
      <c r="U71" s="2652"/>
      <c r="V71" s="2652"/>
      <c r="W71" s="2652"/>
      <c r="X71" s="2652"/>
      <c r="Y71" s="2652"/>
      <c r="Z71" s="2652"/>
      <c r="AA71" s="2652"/>
      <c r="AB71" s="2652"/>
      <c r="AC71" s="2652"/>
    </row>
    <row r="72" spans="1:29" s="106" customFormat="1" ht="15">
      <c r="A72" s="466" t="s">
        <v>1681</v>
      </c>
      <c r="B72" s="455"/>
      <c r="C72" s="467" t="s">
        <v>1776</v>
      </c>
      <c r="D72" s="468"/>
      <c r="E72" s="468"/>
      <c r="F72" s="468"/>
      <c r="G72" s="468"/>
      <c r="H72" s="468"/>
      <c r="I72" s="468"/>
      <c r="J72" s="468"/>
      <c r="K72" s="468"/>
      <c r="L72" s="469"/>
      <c r="M72" s="470"/>
      <c r="N72" s="2742"/>
      <c r="O72" s="2742"/>
      <c r="P72" s="2767"/>
      <c r="Q72" s="2729"/>
      <c r="R72" s="2652"/>
      <c r="S72" s="2652"/>
      <c r="T72" s="2652"/>
      <c r="U72" s="2652"/>
      <c r="V72" s="2652"/>
      <c r="W72" s="2652"/>
      <c r="X72" s="2652"/>
      <c r="Y72" s="2652"/>
      <c r="Z72" s="2652"/>
      <c r="AA72" s="2652"/>
      <c r="AB72" s="2652"/>
      <c r="AC72" s="2652"/>
    </row>
    <row r="73" spans="1:29" s="106" customFormat="1" ht="15.75" thickBot="1">
      <c r="A73" s="466"/>
      <c r="B73" s="455"/>
      <c r="C73" s="583">
        <v>100</v>
      </c>
      <c r="D73" s="457"/>
      <c r="E73" s="457"/>
      <c r="F73" s="457"/>
      <c r="G73" s="457"/>
      <c r="H73" s="457"/>
      <c r="I73" s="457"/>
      <c r="J73" s="457"/>
      <c r="K73" s="457"/>
      <c r="L73" s="457"/>
      <c r="M73" s="459"/>
      <c r="N73" s="2742"/>
      <c r="O73" s="2742"/>
      <c r="P73" s="2729"/>
      <c r="Q73" s="2729"/>
      <c r="R73" s="2652"/>
      <c r="S73" s="2652"/>
      <c r="T73" s="2652"/>
      <c r="U73" s="2652"/>
      <c r="V73" s="2652"/>
      <c r="W73" s="2652"/>
      <c r="X73" s="2652"/>
      <c r="Y73" s="2652"/>
      <c r="Z73" s="2652"/>
      <c r="AA73" s="2652"/>
      <c r="AB73" s="2652"/>
      <c r="AC73" s="2652"/>
    </row>
    <row r="74" spans="1:29">
      <c r="A74" s="472" t="s">
        <v>1719</v>
      </c>
      <c r="B74" s="473" t="s">
        <v>1685</v>
      </c>
      <c r="C74" s="3491" t="s">
        <v>3854</v>
      </c>
      <c r="D74" s="3491" t="s">
        <v>3855</v>
      </c>
      <c r="E74" s="475"/>
      <c r="F74" s="475"/>
      <c r="G74" s="475"/>
      <c r="H74" s="475"/>
      <c r="I74" s="475"/>
      <c r="J74" s="475"/>
      <c r="K74" s="476"/>
      <c r="L74" s="477"/>
      <c r="M74" s="478"/>
      <c r="N74" s="2743"/>
      <c r="O74" s="2743"/>
      <c r="P74" s="2768"/>
      <c r="Q74" s="2729"/>
      <c r="R74" s="2715"/>
      <c r="S74" s="2715"/>
      <c r="T74" s="2715"/>
      <c r="U74" s="2715"/>
      <c r="V74" s="2715"/>
      <c r="W74" s="2715"/>
      <c r="X74" s="2715"/>
      <c r="Y74" s="2715"/>
      <c r="Z74" s="2715"/>
      <c r="AA74" s="2715"/>
      <c r="AB74" s="2715"/>
      <c r="AC74" s="2715"/>
    </row>
    <row r="75" spans="1:29" ht="15.75" thickBot="1">
      <c r="A75" s="479"/>
      <c r="B75" s="480"/>
      <c r="C75" s="3492">
        <v>100</v>
      </c>
      <c r="D75" s="3492">
        <v>110</v>
      </c>
      <c r="E75" s="481"/>
      <c r="F75" s="481"/>
      <c r="G75" s="481"/>
      <c r="H75" s="481"/>
      <c r="I75" s="481"/>
      <c r="J75" s="481"/>
      <c r="K75" s="481"/>
      <c r="L75" s="481"/>
      <c r="M75" s="482"/>
      <c r="N75" s="2744"/>
      <c r="O75" s="2744"/>
      <c r="P75" s="2768"/>
      <c r="Q75" s="2729"/>
      <c r="R75" s="2715"/>
      <c r="S75" s="2715"/>
      <c r="T75" s="2715"/>
      <c r="U75" s="2715"/>
      <c r="V75" s="2715"/>
      <c r="W75" s="2715"/>
      <c r="X75" s="2715"/>
      <c r="Y75" s="2715"/>
      <c r="Z75" s="2715"/>
      <c r="AA75" s="2715"/>
      <c r="AB75" s="2715"/>
      <c r="AC75" s="2715"/>
    </row>
    <row r="76" spans="1:29" ht="27.75" thickTop="1">
      <c r="A76" s="479"/>
      <c r="B76" s="483" t="s">
        <v>1688</v>
      </c>
      <c r="C76" s="484"/>
      <c r="D76" s="484"/>
      <c r="E76" s="484"/>
      <c r="F76" s="484"/>
      <c r="G76" s="484"/>
      <c r="H76" s="484"/>
      <c r="I76" s="484"/>
      <c r="J76" s="484"/>
      <c r="K76" s="485"/>
      <c r="L76" s="486"/>
      <c r="M76" s="487"/>
      <c r="N76" s="2743"/>
      <c r="O76" s="2743"/>
      <c r="P76" s="2768"/>
      <c r="Q76" s="2729"/>
      <c r="R76" s="2715"/>
      <c r="S76" s="2715"/>
      <c r="T76" s="2715"/>
      <c r="U76" s="2715"/>
      <c r="V76" s="2715"/>
      <c r="W76" s="2715"/>
      <c r="X76" s="2715"/>
      <c r="Y76" s="2715"/>
      <c r="Z76" s="2715"/>
      <c r="AA76" s="2715"/>
      <c r="AB76" s="2715"/>
      <c r="AC76" s="2715"/>
    </row>
    <row r="77" spans="1:29" ht="15.75" thickBot="1">
      <c r="A77" s="479"/>
      <c r="B77" s="488"/>
      <c r="C77" s="489"/>
      <c r="D77" s="489"/>
      <c r="E77" s="489"/>
      <c r="F77" s="489"/>
      <c r="G77" s="489"/>
      <c r="H77" s="489"/>
      <c r="I77" s="489"/>
      <c r="J77" s="489"/>
      <c r="K77" s="489"/>
      <c r="L77" s="489"/>
      <c r="M77" s="490"/>
      <c r="N77" s="2744"/>
      <c r="O77" s="2744"/>
      <c r="P77" s="2768"/>
      <c r="Q77" s="2729"/>
      <c r="R77" s="2715"/>
      <c r="S77" s="2715"/>
      <c r="T77" s="2715"/>
      <c r="U77" s="2715"/>
      <c r="V77" s="2715"/>
      <c r="W77" s="2715"/>
      <c r="X77" s="2715"/>
      <c r="Y77" s="2715"/>
      <c r="Z77" s="2715"/>
      <c r="AA77" s="2715"/>
      <c r="AB77" s="2715"/>
      <c r="AC77" s="2715"/>
    </row>
    <row r="78" spans="1:29" ht="15.75" thickTop="1">
      <c r="A78" s="479"/>
      <c r="B78" s="491" t="s">
        <v>1689</v>
      </c>
      <c r="C78" s="492" t="str">
        <f>C79&amp;"（含）"&amp;"-"&amp;D79</f>
        <v>0（含）-1</v>
      </c>
      <c r="D78" s="492" t="str">
        <f t="shared" ref="D78:L78" si="21">D79&amp;"（含）"&amp;"-"&amp;E79</f>
        <v>1（含）-2</v>
      </c>
      <c r="E78" s="492" t="str">
        <f t="shared" si="21"/>
        <v>2（含）-3</v>
      </c>
      <c r="F78" s="492" t="str">
        <f t="shared" si="21"/>
        <v>3（含）-4</v>
      </c>
      <c r="G78" s="492" t="str">
        <f t="shared" si="21"/>
        <v>4（含）-5</v>
      </c>
      <c r="H78" s="492" t="str">
        <f t="shared" si="21"/>
        <v>5（含）-</v>
      </c>
      <c r="I78" s="492" t="str">
        <f t="shared" si="21"/>
        <v>（含）-</v>
      </c>
      <c r="J78" s="492" t="str">
        <f t="shared" si="21"/>
        <v>（含）-</v>
      </c>
      <c r="K78" s="492" t="str">
        <f t="shared" si="21"/>
        <v>（含）-</v>
      </c>
      <c r="L78" s="492" t="str">
        <f t="shared" si="21"/>
        <v>（含）-</v>
      </c>
      <c r="M78" s="395"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79"/>
      <c r="B79" s="493"/>
      <c r="C79" s="3493">
        <v>0</v>
      </c>
      <c r="D79" s="3493">
        <f>C79+1</f>
        <v>1</v>
      </c>
      <c r="E79" s="3493">
        <f t="shared" ref="E79:H79" si="22">D79+1</f>
        <v>2</v>
      </c>
      <c r="F79" s="3493">
        <f t="shared" si="22"/>
        <v>3</v>
      </c>
      <c r="G79" s="3493">
        <f t="shared" si="22"/>
        <v>4</v>
      </c>
      <c r="H79" s="3493">
        <f t="shared" si="22"/>
        <v>5</v>
      </c>
      <c r="I79" s="494"/>
      <c r="J79" s="494"/>
      <c r="K79" s="495"/>
      <c r="L79" s="496"/>
      <c r="M79" s="497"/>
      <c r="N79" s="2743"/>
      <c r="O79" s="2743"/>
      <c r="P79" s="2768"/>
      <c r="Q79" s="2729"/>
      <c r="R79" s="2715"/>
      <c r="S79" s="2715"/>
      <c r="T79" s="2715"/>
      <c r="U79" s="2715"/>
      <c r="V79" s="2715"/>
      <c r="W79" s="2715"/>
      <c r="X79" s="2715"/>
      <c r="Y79" s="2715"/>
      <c r="Z79" s="2715"/>
      <c r="AA79" s="2715"/>
      <c r="AB79" s="2715"/>
      <c r="AC79" s="2715"/>
    </row>
    <row r="80" spans="1:29" ht="15.75" thickBot="1">
      <c r="A80" s="479"/>
      <c r="B80" s="480"/>
      <c r="C80" s="489">
        <v>100</v>
      </c>
      <c r="D80" s="489">
        <f t="shared" ref="D80:M80" si="23">IF($B$46="单位面积地价",C80+$K11,C80-$K11)</f>
        <v>97</v>
      </c>
      <c r="E80" s="489">
        <f t="shared" si="23"/>
        <v>94</v>
      </c>
      <c r="F80" s="489">
        <f t="shared" si="23"/>
        <v>91</v>
      </c>
      <c r="G80" s="489">
        <f t="shared" si="23"/>
        <v>88</v>
      </c>
      <c r="H80" s="489">
        <f t="shared" si="23"/>
        <v>85</v>
      </c>
      <c r="I80" s="489">
        <f t="shared" si="23"/>
        <v>82</v>
      </c>
      <c r="J80" s="489">
        <f t="shared" si="23"/>
        <v>79</v>
      </c>
      <c r="K80" s="489">
        <f t="shared" si="23"/>
        <v>76</v>
      </c>
      <c r="L80" s="489">
        <f t="shared" si="23"/>
        <v>73</v>
      </c>
      <c r="M80" s="489">
        <f t="shared" si="23"/>
        <v>70</v>
      </c>
      <c r="N80" s="2744"/>
      <c r="O80" s="2744"/>
      <c r="P80" s="2768"/>
      <c r="Q80" s="2729"/>
      <c r="R80" s="2715"/>
      <c r="S80" s="2715"/>
      <c r="T80" s="2715"/>
      <c r="U80" s="2715"/>
      <c r="V80" s="2715"/>
      <c r="W80" s="2715"/>
      <c r="X80" s="2715"/>
      <c r="Y80" s="2715"/>
      <c r="Z80" s="2715"/>
      <c r="AA80" s="2715"/>
      <c r="AB80" s="2715"/>
      <c r="AC80" s="2715"/>
    </row>
    <row r="81" spans="1:29" s="418" customFormat="1" ht="15.75" thickTop="1">
      <c r="A81" s="498"/>
      <c r="B81" s="483" t="str">
        <f>B12</f>
        <v>配建</v>
      </c>
      <c r="C81" s="499"/>
      <c r="D81" s="499"/>
      <c r="E81" s="499"/>
      <c r="F81" s="499"/>
      <c r="G81" s="499"/>
      <c r="H81" s="500"/>
      <c r="I81" s="500"/>
      <c r="J81" s="500"/>
      <c r="K81" s="500"/>
      <c r="L81" s="501"/>
      <c r="M81" s="502"/>
      <c r="N81" s="2745"/>
      <c r="O81" s="2745"/>
      <c r="P81" s="2769"/>
      <c r="Q81" s="2736"/>
      <c r="R81" s="2737"/>
      <c r="S81" s="2737"/>
      <c r="T81" s="2737"/>
      <c r="U81" s="2737"/>
      <c r="V81" s="2737"/>
      <c r="W81" s="2737"/>
      <c r="X81" s="2737"/>
      <c r="Y81" s="2737"/>
      <c r="Z81" s="2737"/>
      <c r="AA81" s="2737"/>
      <c r="AB81" s="2737"/>
      <c r="AC81" s="2737"/>
    </row>
    <row r="82" spans="1:29" s="418" customFormat="1" ht="15.75" thickBot="1">
      <c r="A82" s="498"/>
      <c r="B82" s="488"/>
      <c r="C82" s="505"/>
      <c r="D82" s="481"/>
      <c r="E82" s="481"/>
      <c r="F82" s="481"/>
      <c r="G82" s="481"/>
      <c r="H82" s="481"/>
      <c r="I82" s="481"/>
      <c r="J82" s="481"/>
      <c r="K82" s="481"/>
      <c r="L82" s="481"/>
      <c r="M82" s="482"/>
      <c r="N82" s="2744"/>
      <c r="O82" s="2744"/>
      <c r="P82" s="2769"/>
      <c r="Q82" s="2736"/>
      <c r="R82" s="2737"/>
      <c r="S82" s="2737"/>
      <c r="T82" s="2737"/>
      <c r="U82" s="2737"/>
      <c r="V82" s="2737"/>
      <c r="W82" s="2737"/>
      <c r="X82" s="2737"/>
      <c r="Y82" s="2737"/>
      <c r="Z82" s="2737"/>
      <c r="AA82" s="2737"/>
      <c r="AB82" s="2737"/>
      <c r="AC82" s="2737"/>
    </row>
    <row r="83" spans="1:29" s="418" customFormat="1" ht="15.75" thickTop="1">
      <c r="A83" s="498"/>
      <c r="B83" s="483">
        <f>B13</f>
        <v>111</v>
      </c>
      <c r="C83" s="499"/>
      <c r="D83" s="499"/>
      <c r="E83" s="499"/>
      <c r="F83" s="499"/>
      <c r="G83" s="499"/>
      <c r="H83" s="500"/>
      <c r="I83" s="500"/>
      <c r="J83" s="500"/>
      <c r="K83" s="500"/>
      <c r="L83" s="501"/>
      <c r="M83" s="502"/>
      <c r="N83" s="2745"/>
      <c r="O83" s="2745"/>
      <c r="P83" s="2713"/>
      <c r="Q83" s="2739"/>
      <c r="R83" s="2737"/>
      <c r="S83" s="2737"/>
      <c r="T83" s="2737"/>
      <c r="U83" s="2737"/>
      <c r="V83" s="2737"/>
      <c r="W83" s="2737"/>
      <c r="X83" s="2737"/>
      <c r="Y83" s="2737"/>
      <c r="Z83" s="2737"/>
      <c r="AA83" s="2737"/>
      <c r="AB83" s="2737"/>
      <c r="AC83" s="2737"/>
    </row>
    <row r="84" spans="1:29" s="418" customFormat="1" ht="15.75" thickBot="1">
      <c r="A84" s="498"/>
      <c r="B84" s="488"/>
      <c r="C84" s="505"/>
      <c r="D84" s="505"/>
      <c r="E84" s="505"/>
      <c r="F84" s="505"/>
      <c r="G84" s="505"/>
      <c r="H84" s="507"/>
      <c r="I84" s="507"/>
      <c r="J84" s="507"/>
      <c r="K84" s="507"/>
      <c r="L84" s="507"/>
      <c r="M84" s="508"/>
      <c r="N84" s="2745"/>
      <c r="O84" s="2745"/>
      <c r="P84" s="2769"/>
      <c r="Q84" s="2736"/>
      <c r="R84" s="2737"/>
      <c r="S84" s="2737"/>
      <c r="T84" s="2737"/>
      <c r="U84" s="2737"/>
      <c r="V84" s="2737"/>
      <c r="W84" s="2737"/>
      <c r="X84" s="2737"/>
      <c r="Y84" s="2737"/>
      <c r="Z84" s="2737"/>
      <c r="AA84" s="2737"/>
      <c r="AB84" s="2737"/>
      <c r="AC84" s="2737"/>
    </row>
    <row r="85" spans="1:29" s="418" customFormat="1" ht="15.75" thickTop="1">
      <c r="A85" s="498"/>
      <c r="B85" s="491">
        <f>B14</f>
        <v>111</v>
      </c>
      <c r="C85" s="468"/>
      <c r="D85" s="468"/>
      <c r="E85" s="468"/>
      <c r="F85" s="468"/>
      <c r="G85" s="468"/>
      <c r="H85" s="509"/>
      <c r="I85" s="509"/>
      <c r="J85" s="509"/>
      <c r="K85" s="509"/>
      <c r="L85" s="510"/>
      <c r="M85" s="511"/>
      <c r="N85" s="2745"/>
      <c r="O85" s="2745"/>
      <c r="P85" s="2774"/>
      <c r="Q85" s="2736"/>
      <c r="R85" s="2737"/>
      <c r="S85" s="2737"/>
      <c r="T85" s="2737"/>
      <c r="U85" s="2737"/>
      <c r="V85" s="2737"/>
      <c r="W85" s="2737"/>
      <c r="X85" s="2737"/>
      <c r="Y85" s="2737"/>
      <c r="Z85" s="2737"/>
      <c r="AA85" s="2737"/>
      <c r="AB85" s="2737"/>
      <c r="AC85" s="2737"/>
    </row>
    <row r="86" spans="1:29" s="418" customFormat="1" ht="15.75" thickBot="1">
      <c r="A86" s="513"/>
      <c r="B86" s="514"/>
      <c r="C86" s="515"/>
      <c r="D86" s="515"/>
      <c r="E86" s="515"/>
      <c r="F86" s="515"/>
      <c r="G86" s="515"/>
      <c r="H86" s="516"/>
      <c r="I86" s="516"/>
      <c r="J86" s="516"/>
      <c r="K86" s="516"/>
      <c r="L86" s="516"/>
      <c r="M86" s="517"/>
      <c r="N86" s="2745"/>
      <c r="O86" s="2745"/>
      <c r="P86" s="2769"/>
      <c r="Q86" s="2736"/>
      <c r="R86" s="2737"/>
      <c r="S86" s="2737"/>
      <c r="T86" s="2737"/>
      <c r="U86" s="2737"/>
      <c r="V86" s="2737"/>
      <c r="W86" s="2737"/>
      <c r="X86" s="2737"/>
      <c r="Y86" s="2737"/>
      <c r="Z86" s="2737"/>
      <c r="AA86" s="2737"/>
      <c r="AB86" s="2737"/>
      <c r="AC86" s="2737"/>
    </row>
    <row r="87" spans="1:29">
      <c r="A87" s="472" t="s">
        <v>1690</v>
      </c>
      <c r="B87" s="473" t="s">
        <v>1720</v>
      </c>
      <c r="C87" s="518" t="s">
        <v>1721</v>
      </c>
      <c r="D87" s="518" t="s">
        <v>1722</v>
      </c>
      <c r="E87" s="518" t="s">
        <v>1723</v>
      </c>
      <c r="F87" s="518" t="s">
        <v>1724</v>
      </c>
      <c r="G87" s="518" t="s">
        <v>1725</v>
      </c>
      <c r="H87" s="474"/>
      <c r="I87" s="474"/>
      <c r="J87" s="474"/>
      <c r="K87" s="519"/>
      <c r="L87" s="520"/>
      <c r="M87" s="521"/>
      <c r="N87" s="2743"/>
      <c r="O87" s="2743"/>
      <c r="P87" s="2770"/>
      <c r="Q87" s="2729"/>
      <c r="R87" s="2715"/>
      <c r="S87" s="2715"/>
      <c r="T87" s="2715"/>
      <c r="U87" s="2715"/>
      <c r="V87" s="2715"/>
      <c r="W87" s="2715"/>
      <c r="X87" s="2715"/>
      <c r="Y87" s="2715"/>
      <c r="Z87" s="2715"/>
      <c r="AA87" s="2715"/>
      <c r="AB87" s="2715"/>
      <c r="AC87" s="2715"/>
    </row>
    <row r="88" spans="1:29" ht="15.75" thickBot="1">
      <c r="A88" s="479"/>
      <c r="B88" s="488"/>
      <c r="C88" s="489">
        <v>100</v>
      </c>
      <c r="D88" s="489">
        <f>C88-$K15</f>
        <v>100</v>
      </c>
      <c r="E88" s="489">
        <f>D88-$K15</f>
        <v>100</v>
      </c>
      <c r="F88" s="489">
        <f>E88-$K15</f>
        <v>100</v>
      </c>
      <c r="G88" s="489">
        <f>F88-$K15</f>
        <v>100</v>
      </c>
      <c r="H88" s="489"/>
      <c r="I88" s="489"/>
      <c r="J88" s="489"/>
      <c r="K88" s="489"/>
      <c r="L88" s="489"/>
      <c r="M88" s="490"/>
      <c r="N88" s="2744"/>
      <c r="O88" s="2744"/>
      <c r="P88" s="2768"/>
      <c r="Q88" s="2729"/>
      <c r="R88" s="2715"/>
      <c r="S88" s="2715"/>
      <c r="T88" s="2715"/>
      <c r="U88" s="2715"/>
      <c r="V88" s="2715"/>
      <c r="W88" s="2715"/>
      <c r="X88" s="2715"/>
      <c r="Y88" s="2715"/>
      <c r="Z88" s="2715"/>
      <c r="AA88" s="2715"/>
      <c r="AB88" s="2715"/>
      <c r="AC88" s="2715"/>
    </row>
    <row r="89" spans="1:29" ht="15.75" thickTop="1">
      <c r="A89" s="479"/>
      <c r="B89" s="483" t="s">
        <v>1906</v>
      </c>
      <c r="C89" s="523" t="s">
        <v>1721</v>
      </c>
      <c r="D89" s="523" t="s">
        <v>1722</v>
      </c>
      <c r="E89" s="523" t="s">
        <v>1723</v>
      </c>
      <c r="F89" s="523" t="s">
        <v>1724</v>
      </c>
      <c r="G89" s="523" t="s">
        <v>1725</v>
      </c>
      <c r="H89" s="484"/>
      <c r="I89" s="484"/>
      <c r="J89" s="484"/>
      <c r="K89" s="485"/>
      <c r="L89" s="486"/>
      <c r="M89" s="487"/>
      <c r="N89" s="2743"/>
      <c r="O89" s="2743"/>
      <c r="P89" s="2768"/>
      <c r="Q89" s="2729"/>
      <c r="R89" s="2715"/>
      <c r="S89" s="2715"/>
      <c r="T89" s="2715"/>
      <c r="U89" s="2715"/>
      <c r="V89" s="2715"/>
      <c r="W89" s="2715"/>
      <c r="X89" s="2715"/>
      <c r="Y89" s="2715"/>
      <c r="Z89" s="2715"/>
      <c r="AA89" s="2715"/>
      <c r="AB89" s="2715"/>
      <c r="AC89" s="2715"/>
    </row>
    <row r="90" spans="1:29" ht="15.75" thickBot="1">
      <c r="A90" s="479"/>
      <c r="B90" s="488"/>
      <c r="C90" s="489">
        <v>100</v>
      </c>
      <c r="D90" s="489">
        <f>C90-$K17</f>
        <v>100</v>
      </c>
      <c r="E90" s="489">
        <f>D90-$K17</f>
        <v>100</v>
      </c>
      <c r="F90" s="489">
        <f>E90-$K17</f>
        <v>100</v>
      </c>
      <c r="G90" s="489">
        <f>F90-$K17</f>
        <v>100</v>
      </c>
      <c r="H90" s="489"/>
      <c r="I90" s="489"/>
      <c r="J90" s="489"/>
      <c r="K90" s="489"/>
      <c r="L90" s="489"/>
      <c r="M90" s="490"/>
      <c r="N90" s="2744"/>
      <c r="O90" s="2744"/>
      <c r="P90" s="2768"/>
      <c r="Q90" s="2729"/>
      <c r="R90" s="2715"/>
      <c r="S90" s="2715"/>
      <c r="T90" s="2715"/>
      <c r="U90" s="2715"/>
      <c r="V90" s="2715"/>
      <c r="W90" s="2715"/>
      <c r="X90" s="2715"/>
      <c r="Y90" s="2715"/>
      <c r="Z90" s="2715"/>
      <c r="AA90" s="2715"/>
      <c r="AB90" s="2715"/>
      <c r="AC90" s="2715"/>
    </row>
    <row r="91" spans="1:29" ht="15.75" thickTop="1">
      <c r="A91" s="479"/>
      <c r="B91" s="483" t="s">
        <v>1821</v>
      </c>
      <c r="C91" s="523" t="s">
        <v>1721</v>
      </c>
      <c r="D91" s="523" t="s">
        <v>1722</v>
      </c>
      <c r="E91" s="523" t="s">
        <v>1723</v>
      </c>
      <c r="F91" s="523" t="s">
        <v>1724</v>
      </c>
      <c r="G91" s="523" t="s">
        <v>1725</v>
      </c>
      <c r="H91" s="484"/>
      <c r="I91" s="484"/>
      <c r="J91" s="484"/>
      <c r="K91" s="485"/>
      <c r="L91" s="486"/>
      <c r="M91" s="487"/>
      <c r="N91" s="2743"/>
      <c r="O91" s="2743"/>
      <c r="P91" s="2768"/>
      <c r="Q91" s="2729"/>
      <c r="R91" s="2715"/>
      <c r="S91" s="2715"/>
      <c r="T91" s="2715"/>
      <c r="U91" s="2715"/>
      <c r="V91" s="2715"/>
      <c r="W91" s="2715"/>
      <c r="X91" s="2715"/>
      <c r="Y91" s="2715"/>
      <c r="Z91" s="2715"/>
      <c r="AA91" s="2715"/>
      <c r="AB91" s="2715"/>
      <c r="AC91" s="2715"/>
    </row>
    <row r="92" spans="1:29" ht="15.75" thickBot="1">
      <c r="A92" s="479"/>
      <c r="B92" s="488"/>
      <c r="C92" s="489">
        <v>100</v>
      </c>
      <c r="D92" s="489">
        <f>C92-$K19</f>
        <v>98</v>
      </c>
      <c r="E92" s="489">
        <f>D92-$K19</f>
        <v>96</v>
      </c>
      <c r="F92" s="489">
        <f>E92-$K19</f>
        <v>94</v>
      </c>
      <c r="G92" s="489">
        <f>F92-$K19</f>
        <v>92</v>
      </c>
      <c r="H92" s="489"/>
      <c r="I92" s="489"/>
      <c r="J92" s="489"/>
      <c r="K92" s="489"/>
      <c r="L92" s="489"/>
      <c r="M92" s="490"/>
      <c r="N92" s="2744"/>
      <c r="O92" s="2744"/>
      <c r="P92" s="2768"/>
      <c r="Q92" s="2729"/>
      <c r="R92" s="2715"/>
      <c r="S92" s="2715"/>
      <c r="T92" s="2715"/>
      <c r="U92" s="2715"/>
      <c r="V92" s="2715"/>
      <c r="W92" s="2715"/>
      <c r="X92" s="2715"/>
      <c r="Y92" s="2715"/>
      <c r="Z92" s="2715"/>
      <c r="AA92" s="2715"/>
      <c r="AB92" s="2715"/>
      <c r="AC92" s="2715"/>
    </row>
    <row r="93" spans="1:29" ht="15.75" thickTop="1">
      <c r="A93" s="479"/>
      <c r="B93" s="483" t="s">
        <v>1726</v>
      </c>
      <c r="C93" s="523" t="s">
        <v>1721</v>
      </c>
      <c r="D93" s="523" t="s">
        <v>1722</v>
      </c>
      <c r="E93" s="523" t="s">
        <v>1723</v>
      </c>
      <c r="F93" s="523" t="s">
        <v>1724</v>
      </c>
      <c r="G93" s="523" t="s">
        <v>1725</v>
      </c>
      <c r="H93" s="484"/>
      <c r="I93" s="484"/>
      <c r="J93" s="484"/>
      <c r="K93" s="485"/>
      <c r="L93" s="486"/>
      <c r="M93" s="487"/>
      <c r="N93" s="2743"/>
      <c r="O93" s="2743"/>
      <c r="P93" s="2768"/>
      <c r="Q93" s="2729"/>
      <c r="R93" s="2715"/>
      <c r="S93" s="2715"/>
      <c r="T93" s="2715"/>
      <c r="U93" s="2715"/>
      <c r="V93" s="2715"/>
      <c r="W93" s="2715"/>
      <c r="X93" s="2715"/>
      <c r="Y93" s="2715"/>
      <c r="Z93" s="2715"/>
      <c r="AA93" s="2715"/>
      <c r="AB93" s="2715"/>
      <c r="AC93" s="2715"/>
    </row>
    <row r="94" spans="1:29" ht="15.75" thickBot="1">
      <c r="A94" s="479"/>
      <c r="B94" s="488"/>
      <c r="C94" s="489">
        <v>100</v>
      </c>
      <c r="D94" s="489">
        <f>C94-$K21</f>
        <v>97</v>
      </c>
      <c r="E94" s="489">
        <f>D94-$K21</f>
        <v>94</v>
      </c>
      <c r="F94" s="489">
        <f>E94-$K21</f>
        <v>91</v>
      </c>
      <c r="G94" s="489">
        <f>F94-$K21</f>
        <v>88</v>
      </c>
      <c r="H94" s="489"/>
      <c r="I94" s="489"/>
      <c r="J94" s="489"/>
      <c r="K94" s="489"/>
      <c r="L94" s="489"/>
      <c r="M94" s="490"/>
      <c r="N94" s="2744"/>
      <c r="O94" s="2744"/>
      <c r="P94" s="2768"/>
      <c r="Q94" s="2729"/>
      <c r="R94" s="2715"/>
      <c r="S94" s="2715"/>
      <c r="T94" s="2715"/>
      <c r="U94" s="2715"/>
      <c r="V94" s="2715"/>
      <c r="W94" s="2715"/>
      <c r="X94" s="2715"/>
      <c r="Y94" s="2715"/>
      <c r="Z94" s="2715"/>
      <c r="AA94" s="2715"/>
      <c r="AB94" s="2715"/>
      <c r="AC94" s="2715"/>
    </row>
    <row r="95" spans="1:29" s="106" customFormat="1" ht="15.75" thickTop="1">
      <c r="A95" s="524"/>
      <c r="B95" s="483" t="s">
        <v>1907</v>
      </c>
      <c r="C95" s="523" t="s">
        <v>1721</v>
      </c>
      <c r="D95" s="523" t="s">
        <v>1722</v>
      </c>
      <c r="E95" s="523" t="s">
        <v>1723</v>
      </c>
      <c r="F95" s="523" t="s">
        <v>1724</v>
      </c>
      <c r="G95" s="523" t="s">
        <v>1725</v>
      </c>
      <c r="H95" s="523"/>
      <c r="I95" s="523"/>
      <c r="J95" s="523"/>
      <c r="K95" s="523"/>
      <c r="L95" s="642"/>
      <c r="M95" s="566"/>
      <c r="N95" s="2742"/>
      <c r="O95" s="2742"/>
      <c r="P95" s="2768"/>
      <c r="Q95" s="2729"/>
      <c r="R95" s="2652"/>
      <c r="S95" s="2652"/>
      <c r="T95" s="2652"/>
      <c r="U95" s="2652"/>
      <c r="V95" s="2652"/>
      <c r="W95" s="2652"/>
      <c r="X95" s="2652"/>
      <c r="Y95" s="2652"/>
      <c r="Z95" s="2652"/>
      <c r="AA95" s="2652"/>
      <c r="AB95" s="2652"/>
      <c r="AC95" s="2652"/>
    </row>
    <row r="96" spans="1:29" s="106" customFormat="1" ht="15.75" thickBot="1">
      <c r="A96" s="524"/>
      <c r="B96" s="488"/>
      <c r="C96" s="527">
        <v>100</v>
      </c>
      <c r="D96" s="489">
        <f>C96-$K23</f>
        <v>100</v>
      </c>
      <c r="E96" s="489">
        <f>D96-$K23</f>
        <v>100</v>
      </c>
      <c r="F96" s="489">
        <f>E96-$K23</f>
        <v>100</v>
      </c>
      <c r="G96" s="489">
        <f>F96-$K23</f>
        <v>100</v>
      </c>
      <c r="H96" s="489"/>
      <c r="I96" s="489"/>
      <c r="J96" s="489"/>
      <c r="K96" s="489"/>
      <c r="L96" s="489"/>
      <c r="M96" s="490"/>
      <c r="N96" s="2744"/>
      <c r="O96" s="2744"/>
      <c r="P96" s="2768"/>
      <c r="Q96" s="2729"/>
      <c r="R96" s="2652"/>
      <c r="S96" s="2652"/>
      <c r="T96" s="2652"/>
      <c r="U96" s="2652"/>
      <c r="V96" s="2652"/>
      <c r="W96" s="2652"/>
      <c r="X96" s="2652"/>
      <c r="Y96" s="2652"/>
      <c r="Z96" s="2652"/>
      <c r="AA96" s="2652"/>
      <c r="AB96" s="2652"/>
      <c r="AC96" s="2652"/>
    </row>
    <row r="97" spans="1:29" s="106" customFormat="1" ht="27.75" thickTop="1">
      <c r="A97" s="524"/>
      <c r="B97" s="483" t="s">
        <v>1908</v>
      </c>
      <c r="C97" s="518" t="s">
        <v>1721</v>
      </c>
      <c r="D97" s="518" t="s">
        <v>1722</v>
      </c>
      <c r="E97" s="518" t="s">
        <v>1723</v>
      </c>
      <c r="F97" s="518" t="s">
        <v>1724</v>
      </c>
      <c r="G97" s="518" t="s">
        <v>1725</v>
      </c>
      <c r="H97" s="523"/>
      <c r="I97" s="523"/>
      <c r="J97" s="523"/>
      <c r="K97" s="523"/>
      <c r="L97" s="523"/>
      <c r="M97" s="566"/>
      <c r="N97" s="2742"/>
      <c r="O97" s="2742"/>
      <c r="P97" s="2768"/>
      <c r="Q97" s="2729"/>
      <c r="R97" s="2652"/>
      <c r="S97" s="2652"/>
      <c r="T97" s="2652"/>
      <c r="U97" s="2652"/>
      <c r="V97" s="2652"/>
      <c r="W97" s="2652"/>
      <c r="X97" s="2652"/>
      <c r="Y97" s="2652"/>
      <c r="Z97" s="2652"/>
      <c r="AA97" s="2652"/>
      <c r="AB97" s="2652"/>
      <c r="AC97" s="2652"/>
    </row>
    <row r="98" spans="1:29" s="106" customFormat="1" ht="15.75" thickBot="1">
      <c r="A98" s="524"/>
      <c r="B98" s="488"/>
      <c r="C98" s="489">
        <v>100</v>
      </c>
      <c r="D98" s="489">
        <f>C98-$K25</f>
        <v>98</v>
      </c>
      <c r="E98" s="489">
        <f>D98-$K25</f>
        <v>96</v>
      </c>
      <c r="F98" s="489">
        <f>E98-$K25</f>
        <v>94</v>
      </c>
      <c r="G98" s="489">
        <f>F98-$K25</f>
        <v>92</v>
      </c>
      <c r="H98" s="489"/>
      <c r="I98" s="489"/>
      <c r="J98" s="489"/>
      <c r="K98" s="489"/>
      <c r="L98" s="489"/>
      <c r="M98" s="490"/>
      <c r="N98" s="2744"/>
      <c r="O98" s="2744"/>
      <c r="P98" s="2768"/>
      <c r="Q98" s="2729"/>
      <c r="R98" s="2652"/>
      <c r="S98" s="2652"/>
      <c r="T98" s="2652"/>
      <c r="U98" s="2652"/>
      <c r="V98" s="2652"/>
      <c r="W98" s="2652"/>
      <c r="X98" s="2652"/>
      <c r="Y98" s="2652"/>
      <c r="Z98" s="2652"/>
      <c r="AA98" s="2652"/>
      <c r="AB98" s="2652"/>
      <c r="AC98" s="2652"/>
    </row>
    <row r="99" spans="1:29" s="418" customFormat="1" ht="15.75" thickTop="1">
      <c r="A99" s="498"/>
      <c r="B99" s="483" t="s">
        <v>1778</v>
      </c>
      <c r="C99" s="518" t="s">
        <v>1721</v>
      </c>
      <c r="D99" s="518" t="s">
        <v>1722</v>
      </c>
      <c r="E99" s="518" t="s">
        <v>1723</v>
      </c>
      <c r="F99" s="518" t="s">
        <v>1724</v>
      </c>
      <c r="G99" s="518" t="s">
        <v>1725</v>
      </c>
      <c r="H99" s="545"/>
      <c r="I99" s="545"/>
      <c r="J99" s="545"/>
      <c r="K99" s="545"/>
      <c r="L99" s="546"/>
      <c r="M99" s="547"/>
      <c r="N99" s="2745"/>
      <c r="O99" s="2745"/>
      <c r="P99" s="2769"/>
      <c r="Q99" s="2736"/>
      <c r="R99" s="2737"/>
      <c r="S99" s="2737"/>
      <c r="T99" s="2737"/>
      <c r="U99" s="2737"/>
      <c r="V99" s="2737"/>
      <c r="W99" s="2737"/>
      <c r="X99" s="2737"/>
      <c r="Y99" s="2737"/>
      <c r="Z99" s="2737"/>
      <c r="AA99" s="2737"/>
      <c r="AB99" s="2737"/>
      <c r="AC99" s="2737"/>
    </row>
    <row r="100" spans="1:29" s="418" customFormat="1" ht="15.75" thickBot="1">
      <c r="A100" s="498"/>
      <c r="B100" s="488"/>
      <c r="C100" s="489">
        <v>100</v>
      </c>
      <c r="D100" s="489">
        <f>C100-$K27</f>
        <v>97</v>
      </c>
      <c r="E100" s="489">
        <f>D100-$K27</f>
        <v>94</v>
      </c>
      <c r="F100" s="489">
        <f>E100-$K27</f>
        <v>91</v>
      </c>
      <c r="G100" s="489">
        <f>F100-$K27</f>
        <v>88</v>
      </c>
      <c r="H100" s="552"/>
      <c r="I100" s="552"/>
      <c r="J100" s="552"/>
      <c r="K100" s="552"/>
      <c r="L100" s="552"/>
      <c r="M100" s="553"/>
      <c r="N100" s="2745"/>
      <c r="O100" s="2745"/>
      <c r="P100" s="2769"/>
      <c r="Q100" s="2736"/>
      <c r="R100" s="2737"/>
      <c r="S100" s="2737"/>
      <c r="T100" s="2737"/>
      <c r="U100" s="2737"/>
      <c r="V100" s="2737"/>
      <c r="W100" s="2737"/>
      <c r="X100" s="2737"/>
      <c r="Y100" s="2737"/>
      <c r="Z100" s="2737"/>
      <c r="AA100" s="2737"/>
      <c r="AB100" s="2737"/>
      <c r="AC100" s="2737"/>
    </row>
    <row r="101" spans="1:29" s="418" customFormat="1" ht="15.75" thickTop="1">
      <c r="A101" s="498"/>
      <c r="B101" s="491" t="s">
        <v>1779</v>
      </c>
      <c r="C101" s="604" t="s">
        <v>1799</v>
      </c>
      <c r="D101" s="604" t="s">
        <v>1800</v>
      </c>
      <c r="E101" s="604" t="s">
        <v>1801</v>
      </c>
      <c r="F101" s="604" t="s">
        <v>1802</v>
      </c>
      <c r="G101" s="604" t="s">
        <v>1803</v>
      </c>
      <c r="H101" s="545"/>
      <c r="I101" s="545"/>
      <c r="J101" s="545"/>
      <c r="K101" s="545"/>
      <c r="L101" s="545"/>
      <c r="M101" s="1128"/>
      <c r="N101" s="2745"/>
      <c r="O101" s="2745"/>
      <c r="P101" s="2769"/>
      <c r="Q101" s="2736"/>
      <c r="R101" s="2737"/>
      <c r="S101" s="2737"/>
      <c r="T101" s="2737"/>
      <c r="U101" s="2737"/>
      <c r="V101" s="2737"/>
      <c r="W101" s="2737"/>
      <c r="X101" s="2737"/>
      <c r="Y101" s="2737"/>
      <c r="Z101" s="2737"/>
      <c r="AA101" s="2737"/>
      <c r="AB101" s="2737"/>
      <c r="AC101" s="2737"/>
    </row>
    <row r="102" spans="1:29" s="418" customFormat="1" ht="15.75" thickBot="1">
      <c r="A102" s="498"/>
      <c r="B102" s="491"/>
      <c r="C102" s="489">
        <v>100</v>
      </c>
      <c r="D102" s="489">
        <f>C102-$K29</f>
        <v>99</v>
      </c>
      <c r="E102" s="489">
        <f>D102-$K29</f>
        <v>98</v>
      </c>
      <c r="F102" s="489">
        <f>E102-$K29</f>
        <v>97</v>
      </c>
      <c r="G102" s="489">
        <f>F102-$K29</f>
        <v>96</v>
      </c>
      <c r="H102" s="493"/>
      <c r="I102" s="493"/>
      <c r="J102" s="493"/>
      <c r="K102" s="493"/>
      <c r="L102" s="493"/>
      <c r="M102" s="1128"/>
      <c r="N102" s="2745"/>
      <c r="O102" s="2745"/>
      <c r="P102" s="2769"/>
      <c r="Q102" s="2736"/>
      <c r="R102" s="2737"/>
      <c r="S102" s="2737"/>
      <c r="T102" s="2737"/>
      <c r="U102" s="2737"/>
      <c r="V102" s="2737"/>
      <c r="W102" s="2737"/>
      <c r="X102" s="2737"/>
      <c r="Y102" s="2737"/>
      <c r="Z102" s="2737"/>
      <c r="AA102" s="2737"/>
      <c r="AB102" s="2737"/>
      <c r="AC102" s="2737"/>
    </row>
    <row r="103" spans="1:29" ht="15.75" thickTop="1">
      <c r="A103" s="479"/>
      <c r="B103" s="483" t="str">
        <f>B31</f>
        <v>临街状况</v>
      </c>
      <c r="C103" s="484" t="s">
        <v>1909</v>
      </c>
      <c r="D103" s="484" t="s">
        <v>1910</v>
      </c>
      <c r="E103" s="484" t="s">
        <v>1911</v>
      </c>
      <c r="F103" s="484" t="s">
        <v>1912</v>
      </c>
      <c r="G103" s="484"/>
      <c r="H103" s="484"/>
      <c r="I103" s="484"/>
      <c r="J103" s="484"/>
      <c r="K103" s="485"/>
      <c r="L103" s="486"/>
      <c r="M103" s="487"/>
      <c r="N103" s="2743"/>
      <c r="O103" s="2743"/>
      <c r="P103" s="2768"/>
      <c r="Q103" s="2729"/>
      <c r="R103" s="2715"/>
      <c r="S103" s="2715"/>
      <c r="T103" s="2715"/>
      <c r="U103" s="2715"/>
      <c r="V103" s="2715"/>
      <c r="W103" s="2715"/>
      <c r="X103" s="2715"/>
      <c r="Y103" s="2715"/>
      <c r="Z103" s="2715"/>
      <c r="AA103" s="2715"/>
      <c r="AB103" s="2715"/>
      <c r="AC103" s="2715"/>
    </row>
    <row r="104" spans="1:29" ht="15.75" thickBot="1">
      <c r="A104" s="479"/>
      <c r="B104" s="488"/>
      <c r="C104" s="489">
        <v>100</v>
      </c>
      <c r="D104" s="489">
        <f t="shared" ref="D104:M104" si="24">C104-$K31</f>
        <v>100</v>
      </c>
      <c r="E104" s="489">
        <f t="shared" si="24"/>
        <v>100</v>
      </c>
      <c r="F104" s="489">
        <f t="shared" si="24"/>
        <v>100</v>
      </c>
      <c r="G104" s="489">
        <f t="shared" si="24"/>
        <v>100</v>
      </c>
      <c r="H104" s="489">
        <f t="shared" si="24"/>
        <v>100</v>
      </c>
      <c r="I104" s="489">
        <f t="shared" si="24"/>
        <v>100</v>
      </c>
      <c r="J104" s="489">
        <f t="shared" si="24"/>
        <v>100</v>
      </c>
      <c r="K104" s="489">
        <f t="shared" si="24"/>
        <v>100</v>
      </c>
      <c r="L104" s="489">
        <f t="shared" si="24"/>
        <v>100</v>
      </c>
      <c r="M104" s="489">
        <f t="shared" si="24"/>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79"/>
      <c r="B105" s="483" t="s">
        <v>1815</v>
      </c>
      <c r="C105" s="3495" t="s">
        <v>3860</v>
      </c>
      <c r="D105" s="3494" t="s">
        <v>3856</v>
      </c>
      <c r="E105" s="3494" t="s">
        <v>3857</v>
      </c>
      <c r="F105" s="3494" t="s">
        <v>3858</v>
      </c>
      <c r="G105" s="3494" t="s">
        <v>3859</v>
      </c>
      <c r="H105" s="528"/>
      <c r="I105" s="528"/>
      <c r="J105" s="528"/>
      <c r="K105" s="529"/>
      <c r="L105" s="530"/>
      <c r="M105" s="531"/>
      <c r="N105" s="2743"/>
      <c r="O105" s="2743"/>
      <c r="P105" s="2768"/>
      <c r="Q105" s="2729"/>
      <c r="R105" s="2715"/>
      <c r="S105" s="2715"/>
      <c r="T105" s="2715"/>
      <c r="U105" s="2715"/>
      <c r="V105" s="2715"/>
      <c r="W105" s="2715"/>
      <c r="X105" s="2715"/>
      <c r="Y105" s="2715"/>
      <c r="Z105" s="2715"/>
      <c r="AA105" s="2715"/>
      <c r="AB105" s="2715"/>
      <c r="AC105" s="2715"/>
    </row>
    <row r="106" spans="1:29" ht="15.75" thickBot="1">
      <c r="A106" s="479"/>
      <c r="B106" s="488"/>
      <c r="C106" s="489">
        <v>100</v>
      </c>
      <c r="D106" s="489">
        <f t="shared" ref="D106:M106" si="25">C106-$K32</f>
        <v>99</v>
      </c>
      <c r="E106" s="489">
        <f t="shared" si="25"/>
        <v>98</v>
      </c>
      <c r="F106" s="489">
        <f t="shared" si="25"/>
        <v>97</v>
      </c>
      <c r="G106" s="489">
        <f t="shared" si="25"/>
        <v>96</v>
      </c>
      <c r="H106" s="489">
        <f t="shared" si="25"/>
        <v>95</v>
      </c>
      <c r="I106" s="489">
        <f t="shared" si="25"/>
        <v>94</v>
      </c>
      <c r="J106" s="489">
        <f t="shared" si="25"/>
        <v>93</v>
      </c>
      <c r="K106" s="489">
        <f t="shared" si="25"/>
        <v>92</v>
      </c>
      <c r="L106" s="489">
        <f t="shared" si="25"/>
        <v>91</v>
      </c>
      <c r="M106" s="489">
        <f t="shared" si="25"/>
        <v>90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79"/>
      <c r="B107" s="483" t="s">
        <v>1873</v>
      </c>
      <c r="C107" s="528"/>
      <c r="D107" s="528"/>
      <c r="E107" s="528"/>
      <c r="F107" s="528"/>
      <c r="G107" s="528"/>
      <c r="H107" s="528"/>
      <c r="I107" s="528"/>
      <c r="J107" s="528"/>
      <c r="K107" s="529"/>
      <c r="L107" s="530"/>
      <c r="M107" s="531"/>
      <c r="N107" s="2743"/>
      <c r="O107" s="2743"/>
      <c r="P107" s="2768"/>
      <c r="Q107" s="2729"/>
      <c r="R107" s="2715"/>
      <c r="S107" s="2715"/>
      <c r="T107" s="2715"/>
      <c r="U107" s="2715"/>
      <c r="V107" s="2715"/>
      <c r="W107" s="2715"/>
      <c r="X107" s="2715"/>
      <c r="Y107" s="2715"/>
      <c r="Z107" s="2715"/>
      <c r="AA107" s="2715"/>
      <c r="AB107" s="2715"/>
      <c r="AC107" s="2715"/>
    </row>
    <row r="108" spans="1:29" ht="15.75" thickBot="1">
      <c r="A108" s="479"/>
      <c r="B108" s="488"/>
      <c r="C108" s="489">
        <v>100</v>
      </c>
      <c r="D108" s="489">
        <f t="shared" ref="D108:M108" si="26">C108-$K34</f>
        <v>100</v>
      </c>
      <c r="E108" s="489">
        <f t="shared" si="26"/>
        <v>100</v>
      </c>
      <c r="F108" s="489">
        <f t="shared" si="26"/>
        <v>100</v>
      </c>
      <c r="G108" s="489">
        <f t="shared" si="26"/>
        <v>100</v>
      </c>
      <c r="H108" s="489">
        <f t="shared" si="26"/>
        <v>100</v>
      </c>
      <c r="I108" s="489">
        <f t="shared" si="26"/>
        <v>100</v>
      </c>
      <c r="J108" s="489">
        <f t="shared" si="26"/>
        <v>100</v>
      </c>
      <c r="K108" s="489">
        <f t="shared" si="26"/>
        <v>100</v>
      </c>
      <c r="L108" s="489">
        <f t="shared" si="26"/>
        <v>100</v>
      </c>
      <c r="M108" s="489">
        <f t="shared" si="26"/>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79"/>
      <c r="B109" s="491">
        <f>B35</f>
        <v>111</v>
      </c>
      <c r="C109" s="499"/>
      <c r="D109" s="499"/>
      <c r="E109" s="499"/>
      <c r="F109" s="499"/>
      <c r="G109" s="532"/>
      <c r="H109" s="532"/>
      <c r="I109" s="532"/>
      <c r="J109" s="532"/>
      <c r="K109" s="533"/>
      <c r="L109" s="534"/>
      <c r="M109" s="535"/>
      <c r="N109" s="2743"/>
      <c r="O109" s="2743"/>
      <c r="P109" s="2768"/>
      <c r="Q109" s="2729"/>
      <c r="R109" s="2715"/>
      <c r="S109" s="2715"/>
      <c r="T109" s="2715"/>
      <c r="U109" s="2715"/>
      <c r="V109" s="2715"/>
      <c r="W109" s="2715"/>
      <c r="X109" s="2715"/>
      <c r="Y109" s="2715"/>
      <c r="Z109" s="2715"/>
      <c r="AA109" s="2715"/>
      <c r="AB109" s="2715"/>
      <c r="AC109" s="2715"/>
    </row>
    <row r="110" spans="1:29" ht="15.75" thickBot="1">
      <c r="A110" s="479"/>
      <c r="B110" s="514"/>
      <c r="C110" s="505"/>
      <c r="D110" s="505"/>
      <c r="E110" s="505"/>
      <c r="F110" s="505"/>
      <c r="G110" s="536"/>
      <c r="H110" s="536"/>
      <c r="I110" s="536"/>
      <c r="J110" s="536"/>
      <c r="K110" s="536"/>
      <c r="L110" s="536"/>
      <c r="M110" s="537"/>
      <c r="N110" s="2744"/>
      <c r="O110" s="2744"/>
      <c r="P110" s="2768"/>
      <c r="Q110" s="2729"/>
      <c r="R110" s="2715"/>
      <c r="S110" s="2715"/>
      <c r="T110" s="2715"/>
      <c r="U110" s="2715"/>
      <c r="V110" s="2715"/>
      <c r="W110" s="2715"/>
      <c r="X110" s="2715"/>
      <c r="Y110" s="2715"/>
      <c r="Z110" s="2715"/>
      <c r="AA110" s="2715"/>
      <c r="AB110" s="2715"/>
      <c r="AC110" s="2715"/>
    </row>
    <row r="111" spans="1:29" ht="15" thickTop="1">
      <c r="A111" s="619"/>
      <c r="B111" s="483">
        <f>B36</f>
        <v>111</v>
      </c>
      <c r="C111" s="468"/>
      <c r="D111" s="468"/>
      <c r="E111" s="468"/>
      <c r="F111" s="468"/>
      <c r="G111" s="528"/>
      <c r="H111" s="528"/>
      <c r="I111" s="528"/>
      <c r="J111" s="528"/>
      <c r="K111" s="529"/>
      <c r="L111" s="530"/>
      <c r="M111" s="531"/>
      <c r="N111" s="2743"/>
      <c r="O111" s="2743"/>
      <c r="P111" s="2768"/>
      <c r="Q111" s="2729"/>
      <c r="R111" s="2715"/>
      <c r="S111" s="2715"/>
      <c r="T111" s="2715"/>
      <c r="U111" s="2715"/>
      <c r="V111" s="2715"/>
      <c r="W111" s="2715"/>
      <c r="X111" s="2715"/>
      <c r="Y111" s="2715"/>
      <c r="Z111" s="2715"/>
      <c r="AA111" s="2715"/>
      <c r="AB111" s="2715"/>
      <c r="AC111" s="2715"/>
    </row>
    <row r="112" spans="1:29" ht="15.75" thickBot="1">
      <c r="A112" s="479"/>
      <c r="B112" s="488"/>
      <c r="C112" s="515"/>
      <c r="D112" s="515"/>
      <c r="E112" s="515"/>
      <c r="F112" s="515"/>
      <c r="G112" s="481"/>
      <c r="H112" s="481"/>
      <c r="I112" s="481"/>
      <c r="J112" s="481"/>
      <c r="K112" s="481"/>
      <c r="L112" s="481"/>
      <c r="M112" s="482"/>
      <c r="N112" s="2744"/>
      <c r="O112" s="2744"/>
      <c r="P112" s="2768"/>
      <c r="Q112" s="2729"/>
      <c r="R112" s="2715"/>
      <c r="S112" s="2715"/>
      <c r="T112" s="2715"/>
      <c r="U112" s="2715"/>
      <c r="V112" s="2715"/>
      <c r="W112" s="2715"/>
      <c r="X112" s="2715"/>
      <c r="Y112" s="2715"/>
      <c r="Z112" s="2715"/>
      <c r="AA112" s="2715"/>
      <c r="AB112" s="2715"/>
      <c r="AC112" s="2715"/>
    </row>
    <row r="113" spans="1:29" s="418" customFormat="1" ht="15" thickTop="1">
      <c r="A113" s="538"/>
      <c r="B113" s="539">
        <f>B37</f>
        <v>111</v>
      </c>
      <c r="C113" s="540"/>
      <c r="D113" s="540"/>
      <c r="E113" s="540"/>
      <c r="F113" s="540"/>
      <c r="G113" s="540"/>
      <c r="H113" s="540"/>
      <c r="I113" s="540"/>
      <c r="J113" s="541"/>
      <c r="K113" s="541"/>
      <c r="L113" s="542"/>
      <c r="M113" s="543"/>
      <c r="N113" s="2745"/>
      <c r="O113" s="2745"/>
      <c r="P113" s="2769"/>
      <c r="Q113" s="2736"/>
      <c r="R113" s="2737"/>
      <c r="S113" s="2737"/>
      <c r="T113" s="2737"/>
      <c r="U113" s="2737"/>
      <c r="V113" s="2737"/>
      <c r="W113" s="2737"/>
      <c r="X113" s="2737"/>
      <c r="Y113" s="2737"/>
      <c r="Z113" s="2737"/>
      <c r="AA113" s="2737"/>
      <c r="AB113" s="2737"/>
      <c r="AC113" s="2737"/>
    </row>
    <row r="114" spans="1:29" s="418" customFormat="1" ht="15.75" thickBot="1">
      <c r="A114" s="498"/>
      <c r="B114" s="491"/>
      <c r="C114" s="457"/>
      <c r="D114" s="621"/>
      <c r="E114" s="621"/>
      <c r="F114" s="621"/>
      <c r="G114" s="621"/>
      <c r="H114" s="621"/>
      <c r="I114" s="621"/>
      <c r="J114" s="621"/>
      <c r="K114" s="621"/>
      <c r="L114" s="621"/>
      <c r="M114" s="643"/>
      <c r="N114" s="2744"/>
      <c r="O114" s="2744"/>
      <c r="P114" s="2769"/>
      <c r="Q114" s="2736"/>
      <c r="R114" s="2737"/>
      <c r="S114" s="2737"/>
      <c r="T114" s="2737"/>
      <c r="U114" s="2737"/>
      <c r="V114" s="2737"/>
      <c r="W114" s="2737"/>
      <c r="X114" s="2737"/>
      <c r="Y114" s="2737"/>
      <c r="Z114" s="2737"/>
      <c r="AA114" s="2737"/>
      <c r="AB114" s="2737"/>
      <c r="AC114" s="2737"/>
    </row>
    <row r="115" spans="1:29" ht="28.5">
      <c r="A115" s="472" t="s">
        <v>1694</v>
      </c>
      <c r="B115" s="473" t="s">
        <v>1913</v>
      </c>
      <c r="C115" s="474" t="str">
        <f>C116&amp;"(含)"&amp;"-"&amp;D116</f>
        <v>0(含)-30000</v>
      </c>
      <c r="D115" s="474" t="str">
        <f t="shared" ref="D115:M115" si="27">D116&amp;"(含)"&amp;"-"&amp;E116</f>
        <v>30000(含)-60000</v>
      </c>
      <c r="E115" s="474" t="str">
        <f t="shared" si="27"/>
        <v>60000(含)-100000</v>
      </c>
      <c r="F115" s="474" t="str">
        <f t="shared" si="27"/>
        <v>100000(含)-</v>
      </c>
      <c r="G115" s="474" t="str">
        <f t="shared" si="27"/>
        <v>(含)-</v>
      </c>
      <c r="H115" s="474" t="str">
        <f t="shared" si="27"/>
        <v>(含)-</v>
      </c>
      <c r="I115" s="474" t="str">
        <f t="shared" si="27"/>
        <v>(含)-</v>
      </c>
      <c r="J115" s="474" t="str">
        <f t="shared" si="27"/>
        <v>(含)-</v>
      </c>
      <c r="K115" s="474" t="str">
        <f t="shared" si="27"/>
        <v>(含)-</v>
      </c>
      <c r="L115" s="474" t="str">
        <f t="shared" si="27"/>
        <v>(含)-</v>
      </c>
      <c r="M115" s="474" t="str">
        <f t="shared" si="27"/>
        <v>(含)-</v>
      </c>
      <c r="N115" s="2743"/>
      <c r="O115" s="2743"/>
      <c r="P115" s="2768"/>
      <c r="Q115" s="2729"/>
      <c r="R115" s="2715"/>
      <c r="S115" s="2715"/>
      <c r="T115" s="2715"/>
      <c r="U115" s="2715"/>
      <c r="V115" s="2715"/>
      <c r="W115" s="2715"/>
      <c r="X115" s="2715"/>
      <c r="Y115" s="2715"/>
      <c r="Z115" s="2715"/>
      <c r="AA115" s="2715"/>
      <c r="AB115" s="2715"/>
      <c r="AC115" s="2715"/>
    </row>
    <row r="116" spans="1:29" ht="15">
      <c r="A116" s="479"/>
      <c r="B116" s="491"/>
      <c r="C116" s="6">
        <v>0</v>
      </c>
      <c r="D116" s="6">
        <v>30000</v>
      </c>
      <c r="E116" s="6">
        <v>60000</v>
      </c>
      <c r="F116" s="6">
        <v>100000</v>
      </c>
      <c r="G116" s="6"/>
      <c r="H116" s="6"/>
      <c r="I116" s="540"/>
      <c r="J116" s="541"/>
      <c r="K116" s="541"/>
      <c r="L116" s="542"/>
      <c r="M116" s="543"/>
      <c r="N116" s="2743"/>
      <c r="O116" s="2743"/>
      <c r="P116" s="2768"/>
      <c r="Q116" s="2729"/>
      <c r="R116" s="2715"/>
      <c r="S116" s="2715"/>
      <c r="T116" s="2715"/>
      <c r="U116" s="2715"/>
      <c r="V116" s="2715"/>
      <c r="W116" s="2715"/>
      <c r="X116" s="2715"/>
      <c r="Y116" s="2715"/>
      <c r="Z116" s="2715"/>
      <c r="AA116" s="2715"/>
      <c r="AB116" s="2715"/>
      <c r="AC116" s="2715"/>
    </row>
    <row r="117" spans="1:29" ht="15.75" thickBot="1">
      <c r="A117" s="479"/>
      <c r="B117" s="488"/>
      <c r="C117" s="3496">
        <v>100</v>
      </c>
      <c r="D117" s="3497">
        <v>100.5</v>
      </c>
      <c r="E117" s="3497">
        <v>101</v>
      </c>
      <c r="F117" s="3497">
        <v>101.5</v>
      </c>
      <c r="G117" s="3497"/>
      <c r="H117" s="3497"/>
      <c r="I117" s="536"/>
      <c r="J117" s="536"/>
      <c r="K117" s="536"/>
      <c r="L117" s="536"/>
      <c r="M117" s="537"/>
      <c r="N117" s="2744"/>
      <c r="O117" s="2744"/>
      <c r="P117" s="2768"/>
      <c r="Q117" s="2729"/>
      <c r="R117" s="2715"/>
      <c r="S117" s="2715"/>
      <c r="T117" s="2715"/>
      <c r="U117" s="2715"/>
      <c r="V117" s="2715"/>
      <c r="W117" s="2715"/>
      <c r="X117" s="2715"/>
      <c r="Y117" s="2715"/>
      <c r="Z117" s="2715"/>
      <c r="AA117" s="2715"/>
      <c r="AB117" s="2715"/>
      <c r="AC117" s="2715"/>
    </row>
    <row r="118" spans="1:29" ht="15" thickTop="1">
      <c r="A118" s="544"/>
      <c r="B118" s="483" t="s">
        <v>1914</v>
      </c>
      <c r="C118" s="3498" t="s">
        <v>3861</v>
      </c>
      <c r="D118" s="3498" t="s">
        <v>3862</v>
      </c>
      <c r="E118" s="3498" t="s">
        <v>3395</v>
      </c>
      <c r="F118" s="3498" t="s">
        <v>3863</v>
      </c>
      <c r="G118" s="3498" t="s">
        <v>3864</v>
      </c>
      <c r="H118" s="3498"/>
      <c r="I118" s="528"/>
      <c r="J118" s="528"/>
      <c r="K118" s="529"/>
      <c r="L118" s="530"/>
      <c r="M118" s="531"/>
      <c r="N118" s="2743"/>
      <c r="O118" s="2743"/>
      <c r="P118" s="2768"/>
      <c r="Q118" s="2729"/>
      <c r="R118" s="2715"/>
      <c r="S118" s="2715"/>
      <c r="T118" s="2715"/>
      <c r="U118" s="2715"/>
      <c r="V118" s="2715"/>
      <c r="W118" s="2715"/>
      <c r="X118" s="2715"/>
      <c r="Y118" s="2715"/>
      <c r="Z118" s="2715"/>
      <c r="AA118" s="2715"/>
      <c r="AB118" s="2715"/>
      <c r="AC118" s="2715"/>
    </row>
    <row r="119" spans="1:29" ht="15.75" thickBot="1">
      <c r="A119" s="479"/>
      <c r="B119" s="488"/>
      <c r="C119" s="489">
        <v>100</v>
      </c>
      <c r="D119" s="489">
        <f t="shared" ref="D119:M119" si="28">C119-$K39</f>
        <v>98</v>
      </c>
      <c r="E119" s="489">
        <f t="shared" si="28"/>
        <v>96</v>
      </c>
      <c r="F119" s="489">
        <f t="shared" si="28"/>
        <v>94</v>
      </c>
      <c r="G119" s="489">
        <f t="shared" si="28"/>
        <v>92</v>
      </c>
      <c r="H119" s="489">
        <f t="shared" si="28"/>
        <v>90</v>
      </c>
      <c r="I119" s="489">
        <f t="shared" si="28"/>
        <v>88</v>
      </c>
      <c r="J119" s="489">
        <f t="shared" si="28"/>
        <v>86</v>
      </c>
      <c r="K119" s="489">
        <f t="shared" si="28"/>
        <v>84</v>
      </c>
      <c r="L119" s="489">
        <f t="shared" si="28"/>
        <v>82</v>
      </c>
      <c r="M119" s="490">
        <f t="shared" si="28"/>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4"/>
      <c r="B120" s="483" t="s">
        <v>1915</v>
      </c>
      <c r="C120" s="3495" t="s">
        <v>3872</v>
      </c>
      <c r="D120" s="499"/>
      <c r="E120" s="499"/>
      <c r="F120" s="528"/>
      <c r="G120" s="528"/>
      <c r="H120" s="528"/>
      <c r="I120" s="528"/>
      <c r="J120" s="528"/>
      <c r="K120" s="529"/>
      <c r="L120" s="530"/>
      <c r="M120" s="531"/>
      <c r="N120" s="2743"/>
      <c r="O120" s="2743"/>
      <c r="P120" s="2768"/>
      <c r="Q120" s="2729"/>
      <c r="R120" s="2715"/>
      <c r="S120" s="2715"/>
      <c r="T120" s="2715"/>
      <c r="U120" s="2715"/>
      <c r="V120" s="2715"/>
      <c r="W120" s="2715"/>
      <c r="X120" s="2715"/>
      <c r="Y120" s="2715"/>
      <c r="Z120" s="2715"/>
      <c r="AA120" s="2715"/>
      <c r="AB120" s="2715"/>
      <c r="AC120" s="2715"/>
    </row>
    <row r="121" spans="1:29" ht="15.75" thickBot="1">
      <c r="A121" s="479"/>
      <c r="B121" s="488"/>
      <c r="C121" s="489">
        <v>100</v>
      </c>
      <c r="D121" s="489">
        <f t="shared" ref="D121:M121" si="29">C121-$K40</f>
        <v>100</v>
      </c>
      <c r="E121" s="489">
        <f t="shared" si="29"/>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744"/>
      <c r="O121" s="2744"/>
      <c r="P121" s="2768"/>
      <c r="Q121" s="2729"/>
      <c r="R121" s="2715"/>
      <c r="S121" s="2715"/>
      <c r="T121" s="2715"/>
      <c r="U121" s="2715"/>
      <c r="V121" s="2715"/>
      <c r="W121" s="2715"/>
      <c r="X121" s="2715"/>
      <c r="Y121" s="2715"/>
      <c r="Z121" s="2715"/>
      <c r="AA121" s="2715"/>
      <c r="AB121" s="2715"/>
      <c r="AC121" s="2715"/>
    </row>
    <row r="122" spans="1:29" s="418" customFormat="1" ht="15" thickTop="1">
      <c r="A122" s="538"/>
      <c r="B122" s="483" t="s">
        <v>1916</v>
      </c>
      <c r="C122" s="3494" t="s">
        <v>3865</v>
      </c>
      <c r="D122" s="3494" t="s">
        <v>3866</v>
      </c>
      <c r="E122" s="3494" t="s">
        <v>3867</v>
      </c>
      <c r="F122" s="3494" t="s">
        <v>3868</v>
      </c>
      <c r="G122" s="3494" t="s">
        <v>3869</v>
      </c>
      <c r="H122" s="528"/>
      <c r="I122" s="528"/>
      <c r="J122" s="528"/>
      <c r="K122" s="529"/>
      <c r="L122" s="530"/>
      <c r="M122" s="531"/>
      <c r="N122" s="2745"/>
      <c r="O122" s="2745"/>
      <c r="P122" s="2769"/>
      <c r="Q122" s="2736"/>
      <c r="R122" s="2737"/>
      <c r="S122" s="2737"/>
      <c r="T122" s="2737"/>
      <c r="U122" s="2737"/>
      <c r="V122" s="2737"/>
      <c r="W122" s="2737"/>
      <c r="X122" s="2737"/>
      <c r="Y122" s="2737"/>
      <c r="Z122" s="2737"/>
      <c r="AA122" s="2737"/>
      <c r="AB122" s="2737"/>
      <c r="AC122" s="2737"/>
    </row>
    <row r="123" spans="1:29" s="418" customFormat="1" ht="15.75" thickBot="1">
      <c r="A123" s="498"/>
      <c r="B123" s="488"/>
      <c r="C123" s="489">
        <v>100</v>
      </c>
      <c r="D123" s="489">
        <f t="shared" ref="D123:M123" si="30">C123-$K41</f>
        <v>99</v>
      </c>
      <c r="E123" s="489">
        <f t="shared" si="30"/>
        <v>98</v>
      </c>
      <c r="F123" s="489">
        <f t="shared" si="30"/>
        <v>97</v>
      </c>
      <c r="G123" s="489">
        <f t="shared" si="30"/>
        <v>96</v>
      </c>
      <c r="H123" s="489">
        <f t="shared" si="30"/>
        <v>95</v>
      </c>
      <c r="I123" s="489">
        <f t="shared" si="30"/>
        <v>94</v>
      </c>
      <c r="J123" s="489">
        <f t="shared" si="30"/>
        <v>93</v>
      </c>
      <c r="K123" s="489">
        <f t="shared" si="30"/>
        <v>92</v>
      </c>
      <c r="L123" s="489">
        <f t="shared" si="30"/>
        <v>91</v>
      </c>
      <c r="M123" s="490">
        <f t="shared" si="30"/>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4"/>
      <c r="B124" s="483" t="s">
        <v>1917</v>
      </c>
      <c r="C124" s="3494" t="s">
        <v>3870</v>
      </c>
      <c r="D124" s="3494" t="s">
        <v>3396</v>
      </c>
      <c r="E124" s="3498" t="s">
        <v>3395</v>
      </c>
      <c r="F124" s="3498" t="s">
        <v>3394</v>
      </c>
      <c r="G124" s="3498" t="s">
        <v>3871</v>
      </c>
      <c r="H124" s="528"/>
      <c r="I124" s="528"/>
      <c r="J124" s="528"/>
      <c r="K124" s="529"/>
      <c r="L124" s="530"/>
      <c r="M124" s="531"/>
      <c r="N124" s="2743"/>
      <c r="O124" s="2743"/>
      <c r="P124" s="2768"/>
      <c r="Q124" s="2729"/>
      <c r="R124" s="2715"/>
      <c r="S124" s="2715"/>
      <c r="T124" s="2715"/>
      <c r="U124" s="2715"/>
      <c r="V124" s="2715"/>
      <c r="W124" s="2715"/>
      <c r="X124" s="2715"/>
      <c r="Y124" s="2715"/>
      <c r="Z124" s="2715"/>
      <c r="AA124" s="2715"/>
      <c r="AB124" s="2715"/>
      <c r="AC124" s="2715"/>
    </row>
    <row r="125" spans="1:29" ht="15.75" thickBot="1">
      <c r="A125" s="479"/>
      <c r="B125" s="488"/>
      <c r="C125" s="489">
        <v>100</v>
      </c>
      <c r="D125" s="489">
        <f t="shared" ref="D125:M125" si="31">C125-$K42</f>
        <v>98</v>
      </c>
      <c r="E125" s="489">
        <f t="shared" si="31"/>
        <v>96</v>
      </c>
      <c r="F125" s="489">
        <f t="shared" si="31"/>
        <v>94</v>
      </c>
      <c r="G125" s="489">
        <f t="shared" si="31"/>
        <v>92</v>
      </c>
      <c r="H125" s="489">
        <f t="shared" si="31"/>
        <v>90</v>
      </c>
      <c r="I125" s="489">
        <f t="shared" si="31"/>
        <v>88</v>
      </c>
      <c r="J125" s="489">
        <f t="shared" si="31"/>
        <v>86</v>
      </c>
      <c r="K125" s="489">
        <f t="shared" si="31"/>
        <v>84</v>
      </c>
      <c r="L125" s="489">
        <f t="shared" si="31"/>
        <v>82</v>
      </c>
      <c r="M125" s="490">
        <f t="shared" si="31"/>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4"/>
      <c r="B126" s="483">
        <f>B43</f>
        <v>111</v>
      </c>
      <c r="C126" s="499"/>
      <c r="D126" s="499"/>
      <c r="E126" s="499"/>
      <c r="F126" s="499"/>
      <c r="G126" s="499"/>
      <c r="H126" s="528"/>
      <c r="I126" s="528"/>
      <c r="J126" s="528"/>
      <c r="K126" s="529"/>
      <c r="L126" s="530"/>
      <c r="M126" s="531"/>
      <c r="N126" s="2743"/>
      <c r="O126" s="2743"/>
      <c r="P126" s="2768"/>
      <c r="Q126" s="2729"/>
      <c r="R126" s="2715"/>
      <c r="S126" s="2715"/>
      <c r="T126" s="2715"/>
      <c r="U126" s="2715"/>
      <c r="V126" s="2715"/>
      <c r="W126" s="2715"/>
      <c r="X126" s="2715"/>
      <c r="Y126" s="2715"/>
      <c r="Z126" s="2715"/>
      <c r="AA126" s="2715"/>
      <c r="AB126" s="2715"/>
      <c r="AC126" s="2715"/>
    </row>
    <row r="127" spans="1:29" ht="15.75" thickBot="1">
      <c r="A127" s="479"/>
      <c r="B127" s="488"/>
      <c r="C127" s="505"/>
      <c r="D127" s="505"/>
      <c r="E127" s="505"/>
      <c r="F127" s="505"/>
      <c r="G127" s="481"/>
      <c r="H127" s="481"/>
      <c r="I127" s="481"/>
      <c r="J127" s="481"/>
      <c r="K127" s="481"/>
      <c r="L127" s="481"/>
      <c r="M127" s="482"/>
      <c r="N127" s="2744"/>
      <c r="O127" s="2744"/>
      <c r="P127" s="2768"/>
      <c r="Q127" s="2729"/>
      <c r="R127" s="2715"/>
      <c r="S127" s="2715"/>
      <c r="T127" s="2715"/>
      <c r="U127" s="2715"/>
      <c r="V127" s="2715"/>
      <c r="W127" s="2715"/>
      <c r="X127" s="2715"/>
      <c r="Y127" s="2715"/>
      <c r="Z127" s="2715"/>
      <c r="AA127" s="2715"/>
      <c r="AB127" s="2715"/>
      <c r="AC127" s="2715"/>
    </row>
    <row r="128" spans="1:29" ht="15" thickTop="1">
      <c r="A128" s="544"/>
      <c r="B128" s="483">
        <f>B44</f>
        <v>111</v>
      </c>
      <c r="C128" s="468"/>
      <c r="D128" s="468"/>
      <c r="E128" s="468"/>
      <c r="F128" s="468"/>
      <c r="G128" s="528"/>
      <c r="H128" s="528"/>
      <c r="I128" s="528"/>
      <c r="J128" s="528"/>
      <c r="K128" s="529"/>
      <c r="L128" s="530"/>
      <c r="M128" s="531"/>
      <c r="N128" s="2743"/>
      <c r="O128" s="2743"/>
      <c r="P128" s="2768"/>
      <c r="Q128" s="2729"/>
      <c r="R128" s="2715"/>
      <c r="S128" s="2715"/>
      <c r="T128" s="2715"/>
      <c r="U128" s="2715"/>
      <c r="V128" s="2715"/>
      <c r="W128" s="2715"/>
      <c r="X128" s="2715"/>
      <c r="Y128" s="2715"/>
      <c r="Z128" s="2715"/>
      <c r="AA128" s="2715"/>
      <c r="AB128" s="2715"/>
      <c r="AC128" s="2715"/>
    </row>
    <row r="129" spans="1:29" ht="15.75" thickBot="1">
      <c r="A129" s="479"/>
      <c r="B129" s="488"/>
      <c r="C129" s="515"/>
      <c r="D129" s="515"/>
      <c r="E129" s="515"/>
      <c r="F129" s="515"/>
      <c r="G129" s="481"/>
      <c r="H129" s="481"/>
      <c r="I129" s="481"/>
      <c r="J129" s="481"/>
      <c r="K129" s="481"/>
      <c r="L129" s="481"/>
      <c r="M129" s="482"/>
      <c r="N129" s="2744"/>
      <c r="O129" s="2744"/>
      <c r="P129" s="2768"/>
      <c r="Q129" s="2729"/>
      <c r="R129" s="2715"/>
      <c r="S129" s="2715"/>
      <c r="T129" s="2715"/>
      <c r="U129" s="2715"/>
      <c r="V129" s="2715"/>
      <c r="W129" s="2715"/>
      <c r="X129" s="2715"/>
      <c r="Y129" s="2715"/>
      <c r="Z129" s="2715"/>
      <c r="AA129" s="2715"/>
      <c r="AB129" s="2715"/>
      <c r="AC129" s="2715"/>
    </row>
    <row r="130" spans="1:29" s="418" customFormat="1" ht="15" thickTop="1">
      <c r="A130" s="538"/>
      <c r="B130" s="483">
        <f>B45</f>
        <v>111</v>
      </c>
      <c r="C130" s="468"/>
      <c r="D130" s="468"/>
      <c r="E130" s="468"/>
      <c r="F130" s="468"/>
      <c r="G130" s="500"/>
      <c r="H130" s="500"/>
      <c r="I130" s="500"/>
      <c r="J130" s="500"/>
      <c r="K130" s="500"/>
      <c r="L130" s="501"/>
      <c r="M130" s="502"/>
      <c r="N130" s="2745"/>
      <c r="O130" s="2745"/>
      <c r="P130" s="2769"/>
      <c r="Q130" s="2736"/>
      <c r="R130" s="2737"/>
      <c r="S130" s="2737"/>
      <c r="T130" s="2737"/>
      <c r="U130" s="2737"/>
      <c r="V130" s="2737"/>
      <c r="W130" s="2737"/>
      <c r="X130" s="2737"/>
      <c r="Y130" s="2737"/>
      <c r="Z130" s="2737"/>
      <c r="AA130" s="2737"/>
      <c r="AB130" s="2737"/>
      <c r="AC130" s="2737"/>
    </row>
    <row r="131" spans="1:29" s="418" customFormat="1" ht="15.75" thickBot="1">
      <c r="A131" s="513"/>
      <c r="B131" s="644"/>
      <c r="C131" s="515"/>
      <c r="D131" s="515"/>
      <c r="E131" s="515"/>
      <c r="F131" s="515"/>
      <c r="G131" s="536"/>
      <c r="H131" s="536"/>
      <c r="I131" s="536"/>
      <c r="J131" s="536"/>
      <c r="K131" s="536"/>
      <c r="L131" s="536"/>
      <c r="M131" s="537"/>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topLeftCell="D1" workbookViewId="0">
      <pane ySplit="1" topLeftCell="A2" activePane="bottomLeft" state="frozen"/>
      <selection pane="bottomLeft" activeCell="S97" sqref="S97"/>
    </sheetView>
  </sheetViews>
  <sheetFormatPr defaultColWidth="9" defaultRowHeight="12"/>
  <cols>
    <col min="1" max="1" width="28" style="3484" customWidth="1"/>
    <col min="2" max="2" width="7.5" style="3484" hidden="1" customWidth="1"/>
    <col min="3" max="3" width="8.625" style="3484" customWidth="1"/>
    <col min="4" max="4" width="9" style="3484" customWidth="1"/>
    <col min="5" max="5" width="17.75" style="3484" customWidth="1"/>
    <col min="6" max="6" width="10.25" style="3484" customWidth="1"/>
    <col min="7" max="7" width="9.75" style="3484" customWidth="1"/>
    <col min="8" max="8" width="20" style="3484" hidden="1" customWidth="1"/>
    <col min="9" max="9" width="11.5" style="3484" hidden="1" customWidth="1"/>
    <col min="10" max="10" width="6.875" style="3484" customWidth="1"/>
    <col min="11" max="11" width="20" style="3484" hidden="1" customWidth="1"/>
    <col min="12" max="12" width="10" style="3484" customWidth="1"/>
    <col min="13" max="13" width="12.25" style="3484" customWidth="1"/>
    <col min="14" max="14" width="20" style="3484" hidden="1" customWidth="1"/>
    <col min="15" max="15" width="14.25" style="3484" customWidth="1"/>
    <col min="16" max="16" width="20" style="3484" hidden="1" customWidth="1"/>
    <col min="17" max="17" width="8.375" style="3484" customWidth="1"/>
    <col min="18" max="18" width="12.25" style="3484" customWidth="1"/>
    <col min="19" max="19" width="13.25" style="3484" customWidth="1"/>
    <col min="20" max="20" width="10" style="3484" customWidth="1"/>
    <col min="21" max="21" width="11.625" style="3484" customWidth="1"/>
    <col min="22" max="22" width="11.375" style="3484" customWidth="1"/>
    <col min="23" max="23" width="10.25" style="3484" customWidth="1"/>
    <col min="24" max="24" width="20" style="3484" customWidth="1"/>
    <col min="25" max="16384" width="9" style="3484"/>
  </cols>
  <sheetData>
    <row r="1" spans="1:23">
      <c r="A1" s="3484" t="s">
        <v>3462</v>
      </c>
      <c r="B1" s="3484" t="s">
        <v>3463</v>
      </c>
      <c r="C1" s="3484" t="s">
        <v>3464</v>
      </c>
      <c r="D1" s="3484" t="s">
        <v>3465</v>
      </c>
      <c r="E1" s="3484" t="s">
        <v>3466</v>
      </c>
      <c r="F1" s="3484" t="s">
        <v>3467</v>
      </c>
      <c r="G1" s="3484" t="s">
        <v>3468</v>
      </c>
      <c r="H1" s="3484" t="s">
        <v>3469</v>
      </c>
      <c r="I1" s="3484" t="s">
        <v>3470</v>
      </c>
      <c r="J1" s="3484" t="s">
        <v>3471</v>
      </c>
      <c r="K1" s="3484" t="s">
        <v>3472</v>
      </c>
      <c r="L1" s="3484" t="s">
        <v>3473</v>
      </c>
      <c r="M1" s="3484" t="s">
        <v>3474</v>
      </c>
      <c r="N1" s="3484" t="s">
        <v>3475</v>
      </c>
      <c r="O1" s="3484" t="s">
        <v>3476</v>
      </c>
      <c r="P1" s="3484" t="s">
        <v>3477</v>
      </c>
      <c r="Q1" s="3484" t="s">
        <v>3478</v>
      </c>
      <c r="R1" s="3484" t="s">
        <v>3479</v>
      </c>
      <c r="S1" s="3484" t="s">
        <v>3480</v>
      </c>
      <c r="T1" s="3484" t="s">
        <v>3481</v>
      </c>
      <c r="U1" s="3484" t="s">
        <v>3482</v>
      </c>
      <c r="V1" s="3484" t="s">
        <v>3483</v>
      </c>
      <c r="W1" s="3484" t="s">
        <v>3484</v>
      </c>
    </row>
    <row r="2" spans="1:23" hidden="1">
      <c r="A2" s="3484" t="s">
        <v>3485</v>
      </c>
      <c r="B2" s="3484" t="s">
        <v>3376</v>
      </c>
      <c r="C2" s="3484" t="s">
        <v>3486</v>
      </c>
      <c r="D2" s="3484" t="s">
        <v>3487</v>
      </c>
      <c r="E2" s="3484">
        <v>32733.22</v>
      </c>
      <c r="F2" s="3484">
        <v>72013.08</v>
      </c>
      <c r="G2" s="3484">
        <v>2.2000000000000002</v>
      </c>
      <c r="H2" s="3484" t="s">
        <v>3488</v>
      </c>
      <c r="I2" s="3484" t="s">
        <v>3489</v>
      </c>
      <c r="J2" s="3484" t="s">
        <v>3490</v>
      </c>
      <c r="K2" s="3484" t="s">
        <v>3491</v>
      </c>
      <c r="L2" s="3484" t="s">
        <v>3492</v>
      </c>
      <c r="M2" s="3485">
        <v>44865.000497685185</v>
      </c>
      <c r="N2" s="3484" t="s">
        <v>3493</v>
      </c>
      <c r="O2" s="3484" t="s">
        <v>3494</v>
      </c>
      <c r="P2" s="3484" t="s">
        <v>3495</v>
      </c>
      <c r="Q2" s="3484">
        <v>149000</v>
      </c>
      <c r="R2" s="3484">
        <v>3034.63</v>
      </c>
      <c r="S2" s="3484">
        <v>20691</v>
      </c>
      <c r="T2" s="3484">
        <v>0</v>
      </c>
      <c r="U2" s="3484" t="s">
        <v>3496</v>
      </c>
      <c r="V2" s="3484" t="s">
        <v>3491</v>
      </c>
      <c r="W2" s="3484" t="s">
        <v>3491</v>
      </c>
    </row>
    <row r="3" spans="1:23" hidden="1">
      <c r="A3" s="3484" t="s">
        <v>3497</v>
      </c>
      <c r="B3" s="3484" t="s">
        <v>3376</v>
      </c>
      <c r="C3" s="3484" t="s">
        <v>3498</v>
      </c>
      <c r="D3" s="3484" t="s">
        <v>3487</v>
      </c>
      <c r="E3" s="3484">
        <v>29506.55</v>
      </c>
      <c r="F3" s="3484">
        <v>64914.41</v>
      </c>
      <c r="G3" s="3484">
        <v>2.2000000000000002</v>
      </c>
      <c r="H3" s="3484" t="s">
        <v>3488</v>
      </c>
      <c r="I3" s="3484" t="s">
        <v>3489</v>
      </c>
      <c r="J3" s="3484" t="s">
        <v>3490</v>
      </c>
      <c r="K3" s="3484" t="s">
        <v>3491</v>
      </c>
      <c r="L3" s="3484" t="s">
        <v>3492</v>
      </c>
      <c r="M3" s="3485">
        <v>44865.000497685185</v>
      </c>
      <c r="N3" s="3484" t="s">
        <v>3493</v>
      </c>
      <c r="O3" s="3484" t="s">
        <v>3499</v>
      </c>
      <c r="P3" s="3484" t="s">
        <v>3495</v>
      </c>
      <c r="Q3" s="3484">
        <v>135000</v>
      </c>
      <c r="R3" s="3484">
        <v>3050.17</v>
      </c>
      <c r="S3" s="3484">
        <v>20797</v>
      </c>
      <c r="T3" s="3484">
        <v>0</v>
      </c>
      <c r="U3" s="3484" t="s">
        <v>3496</v>
      </c>
      <c r="V3" s="3484" t="s">
        <v>3491</v>
      </c>
      <c r="W3" s="3484" t="s">
        <v>3491</v>
      </c>
    </row>
    <row r="4" spans="1:23" s="3486" customFormat="1">
      <c r="A4" s="3486" t="s">
        <v>3500</v>
      </c>
      <c r="B4" s="3486" t="s">
        <v>3376</v>
      </c>
      <c r="C4" s="3486" t="s">
        <v>3501</v>
      </c>
      <c r="D4" s="3486" t="s">
        <v>3487</v>
      </c>
      <c r="E4" s="3486">
        <v>12629.88</v>
      </c>
      <c r="F4" s="3486">
        <v>80000</v>
      </c>
      <c r="G4" s="3486" t="s">
        <v>3502</v>
      </c>
      <c r="H4" s="3486" t="s">
        <v>3488</v>
      </c>
      <c r="I4" s="3486" t="s">
        <v>3503</v>
      </c>
      <c r="J4" s="3486" t="s">
        <v>3490</v>
      </c>
      <c r="K4" s="3486" t="s">
        <v>3491</v>
      </c>
      <c r="L4" s="3486" t="s">
        <v>3492</v>
      </c>
      <c r="M4" s="3487">
        <v>44798.000497685185</v>
      </c>
      <c r="N4" s="3486" t="s">
        <v>3493</v>
      </c>
      <c r="O4" s="3486" t="s">
        <v>3504</v>
      </c>
      <c r="P4" s="3486" t="s">
        <v>3505</v>
      </c>
      <c r="Q4" s="3486">
        <v>166000</v>
      </c>
      <c r="R4" s="3486">
        <v>8762.2900000000009</v>
      </c>
      <c r="S4" s="3486">
        <v>20750</v>
      </c>
      <c r="T4" s="3486">
        <v>0</v>
      </c>
      <c r="U4" s="3486" t="s">
        <v>3496</v>
      </c>
      <c r="V4" s="3486" t="s">
        <v>3491</v>
      </c>
      <c r="W4" s="3486" t="s">
        <v>3491</v>
      </c>
    </row>
    <row r="5" spans="1:23" hidden="1">
      <c r="A5" s="3484" t="s">
        <v>3506</v>
      </c>
      <c r="B5" s="3484" t="s">
        <v>3376</v>
      </c>
      <c r="C5" s="3484" t="s">
        <v>3507</v>
      </c>
      <c r="D5" s="3484" t="s">
        <v>3487</v>
      </c>
      <c r="E5" s="3484">
        <v>10000</v>
      </c>
      <c r="F5" s="3484">
        <v>22000</v>
      </c>
      <c r="G5" s="3484" t="s">
        <v>3508</v>
      </c>
      <c r="H5" s="3484" t="s">
        <v>3488</v>
      </c>
      <c r="I5" s="3484" t="s">
        <v>3489</v>
      </c>
      <c r="J5" s="3484" t="s">
        <v>3490</v>
      </c>
      <c r="K5" s="3484" t="s">
        <v>3491</v>
      </c>
      <c r="L5" s="3484" t="s">
        <v>3492</v>
      </c>
      <c r="M5" s="3485">
        <v>44795.000497685185</v>
      </c>
      <c r="N5" s="3484" t="s">
        <v>3493</v>
      </c>
      <c r="O5" s="3484" t="s">
        <v>3509</v>
      </c>
      <c r="P5" s="3484" t="s">
        <v>3510</v>
      </c>
      <c r="Q5" s="3484">
        <v>36400</v>
      </c>
      <c r="R5" s="3484">
        <v>2426.67</v>
      </c>
      <c r="S5" s="3484">
        <v>16545</v>
      </c>
      <c r="T5" s="3484">
        <v>0</v>
      </c>
      <c r="U5" s="3484" t="s">
        <v>3511</v>
      </c>
      <c r="V5" s="3484" t="s">
        <v>3491</v>
      </c>
      <c r="W5" s="3484" t="s">
        <v>3491</v>
      </c>
    </row>
    <row r="6" spans="1:23" hidden="1">
      <c r="A6" s="3484" t="s">
        <v>3512</v>
      </c>
      <c r="B6" s="3484" t="s">
        <v>3376</v>
      </c>
      <c r="C6" s="3484" t="s">
        <v>3513</v>
      </c>
      <c r="D6" s="3484" t="s">
        <v>3487</v>
      </c>
      <c r="E6" s="3484">
        <v>5500</v>
      </c>
      <c r="F6" s="3484">
        <v>12100</v>
      </c>
      <c r="G6" s="3484" t="s">
        <v>3508</v>
      </c>
      <c r="H6" s="3484" t="s">
        <v>3488</v>
      </c>
      <c r="I6" s="3484" t="s">
        <v>3489</v>
      </c>
      <c r="J6" s="3484" t="s">
        <v>3490</v>
      </c>
      <c r="K6" s="3484" t="s">
        <v>3491</v>
      </c>
      <c r="L6" s="3484" t="s">
        <v>3492</v>
      </c>
      <c r="M6" s="3485">
        <v>44796.000497685185</v>
      </c>
      <c r="N6" s="3484" t="s">
        <v>3493</v>
      </c>
      <c r="O6" s="3484" t="s">
        <v>3514</v>
      </c>
      <c r="P6" s="3484" t="s">
        <v>3492</v>
      </c>
      <c r="Q6" s="3484">
        <v>20000</v>
      </c>
      <c r="R6" s="3484">
        <v>2424.2399999999998</v>
      </c>
      <c r="S6" s="3484">
        <v>16529</v>
      </c>
      <c r="T6" s="3484">
        <v>0</v>
      </c>
      <c r="U6" s="3484" t="s">
        <v>3511</v>
      </c>
      <c r="V6" s="3484" t="s">
        <v>3491</v>
      </c>
      <c r="W6" s="3484" t="s">
        <v>3491</v>
      </c>
    </row>
    <row r="7" spans="1:23" hidden="1">
      <c r="A7" s="3484" t="s">
        <v>3515</v>
      </c>
      <c r="B7" s="3484" t="s">
        <v>3376</v>
      </c>
      <c r="C7" s="3484" t="s">
        <v>3516</v>
      </c>
      <c r="D7" s="3484" t="s">
        <v>3487</v>
      </c>
      <c r="E7" s="3484">
        <v>16122.82</v>
      </c>
      <c r="F7" s="3484">
        <v>45143.91</v>
      </c>
      <c r="G7" s="3484" t="s">
        <v>3517</v>
      </c>
      <c r="H7" s="3484" t="s">
        <v>3488</v>
      </c>
      <c r="I7" s="3484" t="s">
        <v>3489</v>
      </c>
      <c r="J7" s="3484" t="s">
        <v>3490</v>
      </c>
      <c r="K7" s="3484" t="s">
        <v>3491</v>
      </c>
      <c r="L7" s="3484" t="s">
        <v>3518</v>
      </c>
      <c r="M7" s="3485">
        <v>44761.000497685185</v>
      </c>
      <c r="N7" s="3484" t="s">
        <v>3493</v>
      </c>
      <c r="O7" s="3484" t="s">
        <v>3519</v>
      </c>
      <c r="P7" s="3484" t="s">
        <v>3520</v>
      </c>
      <c r="Q7" s="3484">
        <v>76000</v>
      </c>
      <c r="R7" s="3484">
        <v>3142.54</v>
      </c>
      <c r="S7" s="3484">
        <v>16835</v>
      </c>
      <c r="T7" s="3484">
        <v>0</v>
      </c>
      <c r="U7" s="3484" t="s">
        <v>3521</v>
      </c>
      <c r="V7" s="3484" t="s">
        <v>3491</v>
      </c>
      <c r="W7" s="3484" t="s">
        <v>3491</v>
      </c>
    </row>
    <row r="8" spans="1:23" hidden="1">
      <c r="A8" s="3484" t="s">
        <v>3522</v>
      </c>
      <c r="B8" s="3484" t="s">
        <v>3376</v>
      </c>
      <c r="C8" s="3484" t="s">
        <v>3523</v>
      </c>
      <c r="D8" s="3484" t="s">
        <v>3487</v>
      </c>
      <c r="E8" s="3484">
        <v>17308.8</v>
      </c>
      <c r="F8" s="3484">
        <v>86544</v>
      </c>
      <c r="G8" s="3484" t="s">
        <v>3524</v>
      </c>
      <c r="H8" s="3484" t="s">
        <v>3488</v>
      </c>
      <c r="I8" s="3484" t="s">
        <v>3489</v>
      </c>
      <c r="J8" s="3484" t="s">
        <v>3490</v>
      </c>
      <c r="K8" s="3484" t="s">
        <v>3491</v>
      </c>
      <c r="L8" s="3484" t="s">
        <v>3518</v>
      </c>
      <c r="M8" s="3485">
        <v>44735.000497685185</v>
      </c>
      <c r="N8" s="3484" t="s">
        <v>3493</v>
      </c>
      <c r="O8" s="3484" t="s">
        <v>3525</v>
      </c>
      <c r="P8" s="3484" t="s">
        <v>3526</v>
      </c>
      <c r="Q8" s="3484">
        <v>91400</v>
      </c>
      <c r="R8" s="3484">
        <v>3520.37</v>
      </c>
      <c r="S8" s="3484">
        <v>10561</v>
      </c>
      <c r="T8" s="3484">
        <v>0</v>
      </c>
      <c r="U8" s="3484" t="s">
        <v>3527</v>
      </c>
      <c r="V8" s="3484" t="s">
        <v>3491</v>
      </c>
      <c r="W8" s="3484" t="s">
        <v>3491</v>
      </c>
    </row>
    <row r="9" spans="1:23" hidden="1">
      <c r="A9" s="3484" t="s">
        <v>3528</v>
      </c>
      <c r="B9" s="3484" t="s">
        <v>3376</v>
      </c>
      <c r="C9" s="3484" t="s">
        <v>3529</v>
      </c>
      <c r="D9" s="3484" t="s">
        <v>3487</v>
      </c>
      <c r="E9" s="3484">
        <v>59169.74</v>
      </c>
      <c r="F9" s="3484">
        <v>130173.43</v>
      </c>
      <c r="G9" s="3484" t="s">
        <v>3508</v>
      </c>
      <c r="H9" s="3484" t="s">
        <v>3488</v>
      </c>
      <c r="I9" s="3484" t="s">
        <v>3489</v>
      </c>
      <c r="J9" s="3484" t="s">
        <v>3490</v>
      </c>
      <c r="K9" s="3484" t="s">
        <v>3491</v>
      </c>
      <c r="L9" s="3484" t="s">
        <v>3492</v>
      </c>
      <c r="M9" s="3485">
        <v>44680.000497685185</v>
      </c>
      <c r="N9" s="3484" t="s">
        <v>3493</v>
      </c>
      <c r="O9" s="3484" t="s">
        <v>3530</v>
      </c>
      <c r="P9" s="3484" t="s">
        <v>3531</v>
      </c>
      <c r="Q9" s="3484">
        <v>131600</v>
      </c>
      <c r="R9" s="3484">
        <v>1482.74</v>
      </c>
      <c r="S9" s="3484">
        <v>10110</v>
      </c>
      <c r="T9" s="3484">
        <v>0</v>
      </c>
      <c r="U9" s="3484" t="s">
        <v>3496</v>
      </c>
      <c r="V9" s="3484" t="s">
        <v>3491</v>
      </c>
      <c r="W9" s="3484" t="s">
        <v>3491</v>
      </c>
    </row>
    <row r="10" spans="1:23" hidden="1">
      <c r="A10" s="3484" t="s">
        <v>3532</v>
      </c>
      <c r="B10" s="3484" t="s">
        <v>3376</v>
      </c>
      <c r="C10" s="3484" t="s">
        <v>3533</v>
      </c>
      <c r="D10" s="3484" t="s">
        <v>3487</v>
      </c>
      <c r="E10" s="3484">
        <v>12066.9</v>
      </c>
      <c r="F10" s="3484">
        <v>18100.349999999999</v>
      </c>
      <c r="G10" s="3484">
        <v>1.5</v>
      </c>
      <c r="H10" s="3484" t="s">
        <v>3488</v>
      </c>
      <c r="I10" s="3484" t="s">
        <v>3503</v>
      </c>
      <c r="J10" s="3484" t="s">
        <v>3490</v>
      </c>
      <c r="K10" s="3484" t="s">
        <v>3491</v>
      </c>
      <c r="L10" s="3484" t="s">
        <v>3492</v>
      </c>
      <c r="M10" s="3485">
        <v>44621.000497685185</v>
      </c>
      <c r="N10" s="3484" t="s">
        <v>3493</v>
      </c>
      <c r="O10" s="3484" t="s">
        <v>3530</v>
      </c>
      <c r="P10" s="3484" t="s">
        <v>3492</v>
      </c>
      <c r="Q10" s="3484">
        <v>9400</v>
      </c>
      <c r="R10" s="3484">
        <v>519.33000000000004</v>
      </c>
      <c r="S10" s="3484">
        <v>5193</v>
      </c>
      <c r="T10" s="3484">
        <v>0</v>
      </c>
      <c r="U10" s="3484" t="s">
        <v>3534</v>
      </c>
      <c r="V10" s="3484" t="s">
        <v>3491</v>
      </c>
      <c r="W10" s="3484" t="s">
        <v>3491</v>
      </c>
    </row>
    <row r="11" spans="1:23" hidden="1">
      <c r="A11" s="3484" t="s">
        <v>3535</v>
      </c>
      <c r="B11" s="3484" t="s">
        <v>3376</v>
      </c>
      <c r="C11" s="3484" t="s">
        <v>3536</v>
      </c>
      <c r="D11" s="3484" t="s">
        <v>3487</v>
      </c>
      <c r="E11" s="3484">
        <v>15178.6</v>
      </c>
      <c r="F11" s="3484">
        <v>45535.8</v>
      </c>
      <c r="G11" s="3484">
        <v>3</v>
      </c>
      <c r="H11" s="3484" t="s">
        <v>3488</v>
      </c>
      <c r="I11" s="3484" t="s">
        <v>3489</v>
      </c>
      <c r="J11" s="3484" t="s">
        <v>3490</v>
      </c>
      <c r="K11" s="3484" t="s">
        <v>3491</v>
      </c>
      <c r="L11" s="3484" t="s">
        <v>3492</v>
      </c>
      <c r="M11" s="3485">
        <v>44600.000497685185</v>
      </c>
      <c r="N11" s="3484" t="s">
        <v>3493</v>
      </c>
      <c r="O11" s="3484" t="s">
        <v>3537</v>
      </c>
      <c r="P11" s="3484" t="s">
        <v>3538</v>
      </c>
      <c r="Q11" s="3484">
        <v>58400</v>
      </c>
      <c r="R11" s="3484">
        <v>2565.0100000000002</v>
      </c>
      <c r="S11" s="3484">
        <v>12825</v>
      </c>
      <c r="T11" s="3484">
        <v>0</v>
      </c>
      <c r="U11" s="3484" t="s">
        <v>3511</v>
      </c>
      <c r="V11" s="3484" t="s">
        <v>3491</v>
      </c>
      <c r="W11" s="3484" t="s">
        <v>3491</v>
      </c>
    </row>
    <row r="12" spans="1:23" hidden="1">
      <c r="A12" s="3484" t="s">
        <v>3539</v>
      </c>
      <c r="B12" s="3484" t="s">
        <v>3376</v>
      </c>
      <c r="C12" s="3484" t="s">
        <v>3540</v>
      </c>
      <c r="D12" s="3484" t="s">
        <v>3487</v>
      </c>
      <c r="E12" s="3484">
        <v>29991.73</v>
      </c>
      <c r="F12" s="3484">
        <v>119966.93</v>
      </c>
      <c r="G12" s="3484">
        <v>4</v>
      </c>
      <c r="H12" s="3484" t="s">
        <v>3488</v>
      </c>
      <c r="I12" s="3484" t="s">
        <v>3489</v>
      </c>
      <c r="J12" s="3484" t="s">
        <v>3490</v>
      </c>
      <c r="K12" s="3484" t="s">
        <v>3491</v>
      </c>
      <c r="L12" s="3484" t="s">
        <v>3492</v>
      </c>
      <c r="M12" s="3485">
        <v>44566.000497685185</v>
      </c>
      <c r="N12" s="3484" t="s">
        <v>3493</v>
      </c>
      <c r="O12" s="3484" t="s">
        <v>3541</v>
      </c>
      <c r="P12" s="3484" t="s">
        <v>3492</v>
      </c>
      <c r="Q12" s="3484">
        <v>165300</v>
      </c>
      <c r="R12" s="3484">
        <v>3674.35</v>
      </c>
      <c r="S12" s="3484">
        <v>13779</v>
      </c>
      <c r="T12" s="3484">
        <v>0</v>
      </c>
      <c r="U12" s="3484" t="s">
        <v>3542</v>
      </c>
      <c r="V12" s="3484" t="s">
        <v>3491</v>
      </c>
      <c r="W12" s="3484" t="s">
        <v>3491</v>
      </c>
    </row>
    <row r="13" spans="1:23" hidden="1">
      <c r="A13" s="3484" t="s">
        <v>3543</v>
      </c>
      <c r="B13" s="3484" t="s">
        <v>3376</v>
      </c>
      <c r="C13" s="3484" t="s">
        <v>3544</v>
      </c>
      <c r="D13" s="3484" t="s">
        <v>3487</v>
      </c>
      <c r="E13" s="3484">
        <v>15197.52</v>
      </c>
      <c r="F13" s="3484">
        <v>30395.05</v>
      </c>
      <c r="G13" s="3484">
        <v>2</v>
      </c>
      <c r="H13" s="3484" t="s">
        <v>3488</v>
      </c>
      <c r="I13" s="3484" t="s">
        <v>3545</v>
      </c>
      <c r="J13" s="3484" t="s">
        <v>3546</v>
      </c>
      <c r="K13" s="3484" t="s">
        <v>3491</v>
      </c>
      <c r="L13" s="3484" t="s">
        <v>3492</v>
      </c>
      <c r="M13" s="3485">
        <v>44554.000497685185</v>
      </c>
      <c r="N13" s="3484" t="s">
        <v>3493</v>
      </c>
      <c r="O13" s="3484" t="s">
        <v>3547</v>
      </c>
      <c r="P13" s="3484" t="s">
        <v>3548</v>
      </c>
      <c r="Q13" s="3484">
        <v>42600</v>
      </c>
      <c r="R13" s="3484">
        <v>1868.73</v>
      </c>
      <c r="S13" s="3484">
        <v>14015</v>
      </c>
      <c r="T13" s="3484">
        <v>0</v>
      </c>
      <c r="U13" s="3484" t="s">
        <v>3511</v>
      </c>
      <c r="V13" s="3484" t="s">
        <v>3491</v>
      </c>
      <c r="W13" s="3484" t="s">
        <v>3491</v>
      </c>
    </row>
    <row r="14" spans="1:23" hidden="1">
      <c r="A14" s="3484" t="s">
        <v>3549</v>
      </c>
      <c r="B14" s="3484" t="s">
        <v>3376</v>
      </c>
      <c r="C14" s="3484" t="s">
        <v>3550</v>
      </c>
      <c r="D14" s="3484" t="s">
        <v>3487</v>
      </c>
      <c r="E14" s="3484">
        <v>38252.550000000003</v>
      </c>
      <c r="F14" s="3484">
        <v>84155.61</v>
      </c>
      <c r="G14" s="3484">
        <v>2.2000000000000002</v>
      </c>
      <c r="H14" s="3484" t="s">
        <v>3488</v>
      </c>
      <c r="I14" s="3484" t="s">
        <v>3489</v>
      </c>
      <c r="J14" s="3484" t="s">
        <v>3490</v>
      </c>
      <c r="K14" s="3484" t="s">
        <v>3491</v>
      </c>
      <c r="L14" s="3484" t="s">
        <v>3492</v>
      </c>
      <c r="M14" s="3485">
        <v>44495.000497685185</v>
      </c>
      <c r="N14" s="3484" t="s">
        <v>3493</v>
      </c>
      <c r="O14" s="3484" t="s">
        <v>3551</v>
      </c>
      <c r="P14" s="3484" t="s">
        <v>3492</v>
      </c>
      <c r="Q14" s="3484">
        <v>175000</v>
      </c>
      <c r="R14" s="3484">
        <v>3049.91</v>
      </c>
      <c r="S14" s="3484">
        <v>20795</v>
      </c>
      <c r="T14" s="3484">
        <v>0</v>
      </c>
      <c r="U14" s="3484" t="s">
        <v>3542</v>
      </c>
      <c r="V14" s="3484" t="s">
        <v>3491</v>
      </c>
      <c r="W14" s="3484" t="s">
        <v>3491</v>
      </c>
    </row>
    <row r="15" spans="1:23" hidden="1">
      <c r="A15" s="3484" t="s">
        <v>3552</v>
      </c>
      <c r="B15" s="3484" t="s">
        <v>3376</v>
      </c>
      <c r="C15" s="3484" t="s">
        <v>3553</v>
      </c>
      <c r="D15" s="3484" t="s">
        <v>3487</v>
      </c>
      <c r="E15" s="3484">
        <v>30025.18</v>
      </c>
      <c r="F15" s="3484">
        <v>66055.39</v>
      </c>
      <c r="G15" s="3484">
        <v>2.2000000000000002</v>
      </c>
      <c r="H15" s="3484" t="s">
        <v>3488</v>
      </c>
      <c r="I15" s="3484" t="s">
        <v>3489</v>
      </c>
      <c r="J15" s="3484" t="s">
        <v>3490</v>
      </c>
      <c r="K15" s="3484" t="s">
        <v>3491</v>
      </c>
      <c r="L15" s="3484" t="s">
        <v>3492</v>
      </c>
      <c r="M15" s="3485">
        <v>44495.000497685185</v>
      </c>
      <c r="N15" s="3484" t="s">
        <v>3493</v>
      </c>
      <c r="O15" s="3484" t="s">
        <v>3554</v>
      </c>
      <c r="P15" s="3484" t="s">
        <v>3492</v>
      </c>
      <c r="Q15" s="3484">
        <v>137000</v>
      </c>
      <c r="R15" s="3484">
        <v>3041.89</v>
      </c>
      <c r="S15" s="3484">
        <v>20740</v>
      </c>
      <c r="T15" s="3484">
        <v>0</v>
      </c>
      <c r="U15" s="3484" t="s">
        <v>3542</v>
      </c>
      <c r="V15" s="3484" t="s">
        <v>3491</v>
      </c>
      <c r="W15" s="3484" t="s">
        <v>3491</v>
      </c>
    </row>
    <row r="16" spans="1:23" hidden="1">
      <c r="A16" s="3484" t="s">
        <v>3555</v>
      </c>
      <c r="B16" s="3484" t="s">
        <v>3376</v>
      </c>
      <c r="C16" s="3484" t="s">
        <v>3556</v>
      </c>
      <c r="D16" s="3484" t="s">
        <v>3487</v>
      </c>
      <c r="E16" s="3484">
        <v>204418.11</v>
      </c>
      <c r="F16" s="3484">
        <v>302000</v>
      </c>
      <c r="G16" s="3484">
        <v>1.5</v>
      </c>
      <c r="H16" s="3484" t="s">
        <v>3488</v>
      </c>
      <c r="I16" s="3484" t="s">
        <v>3489</v>
      </c>
      <c r="J16" s="3484" t="s">
        <v>3490</v>
      </c>
      <c r="K16" s="3484" t="s">
        <v>3491</v>
      </c>
      <c r="L16" s="3484" t="s">
        <v>3492</v>
      </c>
      <c r="M16" s="3485">
        <v>44495.000497685185</v>
      </c>
      <c r="N16" s="3484" t="s">
        <v>3493</v>
      </c>
      <c r="O16" s="3484" t="s">
        <v>3557</v>
      </c>
      <c r="P16" s="3484" t="s">
        <v>3558</v>
      </c>
      <c r="Q16" s="3484">
        <v>506700</v>
      </c>
      <c r="R16" s="3484">
        <v>1652.5</v>
      </c>
      <c r="S16" s="3484">
        <v>16778</v>
      </c>
      <c r="T16" s="3484">
        <v>0</v>
      </c>
      <c r="U16" s="3484" t="s">
        <v>3542</v>
      </c>
      <c r="V16" s="3484" t="s">
        <v>3491</v>
      </c>
      <c r="W16" s="3484" t="s">
        <v>3491</v>
      </c>
    </row>
    <row r="17" spans="1:23" s="3486" customFormat="1">
      <c r="A17" s="3486" t="s">
        <v>3559</v>
      </c>
      <c r="B17" s="3486" t="s">
        <v>3376</v>
      </c>
      <c r="C17" s="3486" t="s">
        <v>3560</v>
      </c>
      <c r="D17" s="3486" t="s">
        <v>3487</v>
      </c>
      <c r="E17" s="3486">
        <v>12136.3</v>
      </c>
      <c r="F17" s="3486">
        <v>42477</v>
      </c>
      <c r="G17" s="3486">
        <v>3.5</v>
      </c>
      <c r="H17" s="3486" t="s">
        <v>3488</v>
      </c>
      <c r="I17" s="3486" t="s">
        <v>3503</v>
      </c>
      <c r="J17" s="3486" t="s">
        <v>3490</v>
      </c>
      <c r="K17" s="3486" t="s">
        <v>3491</v>
      </c>
      <c r="L17" s="3486" t="s">
        <v>3492</v>
      </c>
      <c r="M17" s="3487">
        <v>44495.000497685185</v>
      </c>
      <c r="N17" s="3486" t="s">
        <v>3493</v>
      </c>
      <c r="O17" s="3486" t="s">
        <v>3561</v>
      </c>
      <c r="P17" s="3486" t="s">
        <v>3562</v>
      </c>
      <c r="Q17" s="3486">
        <v>71000</v>
      </c>
      <c r="R17" s="3486">
        <v>3900.15</v>
      </c>
      <c r="S17" s="3486">
        <v>16715</v>
      </c>
      <c r="T17" s="3486">
        <v>0</v>
      </c>
      <c r="U17" s="3486" t="s">
        <v>3542</v>
      </c>
      <c r="V17" s="3486" t="s">
        <v>3491</v>
      </c>
      <c r="W17" s="3486" t="s">
        <v>3491</v>
      </c>
    </row>
    <row r="18" spans="1:23" s="3486" customFormat="1">
      <c r="A18" s="3486" t="s">
        <v>3563</v>
      </c>
      <c r="B18" s="3486" t="s">
        <v>3376</v>
      </c>
      <c r="C18" s="3486" t="s">
        <v>3564</v>
      </c>
      <c r="D18" s="3486" t="s">
        <v>3487</v>
      </c>
      <c r="E18" s="3486">
        <v>5907.54</v>
      </c>
      <c r="F18" s="3486">
        <v>21900</v>
      </c>
      <c r="G18" s="3486">
        <v>3.71</v>
      </c>
      <c r="H18" s="3486" t="s">
        <v>3488</v>
      </c>
      <c r="I18" s="3486" t="s">
        <v>3565</v>
      </c>
      <c r="J18" s="3486" t="s">
        <v>3490</v>
      </c>
      <c r="K18" s="3486" t="s">
        <v>3491</v>
      </c>
      <c r="L18" s="3486" t="s">
        <v>3492</v>
      </c>
      <c r="M18" s="3487">
        <v>44495.000497685185</v>
      </c>
      <c r="N18" s="3486" t="s">
        <v>3493</v>
      </c>
      <c r="O18" s="3486" t="s">
        <v>3566</v>
      </c>
      <c r="P18" s="3486" t="s">
        <v>3492</v>
      </c>
      <c r="Q18" s="3486">
        <v>46000</v>
      </c>
      <c r="R18" s="3486">
        <v>5191.1099999999997</v>
      </c>
      <c r="S18" s="3486">
        <v>21005</v>
      </c>
      <c r="T18" s="3486">
        <v>0</v>
      </c>
      <c r="U18" s="3486" t="s">
        <v>3542</v>
      </c>
      <c r="V18" s="3486" t="s">
        <v>3491</v>
      </c>
      <c r="W18" s="3486" t="s">
        <v>3491</v>
      </c>
    </row>
    <row r="19" spans="1:23">
      <c r="A19" s="3484" t="s">
        <v>3567</v>
      </c>
      <c r="B19" s="3484" t="s">
        <v>3376</v>
      </c>
      <c r="C19" s="3484" t="s">
        <v>3568</v>
      </c>
      <c r="D19" s="3484" t="s">
        <v>3487</v>
      </c>
      <c r="E19" s="3484">
        <v>25121.77</v>
      </c>
      <c r="F19" s="3484">
        <v>55267.89</v>
      </c>
      <c r="G19" s="3484">
        <v>2.2000000000000002</v>
      </c>
      <c r="H19" s="3484" t="s">
        <v>3488</v>
      </c>
      <c r="I19" s="3484" t="s">
        <v>3489</v>
      </c>
      <c r="J19" s="3484" t="s">
        <v>3490</v>
      </c>
      <c r="K19" s="3484" t="s">
        <v>3491</v>
      </c>
      <c r="L19" s="3484" t="s">
        <v>3492</v>
      </c>
      <c r="M19" s="3485">
        <v>44495.000497685185</v>
      </c>
      <c r="N19" s="3484" t="s">
        <v>3493</v>
      </c>
      <c r="O19" s="3484" t="s">
        <v>3569</v>
      </c>
      <c r="P19" s="3484" t="s">
        <v>3492</v>
      </c>
      <c r="Q19" s="3484">
        <v>115000</v>
      </c>
      <c r="R19" s="3484">
        <v>3051.8</v>
      </c>
      <c r="S19" s="3484">
        <v>20808</v>
      </c>
      <c r="T19" s="3484">
        <v>0</v>
      </c>
      <c r="U19" s="3484" t="s">
        <v>3542</v>
      </c>
      <c r="V19" s="3484" t="s">
        <v>3491</v>
      </c>
      <c r="W19" s="3484" t="s">
        <v>3491</v>
      </c>
    </row>
    <row r="20" spans="1:23">
      <c r="A20" s="3484" t="s">
        <v>3570</v>
      </c>
      <c r="B20" s="3484" t="s">
        <v>3376</v>
      </c>
      <c r="C20" s="3484" t="s">
        <v>3571</v>
      </c>
      <c r="D20" s="3484" t="s">
        <v>3487</v>
      </c>
      <c r="E20" s="3484">
        <v>17147.95</v>
      </c>
      <c r="F20" s="3484">
        <v>53158.65</v>
      </c>
      <c r="G20" s="3484" t="s">
        <v>3572</v>
      </c>
      <c r="H20" s="3484" t="s">
        <v>3488</v>
      </c>
      <c r="I20" s="3484" t="s">
        <v>3573</v>
      </c>
      <c r="J20" s="3484" t="s">
        <v>3490</v>
      </c>
      <c r="K20" s="3484" t="s">
        <v>3491</v>
      </c>
      <c r="L20" s="3484" t="s">
        <v>3492</v>
      </c>
      <c r="M20" s="3485">
        <v>44335.000497685185</v>
      </c>
      <c r="N20" s="3484" t="s">
        <v>3493</v>
      </c>
      <c r="O20" s="3484" t="s">
        <v>3574</v>
      </c>
      <c r="P20" s="3484" t="s">
        <v>3575</v>
      </c>
      <c r="Q20" s="3484">
        <v>69200</v>
      </c>
      <c r="R20" s="3484">
        <v>2690.31</v>
      </c>
      <c r="S20" s="3484">
        <v>13018</v>
      </c>
      <c r="T20" s="3484">
        <v>0</v>
      </c>
      <c r="U20" s="3484" t="s">
        <v>3576</v>
      </c>
      <c r="V20" s="3484" t="s">
        <v>3491</v>
      </c>
      <c r="W20" s="3484" t="s">
        <v>3491</v>
      </c>
    </row>
    <row r="21" spans="1:23">
      <c r="A21" s="3484" t="s">
        <v>3577</v>
      </c>
      <c r="B21" s="3484" t="s">
        <v>3376</v>
      </c>
      <c r="C21" s="3484" t="s">
        <v>3578</v>
      </c>
      <c r="D21" s="3484" t="s">
        <v>3487</v>
      </c>
      <c r="E21" s="3484">
        <v>22058.78</v>
      </c>
      <c r="F21" s="3484">
        <v>47390</v>
      </c>
      <c r="G21" s="3484" t="s">
        <v>3579</v>
      </c>
      <c r="H21" s="3484" t="s">
        <v>3488</v>
      </c>
      <c r="I21" s="3484" t="s">
        <v>3489</v>
      </c>
      <c r="J21" s="3484" t="s">
        <v>3490</v>
      </c>
      <c r="K21" s="3484" t="s">
        <v>3491</v>
      </c>
      <c r="L21" s="3484" t="s">
        <v>3492</v>
      </c>
      <c r="M21" s="3485">
        <v>44234.000497685185</v>
      </c>
      <c r="N21" s="3484" t="s">
        <v>3493</v>
      </c>
      <c r="O21" s="3484" t="s">
        <v>3580</v>
      </c>
      <c r="P21" s="3484" t="s">
        <v>3581</v>
      </c>
      <c r="Q21" s="3484">
        <v>32700</v>
      </c>
      <c r="R21" s="3484">
        <v>988.27</v>
      </c>
      <c r="S21" s="3484">
        <v>6900</v>
      </c>
      <c r="T21" s="3484">
        <v>0</v>
      </c>
      <c r="U21" s="3484" t="s">
        <v>3576</v>
      </c>
      <c r="V21" s="3484" t="s">
        <v>3491</v>
      </c>
      <c r="W21" s="3484" t="s">
        <v>3491</v>
      </c>
    </row>
    <row r="22" spans="1:23">
      <c r="A22" s="3484" t="s">
        <v>3582</v>
      </c>
      <c r="B22" s="3484" t="s">
        <v>3376</v>
      </c>
      <c r="C22" s="3484" t="s">
        <v>3583</v>
      </c>
      <c r="D22" s="3484" t="s">
        <v>3487</v>
      </c>
      <c r="E22" s="3484">
        <v>25224.15</v>
      </c>
      <c r="F22" s="3484">
        <v>75672.45</v>
      </c>
      <c r="G22" s="3484" t="s">
        <v>3584</v>
      </c>
      <c r="H22" s="3484" t="s">
        <v>3488</v>
      </c>
      <c r="I22" s="3484" t="s">
        <v>3489</v>
      </c>
      <c r="J22" s="3484" t="s">
        <v>3490</v>
      </c>
      <c r="K22" s="3484" t="s">
        <v>3491</v>
      </c>
      <c r="L22" s="3484" t="s">
        <v>3492</v>
      </c>
      <c r="M22" s="3485">
        <v>44193.000497685185</v>
      </c>
      <c r="N22" s="3484" t="s">
        <v>3493</v>
      </c>
      <c r="O22" s="3484" t="s">
        <v>3585</v>
      </c>
      <c r="P22" s="3484" t="s">
        <v>3575</v>
      </c>
      <c r="Q22" s="3484">
        <v>60800</v>
      </c>
      <c r="R22" s="3484">
        <v>1606.93</v>
      </c>
      <c r="S22" s="3484">
        <v>8035</v>
      </c>
      <c r="T22" s="3484">
        <v>0</v>
      </c>
      <c r="U22" s="3484" t="s">
        <v>3511</v>
      </c>
      <c r="V22" s="3484" t="s">
        <v>3491</v>
      </c>
      <c r="W22" s="3484" t="s">
        <v>3491</v>
      </c>
    </row>
    <row r="23" spans="1:23">
      <c r="A23" s="3484" t="s">
        <v>3586</v>
      </c>
      <c r="B23" s="3484" t="s">
        <v>3376</v>
      </c>
      <c r="C23" s="3484" t="s">
        <v>3587</v>
      </c>
      <c r="D23" s="3484" t="s">
        <v>3487</v>
      </c>
      <c r="E23" s="3484">
        <v>28676.63</v>
      </c>
      <c r="F23" s="3484">
        <v>114706.51</v>
      </c>
      <c r="G23" s="3484" t="s">
        <v>3588</v>
      </c>
      <c r="H23" s="3484" t="s">
        <v>3488</v>
      </c>
      <c r="I23" s="3484" t="s">
        <v>3589</v>
      </c>
      <c r="J23" s="3484" t="s">
        <v>3490</v>
      </c>
      <c r="K23" s="3484" t="s">
        <v>3491</v>
      </c>
      <c r="L23" s="3484" t="s">
        <v>3492</v>
      </c>
      <c r="M23" s="3485">
        <v>44179.000497685185</v>
      </c>
      <c r="N23" s="3484" t="s">
        <v>3493</v>
      </c>
      <c r="O23" s="3484" t="s">
        <v>3590</v>
      </c>
      <c r="P23" s="3484" t="s">
        <v>3591</v>
      </c>
      <c r="Q23" s="3484">
        <v>175500</v>
      </c>
      <c r="R23" s="3484">
        <v>4079.98</v>
      </c>
      <c r="S23" s="3484">
        <v>15300</v>
      </c>
      <c r="T23" s="3484">
        <v>0</v>
      </c>
      <c r="U23" s="3484" t="s">
        <v>3511</v>
      </c>
      <c r="V23" s="3484" t="s">
        <v>3491</v>
      </c>
      <c r="W23" s="3484" t="s">
        <v>3491</v>
      </c>
    </row>
    <row r="24" spans="1:23">
      <c r="A24" s="3484" t="s">
        <v>3592</v>
      </c>
      <c r="B24" s="3484" t="s">
        <v>3376</v>
      </c>
      <c r="C24" s="3484" t="s">
        <v>3593</v>
      </c>
      <c r="D24" s="3484" t="s">
        <v>3487</v>
      </c>
      <c r="E24" s="3484">
        <v>51788.13</v>
      </c>
      <c r="F24" s="3484">
        <v>184800</v>
      </c>
      <c r="G24" s="3484" t="s">
        <v>3594</v>
      </c>
      <c r="H24" s="3484" t="s">
        <v>3488</v>
      </c>
      <c r="I24" s="3484" t="s">
        <v>3503</v>
      </c>
      <c r="J24" s="3484" t="s">
        <v>3490</v>
      </c>
      <c r="K24" s="3484" t="s">
        <v>3491</v>
      </c>
      <c r="L24" s="3484" t="s">
        <v>3492</v>
      </c>
      <c r="M24" s="3485">
        <v>44167.000497685185</v>
      </c>
      <c r="N24" s="3484" t="s">
        <v>3493</v>
      </c>
      <c r="O24" s="3484" t="s">
        <v>3595</v>
      </c>
      <c r="P24" s="3484" t="s">
        <v>3596</v>
      </c>
      <c r="Q24" s="3484">
        <v>579500</v>
      </c>
      <c r="R24" s="3484">
        <v>7459.88</v>
      </c>
      <c r="S24" s="3484">
        <v>31358</v>
      </c>
      <c r="T24" s="3484">
        <v>1.58</v>
      </c>
      <c r="U24" s="3484" t="s">
        <v>3511</v>
      </c>
      <c r="V24" s="3484" t="s">
        <v>3491</v>
      </c>
      <c r="W24" s="3484" t="s">
        <v>3491</v>
      </c>
    </row>
    <row r="25" spans="1:23">
      <c r="A25" s="3484" t="s">
        <v>3597</v>
      </c>
      <c r="B25" s="3484" t="s">
        <v>3376</v>
      </c>
      <c r="C25" s="3484" t="s">
        <v>3598</v>
      </c>
      <c r="D25" s="3484" t="s">
        <v>3487</v>
      </c>
      <c r="E25" s="3484">
        <v>265269.8</v>
      </c>
      <c r="F25" s="3484">
        <v>665975.69999999995</v>
      </c>
      <c r="G25" s="3484" t="s">
        <v>3599</v>
      </c>
      <c r="H25" s="3484" t="s">
        <v>3488</v>
      </c>
      <c r="I25" s="3484" t="s">
        <v>3489</v>
      </c>
      <c r="J25" s="3484" t="s">
        <v>3490</v>
      </c>
      <c r="K25" s="3484" t="s">
        <v>3491</v>
      </c>
      <c r="L25" s="3484" t="s">
        <v>3492</v>
      </c>
      <c r="M25" s="3485">
        <v>44046.000497685185</v>
      </c>
      <c r="N25" s="3484" t="s">
        <v>3493</v>
      </c>
      <c r="O25" s="3484" t="s">
        <v>3600</v>
      </c>
      <c r="P25" s="3484" t="s">
        <v>3601</v>
      </c>
      <c r="Q25" s="3484">
        <v>699300</v>
      </c>
      <c r="R25" s="3484">
        <v>1757.46</v>
      </c>
      <c r="S25" s="3484">
        <v>10500</v>
      </c>
      <c r="T25" s="3484">
        <v>0</v>
      </c>
      <c r="U25" s="3484" t="s">
        <v>3511</v>
      </c>
      <c r="V25" s="3484" t="s">
        <v>3491</v>
      </c>
      <c r="W25" s="3484" t="s">
        <v>3491</v>
      </c>
    </row>
    <row r="26" spans="1:23">
      <c r="A26" s="3484" t="s">
        <v>3602</v>
      </c>
      <c r="B26" s="3484" t="s">
        <v>3376</v>
      </c>
      <c r="C26" s="3484" t="s">
        <v>3603</v>
      </c>
      <c r="D26" s="3484" t="s">
        <v>3487</v>
      </c>
      <c r="E26" s="3484">
        <v>7289.19</v>
      </c>
      <c r="F26" s="3484">
        <v>21867.57</v>
      </c>
      <c r="G26" s="3484" t="s">
        <v>3584</v>
      </c>
      <c r="H26" s="3484" t="s">
        <v>3488</v>
      </c>
      <c r="I26" s="3484" t="s">
        <v>3604</v>
      </c>
      <c r="J26" s="3484" t="s">
        <v>3490</v>
      </c>
      <c r="K26" s="3484" t="s">
        <v>3491</v>
      </c>
      <c r="L26" s="3484" t="s">
        <v>3492</v>
      </c>
      <c r="M26" s="3485">
        <v>43923.000497685185</v>
      </c>
      <c r="N26" s="3484" t="s">
        <v>3493</v>
      </c>
      <c r="O26" s="3484" t="s">
        <v>3605</v>
      </c>
      <c r="P26" s="3484" t="s">
        <v>3606</v>
      </c>
      <c r="Q26" s="3484">
        <v>35200</v>
      </c>
      <c r="R26" s="3484">
        <v>3219.38</v>
      </c>
      <c r="S26" s="3484">
        <v>16097</v>
      </c>
      <c r="T26" s="3484">
        <v>0</v>
      </c>
      <c r="U26" s="3484" t="s">
        <v>3511</v>
      </c>
      <c r="V26" s="3484" t="s">
        <v>3491</v>
      </c>
      <c r="W26" s="3484" t="s">
        <v>3491</v>
      </c>
    </row>
    <row r="27" spans="1:23">
      <c r="A27" s="3484" t="s">
        <v>3607</v>
      </c>
      <c r="B27" s="3484" t="s">
        <v>3376</v>
      </c>
      <c r="C27" s="3484" t="s">
        <v>3608</v>
      </c>
      <c r="D27" s="3484" t="s">
        <v>3487</v>
      </c>
      <c r="E27" s="3484">
        <v>12501.51</v>
      </c>
      <c r="F27" s="3484">
        <v>37505</v>
      </c>
      <c r="G27" s="3484" t="s">
        <v>3584</v>
      </c>
      <c r="H27" s="3484" t="s">
        <v>3488</v>
      </c>
      <c r="I27" s="3484" t="s">
        <v>3489</v>
      </c>
      <c r="J27" s="3484" t="s">
        <v>3490</v>
      </c>
      <c r="K27" s="3484" t="s">
        <v>3491</v>
      </c>
      <c r="L27" s="3484" t="s">
        <v>3492</v>
      </c>
      <c r="M27" s="3485">
        <v>43923.000497685185</v>
      </c>
      <c r="N27" s="3484" t="s">
        <v>3493</v>
      </c>
      <c r="O27" s="3484" t="s">
        <v>3609</v>
      </c>
      <c r="P27" s="3484" t="s">
        <v>3610</v>
      </c>
      <c r="Q27" s="3484">
        <v>56000</v>
      </c>
      <c r="R27" s="3484">
        <v>2986.31</v>
      </c>
      <c r="S27" s="3484">
        <v>14931</v>
      </c>
      <c r="T27" s="3484">
        <v>0</v>
      </c>
      <c r="U27" s="3484" t="s">
        <v>3511</v>
      </c>
      <c r="V27" s="3484" t="s">
        <v>3491</v>
      </c>
      <c r="W27" s="3484" t="s">
        <v>3491</v>
      </c>
    </row>
    <row r="28" spans="1:23">
      <c r="A28" s="3484" t="s">
        <v>3611</v>
      </c>
      <c r="B28" s="3484" t="s">
        <v>3376</v>
      </c>
      <c r="C28" s="3484" t="s">
        <v>3612</v>
      </c>
      <c r="D28" s="3484" t="s">
        <v>3487</v>
      </c>
      <c r="E28" s="3484">
        <v>30159.25</v>
      </c>
      <c r="F28" s="3484">
        <v>138421</v>
      </c>
      <c r="G28" s="3484" t="s">
        <v>3613</v>
      </c>
      <c r="H28" s="3484" t="s">
        <v>3488</v>
      </c>
      <c r="I28" s="3484" t="s">
        <v>3503</v>
      </c>
      <c r="J28" s="3484" t="s">
        <v>3490</v>
      </c>
      <c r="K28" s="3484" t="s">
        <v>3491</v>
      </c>
      <c r="L28" s="3484" t="s">
        <v>3492</v>
      </c>
      <c r="M28" s="3485">
        <v>43811.000497685185</v>
      </c>
      <c r="N28" s="3484" t="s">
        <v>3493</v>
      </c>
      <c r="O28" s="3484" t="s">
        <v>3614</v>
      </c>
      <c r="P28" s="3484" t="s">
        <v>3615</v>
      </c>
      <c r="Q28" s="3484">
        <v>230100</v>
      </c>
      <c r="R28" s="3484">
        <v>5086.33</v>
      </c>
      <c r="S28" s="3484">
        <v>16623</v>
      </c>
      <c r="T28" s="3484">
        <v>0</v>
      </c>
      <c r="U28" s="3484" t="s">
        <v>3511</v>
      </c>
      <c r="V28" s="3484" t="s">
        <v>3491</v>
      </c>
      <c r="W28" s="3484" t="s">
        <v>3491</v>
      </c>
    </row>
    <row r="29" spans="1:23">
      <c r="A29" s="3484" t="s">
        <v>3616</v>
      </c>
      <c r="B29" s="3484" t="s">
        <v>3376</v>
      </c>
      <c r="C29" s="3484" t="s">
        <v>3617</v>
      </c>
      <c r="D29" s="3484" t="s">
        <v>3487</v>
      </c>
      <c r="E29" s="3484">
        <v>35629.120000000003</v>
      </c>
      <c r="F29" s="3484">
        <v>100429</v>
      </c>
      <c r="G29" s="3484" t="s">
        <v>3618</v>
      </c>
      <c r="H29" s="3484" t="s">
        <v>3488</v>
      </c>
      <c r="I29" s="3484" t="s">
        <v>3619</v>
      </c>
      <c r="J29" s="3484" t="s">
        <v>3490</v>
      </c>
      <c r="K29" s="3484" t="s">
        <v>3491</v>
      </c>
      <c r="L29" s="3484" t="s">
        <v>3492</v>
      </c>
      <c r="M29" s="3485">
        <v>43811.000497685185</v>
      </c>
      <c r="N29" s="3484" t="s">
        <v>3493</v>
      </c>
      <c r="O29" s="3484" t="s">
        <v>3614</v>
      </c>
      <c r="P29" s="3484" t="s">
        <v>3615</v>
      </c>
      <c r="Q29" s="3484">
        <v>166700</v>
      </c>
      <c r="R29" s="3484">
        <v>3119.17</v>
      </c>
      <c r="S29" s="3484">
        <v>16599</v>
      </c>
      <c r="T29" s="3484">
        <v>0</v>
      </c>
      <c r="U29" s="3484" t="s">
        <v>3511</v>
      </c>
      <c r="V29" s="3484" t="s">
        <v>3491</v>
      </c>
      <c r="W29" s="3484" t="s">
        <v>3491</v>
      </c>
    </row>
    <row r="30" spans="1:23">
      <c r="A30" s="3484" t="s">
        <v>3620</v>
      </c>
      <c r="B30" s="3484" t="s">
        <v>3376</v>
      </c>
      <c r="C30" s="3484" t="s">
        <v>3621</v>
      </c>
      <c r="D30" s="3484" t="s">
        <v>3487</v>
      </c>
      <c r="E30" s="3484">
        <v>70601.070000000007</v>
      </c>
      <c r="F30" s="3484">
        <v>285523</v>
      </c>
      <c r="G30" s="3484" t="s">
        <v>3622</v>
      </c>
      <c r="H30" s="3484" t="s">
        <v>3623</v>
      </c>
      <c r="I30" s="3484" t="s">
        <v>3624</v>
      </c>
      <c r="J30" s="3484" t="s">
        <v>3490</v>
      </c>
      <c r="K30" s="3484" t="s">
        <v>3491</v>
      </c>
      <c r="L30" s="3484" t="s">
        <v>3492</v>
      </c>
      <c r="M30" s="3485">
        <v>43801.000497685185</v>
      </c>
      <c r="N30" s="3484" t="s">
        <v>3493</v>
      </c>
      <c r="O30" s="3484" t="s">
        <v>3625</v>
      </c>
      <c r="P30" s="3484" t="s">
        <v>3626</v>
      </c>
      <c r="Q30" s="3484">
        <v>660900</v>
      </c>
      <c r="R30" s="3484">
        <v>6240.7</v>
      </c>
      <c r="S30" s="3484">
        <v>23147</v>
      </c>
      <c r="T30" s="3484">
        <v>0</v>
      </c>
      <c r="U30" s="3484" t="s">
        <v>3511</v>
      </c>
      <c r="V30" s="3484" t="s">
        <v>3491</v>
      </c>
      <c r="W30" s="3484" t="s">
        <v>3491</v>
      </c>
    </row>
    <row r="31" spans="1:23">
      <c r="A31" s="3484" t="s">
        <v>3627</v>
      </c>
      <c r="B31" s="3484" t="s">
        <v>3376</v>
      </c>
      <c r="C31" s="3484" t="s">
        <v>3628</v>
      </c>
      <c r="D31" s="3484" t="s">
        <v>3487</v>
      </c>
      <c r="E31" s="3484">
        <v>28003.32</v>
      </c>
      <c r="F31" s="3484">
        <v>70008</v>
      </c>
      <c r="G31" s="3484" t="s">
        <v>3629</v>
      </c>
      <c r="H31" s="3484" t="s">
        <v>3488</v>
      </c>
      <c r="I31" s="3484" t="s">
        <v>3489</v>
      </c>
      <c r="J31" s="3484" t="s">
        <v>3490</v>
      </c>
      <c r="K31" s="3484" t="s">
        <v>3491</v>
      </c>
      <c r="L31" s="3484" t="s">
        <v>3492</v>
      </c>
      <c r="M31" s="3485">
        <v>43755.000497685185</v>
      </c>
      <c r="N31" s="3484" t="s">
        <v>3493</v>
      </c>
      <c r="O31" s="3484" t="s">
        <v>3630</v>
      </c>
      <c r="P31" s="3484" t="s">
        <v>3631</v>
      </c>
      <c r="Q31" s="3484">
        <v>97800</v>
      </c>
      <c r="R31" s="3484">
        <v>2328.3000000000002</v>
      </c>
      <c r="S31" s="3484">
        <v>13970</v>
      </c>
      <c r="T31" s="3484">
        <v>1.03</v>
      </c>
      <c r="U31" s="3484" t="s">
        <v>3496</v>
      </c>
      <c r="V31" s="3484" t="s">
        <v>3491</v>
      </c>
      <c r="W31" s="3484" t="s">
        <v>3491</v>
      </c>
    </row>
    <row r="32" spans="1:23">
      <c r="A32" s="3484" t="s">
        <v>3632</v>
      </c>
      <c r="B32" s="3484" t="s">
        <v>3376</v>
      </c>
      <c r="C32" s="3484" t="s">
        <v>3633</v>
      </c>
      <c r="D32" s="3484" t="s">
        <v>3487</v>
      </c>
      <c r="E32" s="3484">
        <v>42276.47</v>
      </c>
      <c r="F32" s="3484">
        <v>84552.93</v>
      </c>
      <c r="G32" s="3484" t="s">
        <v>3634</v>
      </c>
      <c r="H32" s="3484" t="s">
        <v>3488</v>
      </c>
      <c r="I32" s="3484" t="s">
        <v>3503</v>
      </c>
      <c r="J32" s="3484" t="s">
        <v>3490</v>
      </c>
      <c r="K32" s="3484" t="s">
        <v>3491</v>
      </c>
      <c r="L32" s="3484" t="s">
        <v>3492</v>
      </c>
      <c r="M32" s="3485">
        <v>43706.000497685185</v>
      </c>
      <c r="N32" s="3484" t="s">
        <v>3493</v>
      </c>
      <c r="O32" s="3484" t="s">
        <v>3635</v>
      </c>
      <c r="P32" s="3484" t="s">
        <v>3636</v>
      </c>
      <c r="Q32" s="3484">
        <v>96500</v>
      </c>
      <c r="R32" s="3484">
        <v>1521.73</v>
      </c>
      <c r="S32" s="3484">
        <v>11413</v>
      </c>
      <c r="T32" s="3484">
        <v>1.58</v>
      </c>
      <c r="U32" s="3484" t="s">
        <v>3637</v>
      </c>
      <c r="V32" s="3484" t="s">
        <v>3491</v>
      </c>
      <c r="W32" s="3484" t="s">
        <v>3491</v>
      </c>
    </row>
    <row r="33" spans="1:23">
      <c r="A33" s="3484" t="s">
        <v>3638</v>
      </c>
      <c r="B33" s="3484" t="s">
        <v>3376</v>
      </c>
      <c r="C33" s="3484" t="s">
        <v>3639</v>
      </c>
      <c r="D33" s="3484" t="s">
        <v>3487</v>
      </c>
      <c r="E33" s="3484">
        <v>22035.93</v>
      </c>
      <c r="F33" s="3484">
        <v>61700.6</v>
      </c>
      <c r="G33" s="3484" t="s">
        <v>3517</v>
      </c>
      <c r="H33" s="3484" t="s">
        <v>3488</v>
      </c>
      <c r="I33" s="3484" t="s">
        <v>3503</v>
      </c>
      <c r="J33" s="3484" t="s">
        <v>3490</v>
      </c>
      <c r="K33" s="3484" t="s">
        <v>3491</v>
      </c>
      <c r="L33" s="3484" t="s">
        <v>3492</v>
      </c>
      <c r="M33" s="3485">
        <v>43650.000497685185</v>
      </c>
      <c r="N33" s="3484" t="s">
        <v>3493</v>
      </c>
      <c r="O33" s="3484" t="s">
        <v>3640</v>
      </c>
      <c r="P33" s="3484" t="s">
        <v>3641</v>
      </c>
      <c r="Q33" s="3484">
        <v>103700</v>
      </c>
      <c r="R33" s="3484">
        <v>3137.3</v>
      </c>
      <c r="S33" s="3484">
        <v>16807</v>
      </c>
      <c r="T33" s="3484">
        <v>0</v>
      </c>
      <c r="U33" s="3484" t="s">
        <v>3511</v>
      </c>
      <c r="V33" s="3484" t="s">
        <v>3491</v>
      </c>
      <c r="W33" s="3484" t="s">
        <v>3491</v>
      </c>
    </row>
    <row r="34" spans="1:23">
      <c r="A34" s="3484" t="s">
        <v>3642</v>
      </c>
      <c r="B34" s="3484" t="s">
        <v>3376</v>
      </c>
      <c r="C34" s="3484" t="s">
        <v>3643</v>
      </c>
      <c r="D34" s="3484" t="s">
        <v>3487</v>
      </c>
      <c r="E34" s="3484">
        <v>32158.94</v>
      </c>
      <c r="F34" s="3484">
        <v>96476.82</v>
      </c>
      <c r="G34" s="3484" t="s">
        <v>3584</v>
      </c>
      <c r="H34" s="3484" t="s">
        <v>3488</v>
      </c>
      <c r="I34" s="3484" t="s">
        <v>3589</v>
      </c>
      <c r="J34" s="3484" t="s">
        <v>3490</v>
      </c>
      <c r="K34" s="3484" t="s">
        <v>3491</v>
      </c>
      <c r="L34" s="3484" t="s">
        <v>3492</v>
      </c>
      <c r="M34" s="3485">
        <v>43613.000497685185</v>
      </c>
      <c r="N34" s="3484" t="s">
        <v>3493</v>
      </c>
      <c r="O34" s="3484" t="s">
        <v>3644</v>
      </c>
      <c r="P34" s="3484" t="s">
        <v>3495</v>
      </c>
      <c r="Q34" s="3484">
        <v>263800</v>
      </c>
      <c r="R34" s="3484">
        <v>5468.67</v>
      </c>
      <c r="S34" s="3484">
        <v>27343</v>
      </c>
      <c r="T34" s="3484">
        <v>0</v>
      </c>
      <c r="U34" s="3484" t="s">
        <v>3511</v>
      </c>
      <c r="V34" s="3484" t="s">
        <v>3491</v>
      </c>
      <c r="W34" s="3484" t="s">
        <v>3491</v>
      </c>
    </row>
    <row r="35" spans="1:23">
      <c r="A35" s="3484" t="s">
        <v>3645</v>
      </c>
      <c r="B35" s="3484" t="s">
        <v>3376</v>
      </c>
      <c r="C35" s="3484" t="s">
        <v>3646</v>
      </c>
      <c r="D35" s="3484" t="s">
        <v>3487</v>
      </c>
      <c r="E35" s="3484">
        <v>51736.9</v>
      </c>
      <c r="F35" s="3484">
        <v>81600.05</v>
      </c>
      <c r="G35" s="3484" t="s">
        <v>3647</v>
      </c>
      <c r="H35" s="3484" t="s">
        <v>3488</v>
      </c>
      <c r="I35" s="3484" t="s">
        <v>3489</v>
      </c>
      <c r="J35" s="3484" t="s">
        <v>3490</v>
      </c>
      <c r="K35" s="3484" t="s">
        <v>3491</v>
      </c>
      <c r="L35" s="3484" t="s">
        <v>3492</v>
      </c>
      <c r="M35" s="3485">
        <v>43613.000497685185</v>
      </c>
      <c r="N35" s="3484" t="s">
        <v>3493</v>
      </c>
      <c r="O35" s="3484" t="s">
        <v>3648</v>
      </c>
      <c r="P35" s="3484" t="s">
        <v>3649</v>
      </c>
      <c r="Q35" s="3484">
        <v>150000</v>
      </c>
      <c r="R35" s="3484">
        <v>1932.86</v>
      </c>
      <c r="S35" s="3484">
        <v>18382</v>
      </c>
      <c r="T35" s="3484">
        <v>0</v>
      </c>
      <c r="U35" s="3484" t="s">
        <v>3511</v>
      </c>
      <c r="V35" s="3484" t="s">
        <v>3491</v>
      </c>
      <c r="W35" s="3484" t="s">
        <v>3491</v>
      </c>
    </row>
    <row r="36" spans="1:23">
      <c r="A36" s="3484" t="s">
        <v>3650</v>
      </c>
      <c r="B36" s="3484" t="s">
        <v>3376</v>
      </c>
      <c r="C36" s="3484" t="s">
        <v>3651</v>
      </c>
      <c r="D36" s="3484" t="s">
        <v>3487</v>
      </c>
      <c r="E36" s="3484">
        <v>28622.32</v>
      </c>
      <c r="F36" s="3484">
        <v>71556</v>
      </c>
      <c r="G36" s="3484">
        <v>2.5</v>
      </c>
      <c r="H36" s="3484" t="s">
        <v>3488</v>
      </c>
      <c r="I36" s="3484" t="s">
        <v>3503</v>
      </c>
      <c r="J36" s="3484" t="s">
        <v>3490</v>
      </c>
      <c r="K36" s="3484" t="s">
        <v>3491</v>
      </c>
      <c r="L36" s="3484" t="s">
        <v>3518</v>
      </c>
      <c r="M36" s="3485">
        <v>43430.000497685185</v>
      </c>
      <c r="N36" s="3484" t="s">
        <v>3493</v>
      </c>
      <c r="O36" s="3484" t="s">
        <v>3652</v>
      </c>
      <c r="P36" s="3484" t="s">
        <v>3653</v>
      </c>
      <c r="Q36" s="3484">
        <v>132000</v>
      </c>
      <c r="R36" s="3484">
        <v>3074.52</v>
      </c>
      <c r="S36" s="3484">
        <v>18447</v>
      </c>
      <c r="T36" s="3484">
        <v>0</v>
      </c>
      <c r="U36" s="3484" t="s">
        <v>3511</v>
      </c>
      <c r="V36" s="3484" t="s">
        <v>3491</v>
      </c>
      <c r="W36" s="3484" t="s">
        <v>3491</v>
      </c>
    </row>
    <row r="37" spans="1:23">
      <c r="A37" s="3484" t="s">
        <v>3654</v>
      </c>
      <c r="B37" s="3484" t="s">
        <v>3376</v>
      </c>
      <c r="C37" s="3484" t="s">
        <v>3655</v>
      </c>
      <c r="D37" s="3484" t="s">
        <v>3487</v>
      </c>
      <c r="E37" s="3484">
        <v>138746.29999999999</v>
      </c>
      <c r="F37" s="3484">
        <v>486596</v>
      </c>
      <c r="G37" s="3484">
        <v>3.51</v>
      </c>
      <c r="H37" s="3484" t="s">
        <v>3488</v>
      </c>
      <c r="I37" s="3484" t="s">
        <v>3619</v>
      </c>
      <c r="J37" s="3484" t="s">
        <v>3490</v>
      </c>
      <c r="K37" s="3484" t="s">
        <v>3491</v>
      </c>
      <c r="L37" s="3484" t="s">
        <v>3518</v>
      </c>
      <c r="M37" s="3485">
        <v>43409.000497685185</v>
      </c>
      <c r="N37" s="3484" t="s">
        <v>3493</v>
      </c>
      <c r="O37" s="3484" t="s">
        <v>3656</v>
      </c>
      <c r="P37" s="3484" t="s">
        <v>3657</v>
      </c>
      <c r="Q37" s="3484">
        <v>866300</v>
      </c>
      <c r="R37" s="3484">
        <v>4162.51</v>
      </c>
      <c r="S37" s="3484">
        <v>17803</v>
      </c>
      <c r="T37" s="3484">
        <v>0</v>
      </c>
      <c r="U37" s="3484" t="s">
        <v>3511</v>
      </c>
      <c r="V37" s="3484" t="s">
        <v>3491</v>
      </c>
      <c r="W37" s="3484" t="s">
        <v>3491</v>
      </c>
    </row>
    <row r="38" spans="1:23" s="3488" customFormat="1">
      <c r="A38" s="3488" t="s">
        <v>3658</v>
      </c>
      <c r="B38" s="3488" t="s">
        <v>3376</v>
      </c>
      <c r="C38" s="3488" t="s">
        <v>3659</v>
      </c>
      <c r="D38" s="3488" t="s">
        <v>3487</v>
      </c>
      <c r="E38" s="3488">
        <v>39410.74</v>
      </c>
      <c r="F38" s="3488">
        <v>120000</v>
      </c>
      <c r="G38" s="3488">
        <v>3.04</v>
      </c>
      <c r="H38" s="3488" t="s">
        <v>3623</v>
      </c>
      <c r="I38" s="3488" t="s">
        <v>3489</v>
      </c>
      <c r="J38" s="3488" t="s">
        <v>3490</v>
      </c>
      <c r="K38" s="3488" t="s">
        <v>3491</v>
      </c>
      <c r="L38" s="3488" t="s">
        <v>3518</v>
      </c>
      <c r="M38" s="3489">
        <v>43287.000497685185</v>
      </c>
      <c r="N38" s="3488" t="s">
        <v>3493</v>
      </c>
      <c r="O38" s="3488" t="s">
        <v>3660</v>
      </c>
      <c r="P38" s="3488" t="s">
        <v>3661</v>
      </c>
      <c r="Q38" s="3488">
        <v>318758</v>
      </c>
      <c r="R38" s="3488">
        <v>5392.07</v>
      </c>
      <c r="S38" s="3488">
        <v>26563</v>
      </c>
      <c r="T38" s="3488">
        <v>0</v>
      </c>
      <c r="U38" s="3488" t="s">
        <v>3511</v>
      </c>
      <c r="V38" s="3488" t="s">
        <v>3491</v>
      </c>
      <c r="W38" s="3488" t="s">
        <v>3491</v>
      </c>
    </row>
    <row r="39" spans="1:23" hidden="1">
      <c r="A39" s="3484" t="s">
        <v>3662</v>
      </c>
      <c r="B39" s="3484" t="s">
        <v>3376</v>
      </c>
      <c r="C39" s="3484" t="s">
        <v>3663</v>
      </c>
      <c r="D39" s="3484" t="s">
        <v>3487</v>
      </c>
      <c r="E39" s="3484">
        <v>113768</v>
      </c>
      <c r="F39" s="3484">
        <v>119494</v>
      </c>
      <c r="G39" s="3484">
        <v>1.05</v>
      </c>
      <c r="H39" s="3484" t="s">
        <v>3488</v>
      </c>
      <c r="I39" s="3484" t="s">
        <v>3489</v>
      </c>
      <c r="J39" s="3484" t="s">
        <v>3490</v>
      </c>
      <c r="K39" s="3484" t="s">
        <v>3491</v>
      </c>
      <c r="L39" s="3484" t="s">
        <v>3518</v>
      </c>
      <c r="M39" s="3485">
        <v>43270.000497685185</v>
      </c>
      <c r="N39" s="3484" t="s">
        <v>3493</v>
      </c>
      <c r="O39" s="3484" t="s">
        <v>3664</v>
      </c>
      <c r="P39" s="3484" t="s">
        <v>3665</v>
      </c>
      <c r="Q39" s="3484">
        <v>74000</v>
      </c>
      <c r="R39" s="3484">
        <v>433.63</v>
      </c>
      <c r="S39" s="3484">
        <v>6193</v>
      </c>
      <c r="T39" s="3484">
        <v>0</v>
      </c>
      <c r="U39" s="3484" t="s">
        <v>3511</v>
      </c>
      <c r="V39" s="3484" t="s">
        <v>3491</v>
      </c>
      <c r="W39" s="3484" t="s">
        <v>3491</v>
      </c>
    </row>
    <row r="40" spans="1:23" hidden="1">
      <c r="A40" s="3484" t="s">
        <v>3666</v>
      </c>
      <c r="B40" s="3484" t="s">
        <v>3376</v>
      </c>
      <c r="C40" s="3484" t="s">
        <v>3667</v>
      </c>
      <c r="D40" s="3484" t="s">
        <v>3487</v>
      </c>
      <c r="E40" s="3484">
        <v>33071.620000000003</v>
      </c>
      <c r="F40" s="3484">
        <v>122423.9</v>
      </c>
      <c r="G40" s="3484">
        <v>3.7</v>
      </c>
      <c r="H40" s="3484" t="s">
        <v>3488</v>
      </c>
      <c r="I40" s="3484" t="s">
        <v>3668</v>
      </c>
      <c r="J40" s="3484" t="s">
        <v>3490</v>
      </c>
      <c r="K40" s="3484" t="s">
        <v>3491</v>
      </c>
      <c r="L40" s="3484" t="s">
        <v>3518</v>
      </c>
      <c r="M40" s="3485">
        <v>43265.000497685185</v>
      </c>
      <c r="N40" s="3484" t="s">
        <v>3493</v>
      </c>
      <c r="O40" s="3484" t="s">
        <v>3669</v>
      </c>
      <c r="P40" s="3484" t="s">
        <v>3670</v>
      </c>
      <c r="Q40" s="3484">
        <v>183000</v>
      </c>
      <c r="R40" s="3484">
        <v>3688.96</v>
      </c>
      <c r="S40" s="3484">
        <v>14948</v>
      </c>
      <c r="T40" s="3484">
        <v>0</v>
      </c>
      <c r="U40" s="3484" t="s">
        <v>3637</v>
      </c>
      <c r="V40" s="3484" t="s">
        <v>3491</v>
      </c>
      <c r="W40" s="3484" t="s">
        <v>3491</v>
      </c>
    </row>
    <row r="41" spans="1:23" hidden="1">
      <c r="A41" s="3484" t="s">
        <v>3671</v>
      </c>
      <c r="B41" s="3484" t="s">
        <v>3376</v>
      </c>
      <c r="C41" s="3484" t="s">
        <v>3672</v>
      </c>
      <c r="D41" s="3484" t="s">
        <v>3487</v>
      </c>
      <c r="E41" s="3484">
        <v>18015.060000000001</v>
      </c>
      <c r="F41" s="3484">
        <v>54046</v>
      </c>
      <c r="G41" s="3484">
        <v>3</v>
      </c>
      <c r="H41" s="3484" t="s">
        <v>3488</v>
      </c>
      <c r="I41" s="3484" t="s">
        <v>3503</v>
      </c>
      <c r="J41" s="3484" t="s">
        <v>3490</v>
      </c>
      <c r="K41" s="3484" t="s">
        <v>3491</v>
      </c>
      <c r="L41" s="3484" t="s">
        <v>3518</v>
      </c>
      <c r="M41" s="3485">
        <v>43159.000497685185</v>
      </c>
      <c r="N41" s="3484" t="s">
        <v>3493</v>
      </c>
      <c r="O41" s="3484" t="s">
        <v>3673</v>
      </c>
      <c r="P41" s="3484" t="s">
        <v>3674</v>
      </c>
      <c r="Q41" s="3484">
        <v>60000</v>
      </c>
      <c r="R41" s="3484">
        <v>2220.36</v>
      </c>
      <c r="S41" s="3484">
        <v>11102</v>
      </c>
      <c r="T41" s="3484">
        <v>0</v>
      </c>
      <c r="U41" s="3484" t="s">
        <v>3511</v>
      </c>
      <c r="V41" s="3484" t="s">
        <v>3491</v>
      </c>
      <c r="W41" s="3484" t="s">
        <v>3491</v>
      </c>
    </row>
    <row r="42" spans="1:23" hidden="1">
      <c r="A42" s="3484" t="s">
        <v>3675</v>
      </c>
      <c r="B42" s="3484" t="s">
        <v>3376</v>
      </c>
      <c r="C42" s="3484" t="s">
        <v>3676</v>
      </c>
      <c r="D42" s="3484" t="s">
        <v>3487</v>
      </c>
      <c r="E42" s="3484">
        <v>59747.77</v>
      </c>
      <c r="F42" s="3484">
        <v>89622</v>
      </c>
      <c r="G42" s="3484">
        <v>1.5</v>
      </c>
      <c r="H42" s="3484" t="s">
        <v>3488</v>
      </c>
      <c r="I42" s="3484" t="s">
        <v>3677</v>
      </c>
      <c r="J42" s="3484" t="s">
        <v>3490</v>
      </c>
      <c r="K42" s="3484" t="s">
        <v>3491</v>
      </c>
      <c r="L42" s="3484" t="s">
        <v>3518</v>
      </c>
      <c r="M42" s="3485">
        <v>43109.000497685185</v>
      </c>
      <c r="N42" s="3484" t="s">
        <v>3493</v>
      </c>
      <c r="O42" s="3484" t="s">
        <v>3678</v>
      </c>
      <c r="P42" s="3484" t="s">
        <v>3679</v>
      </c>
      <c r="Q42" s="3484">
        <v>146800</v>
      </c>
      <c r="R42" s="3484">
        <v>1638</v>
      </c>
      <c r="S42" s="3484">
        <v>16380</v>
      </c>
      <c r="T42" s="3484">
        <v>0</v>
      </c>
      <c r="U42" s="3484" t="s">
        <v>3680</v>
      </c>
      <c r="V42" s="3484" t="s">
        <v>3491</v>
      </c>
      <c r="W42" s="3484" t="s">
        <v>3491</v>
      </c>
    </row>
    <row r="43" spans="1:23" hidden="1">
      <c r="A43" s="3484" t="s">
        <v>3681</v>
      </c>
      <c r="B43" s="3484" t="s">
        <v>3376</v>
      </c>
      <c r="C43" s="3484" t="s">
        <v>3682</v>
      </c>
      <c r="D43" s="3484" t="s">
        <v>3487</v>
      </c>
      <c r="E43" s="3484">
        <v>31420.65</v>
      </c>
      <c r="F43" s="3484">
        <v>65983</v>
      </c>
      <c r="G43" s="3484">
        <v>2.1</v>
      </c>
      <c r="H43" s="3484" t="s">
        <v>3488</v>
      </c>
      <c r="I43" s="3484" t="s">
        <v>3677</v>
      </c>
      <c r="J43" s="3484" t="s">
        <v>3490</v>
      </c>
      <c r="K43" s="3484" t="s">
        <v>3491</v>
      </c>
      <c r="L43" s="3484" t="s">
        <v>3518</v>
      </c>
      <c r="M43" s="3485">
        <v>43109.000497685185</v>
      </c>
      <c r="N43" s="3484" t="s">
        <v>3493</v>
      </c>
      <c r="O43" s="3484" t="s">
        <v>3683</v>
      </c>
      <c r="P43" s="3484" t="s">
        <v>3684</v>
      </c>
      <c r="Q43" s="3484">
        <v>108100</v>
      </c>
      <c r="R43" s="3484">
        <v>2293.61</v>
      </c>
      <c r="S43" s="3484">
        <v>16383</v>
      </c>
      <c r="T43" s="3484">
        <v>0</v>
      </c>
      <c r="U43" s="3484" t="s">
        <v>3680</v>
      </c>
      <c r="V43" s="3484" t="s">
        <v>3491</v>
      </c>
      <c r="W43" s="3484" t="s">
        <v>3491</v>
      </c>
    </row>
    <row r="44" spans="1:23" hidden="1">
      <c r="A44" s="3484" t="s">
        <v>3685</v>
      </c>
      <c r="B44" s="3484" t="s">
        <v>3376</v>
      </c>
      <c r="C44" s="3484" t="s">
        <v>3686</v>
      </c>
      <c r="D44" s="3484" t="s">
        <v>3487</v>
      </c>
      <c r="E44" s="3484">
        <v>15240.2</v>
      </c>
      <c r="F44" s="3484">
        <v>86800</v>
      </c>
      <c r="G44" s="3484">
        <v>5.7</v>
      </c>
      <c r="H44" s="3484" t="s">
        <v>3488</v>
      </c>
      <c r="I44" s="3484" t="s">
        <v>3503</v>
      </c>
      <c r="J44" s="3484" t="s">
        <v>3490</v>
      </c>
      <c r="K44" s="3484" t="s">
        <v>3491</v>
      </c>
      <c r="L44" s="3484" t="s">
        <v>3518</v>
      </c>
      <c r="M44" s="3485">
        <v>43055.000497685185</v>
      </c>
      <c r="N44" s="3484" t="s">
        <v>3493</v>
      </c>
      <c r="O44" s="3484" t="s">
        <v>3687</v>
      </c>
      <c r="P44" s="3484" t="s">
        <v>3492</v>
      </c>
      <c r="Q44" s="3484">
        <v>242500</v>
      </c>
      <c r="R44" s="3484">
        <v>10607.91</v>
      </c>
      <c r="S44" s="3484">
        <v>27938</v>
      </c>
      <c r="T44" s="3484">
        <v>2.11</v>
      </c>
      <c r="U44" s="3484" t="s">
        <v>3511</v>
      </c>
      <c r="V44" s="3484" t="s">
        <v>3491</v>
      </c>
      <c r="W44" s="3484" t="s">
        <v>3491</v>
      </c>
    </row>
    <row r="45" spans="1:23" hidden="1">
      <c r="A45" s="3484" t="s">
        <v>3688</v>
      </c>
      <c r="B45" s="3484" t="s">
        <v>3376</v>
      </c>
      <c r="C45" s="3484" t="s">
        <v>3689</v>
      </c>
      <c r="D45" s="3484" t="s">
        <v>3487</v>
      </c>
      <c r="E45" s="3484">
        <v>16863.939999999999</v>
      </c>
      <c r="F45" s="3484">
        <v>87923.61</v>
      </c>
      <c r="G45" s="3484">
        <v>5.21</v>
      </c>
      <c r="H45" s="3484" t="s">
        <v>3488</v>
      </c>
      <c r="I45" s="3484" t="s">
        <v>3503</v>
      </c>
      <c r="J45" s="3484" t="s">
        <v>3490</v>
      </c>
      <c r="K45" s="3484" t="s">
        <v>3491</v>
      </c>
      <c r="L45" s="3484" t="s">
        <v>3518</v>
      </c>
      <c r="M45" s="3485">
        <v>43053.000497685185</v>
      </c>
      <c r="N45" s="3484" t="s">
        <v>3493</v>
      </c>
      <c r="O45" s="3484" t="s">
        <v>3690</v>
      </c>
      <c r="P45" s="3484" t="s">
        <v>3492</v>
      </c>
      <c r="Q45" s="3484">
        <v>211000</v>
      </c>
      <c r="R45" s="3484">
        <v>8341.27</v>
      </c>
      <c r="S45" s="3484">
        <v>23998</v>
      </c>
      <c r="T45" s="3484">
        <v>0</v>
      </c>
      <c r="U45" s="3484" t="s">
        <v>3511</v>
      </c>
      <c r="V45" s="3484" t="s">
        <v>3491</v>
      </c>
      <c r="W45" s="3484" t="s">
        <v>3491</v>
      </c>
    </row>
    <row r="46" spans="1:23" hidden="1">
      <c r="A46" s="3484" t="s">
        <v>3691</v>
      </c>
      <c r="B46" s="3484" t="s">
        <v>3376</v>
      </c>
      <c r="C46" s="3484" t="s">
        <v>3692</v>
      </c>
      <c r="D46" s="3484" t="s">
        <v>3487</v>
      </c>
      <c r="E46" s="3484">
        <v>14089.17</v>
      </c>
      <c r="F46" s="3484">
        <v>105000</v>
      </c>
      <c r="G46" s="3484">
        <v>7.45</v>
      </c>
      <c r="H46" s="3484" t="s">
        <v>3488</v>
      </c>
      <c r="I46" s="3484" t="s">
        <v>3503</v>
      </c>
      <c r="J46" s="3484" t="s">
        <v>3490</v>
      </c>
      <c r="K46" s="3484" t="s">
        <v>3491</v>
      </c>
      <c r="L46" s="3484" t="s">
        <v>3518</v>
      </c>
      <c r="M46" s="3485">
        <v>43053.000497685185</v>
      </c>
      <c r="N46" s="3484" t="s">
        <v>3493</v>
      </c>
      <c r="O46" s="3484" t="s">
        <v>3693</v>
      </c>
      <c r="P46" s="3484" t="s">
        <v>3694</v>
      </c>
      <c r="Q46" s="3484">
        <v>355000</v>
      </c>
      <c r="R46" s="3484">
        <v>16797.77</v>
      </c>
      <c r="S46" s="3484">
        <v>33810</v>
      </c>
      <c r="T46" s="3484">
        <v>40.869999999999997</v>
      </c>
      <c r="U46" s="3484" t="s">
        <v>3511</v>
      </c>
      <c r="V46" s="3484" t="s">
        <v>3491</v>
      </c>
      <c r="W46" s="3484" t="s">
        <v>3491</v>
      </c>
    </row>
    <row r="47" spans="1:23" hidden="1">
      <c r="A47" s="3484" t="s">
        <v>3695</v>
      </c>
      <c r="B47" s="3484" t="s">
        <v>3376</v>
      </c>
      <c r="C47" s="3484" t="s">
        <v>3696</v>
      </c>
      <c r="D47" s="3484" t="s">
        <v>3487</v>
      </c>
      <c r="E47" s="3484">
        <v>5237.16</v>
      </c>
      <c r="F47" s="3484">
        <v>10474</v>
      </c>
      <c r="G47" s="3484">
        <v>2</v>
      </c>
      <c r="H47" s="3484" t="s">
        <v>3488</v>
      </c>
      <c r="I47" s="3484" t="s">
        <v>3573</v>
      </c>
      <c r="J47" s="3484" t="s">
        <v>3490</v>
      </c>
      <c r="K47" s="3484" t="s">
        <v>3491</v>
      </c>
      <c r="L47" s="3484" t="s">
        <v>3518</v>
      </c>
      <c r="M47" s="3485">
        <v>42985.000497685185</v>
      </c>
      <c r="N47" s="3484" t="s">
        <v>3493</v>
      </c>
      <c r="O47" s="3484" t="s">
        <v>3697</v>
      </c>
      <c r="P47" s="3484" t="s">
        <v>3698</v>
      </c>
      <c r="Q47" s="3484">
        <v>13700</v>
      </c>
      <c r="R47" s="3484">
        <v>1743.95</v>
      </c>
      <c r="S47" s="3484">
        <v>13080</v>
      </c>
      <c r="T47" s="3484">
        <v>5.38</v>
      </c>
      <c r="U47" s="3484" t="s">
        <v>3511</v>
      </c>
      <c r="V47" s="3484" t="s">
        <v>3491</v>
      </c>
      <c r="W47" s="3484" t="s">
        <v>3491</v>
      </c>
    </row>
    <row r="48" spans="1:23" hidden="1">
      <c r="A48" s="3484" t="s">
        <v>3699</v>
      </c>
      <c r="B48" s="3484" t="s">
        <v>3376</v>
      </c>
      <c r="C48" s="3484" t="s">
        <v>3700</v>
      </c>
      <c r="D48" s="3484" t="s">
        <v>3487</v>
      </c>
      <c r="E48" s="3484">
        <v>66237.2</v>
      </c>
      <c r="F48" s="3484">
        <v>264058.7</v>
      </c>
      <c r="G48" s="3484">
        <v>3.99</v>
      </c>
      <c r="H48" s="3484" t="s">
        <v>3488</v>
      </c>
      <c r="I48" s="3484" t="s">
        <v>3668</v>
      </c>
      <c r="J48" s="3484" t="s">
        <v>3490</v>
      </c>
      <c r="K48" s="3484" t="s">
        <v>3491</v>
      </c>
      <c r="L48" s="3484" t="s">
        <v>3518</v>
      </c>
      <c r="M48" s="3485">
        <v>42955.000497685185</v>
      </c>
      <c r="N48" s="3484" t="s">
        <v>3493</v>
      </c>
      <c r="O48" s="3484" t="s">
        <v>3701</v>
      </c>
      <c r="P48" s="3484" t="s">
        <v>3492</v>
      </c>
      <c r="Q48" s="3484">
        <v>385000</v>
      </c>
      <c r="R48" s="3484">
        <v>3874.96</v>
      </c>
      <c r="S48" s="3484">
        <v>14580</v>
      </c>
      <c r="T48" s="3484">
        <v>0</v>
      </c>
      <c r="U48" s="3484" t="s">
        <v>3637</v>
      </c>
      <c r="V48" s="3484" t="s">
        <v>3491</v>
      </c>
      <c r="W48" s="3484" t="s">
        <v>3491</v>
      </c>
    </row>
    <row r="49" spans="1:23" s="3488" customFormat="1">
      <c r="A49" s="3488" t="s">
        <v>3702</v>
      </c>
      <c r="B49" s="3488" t="s">
        <v>3376</v>
      </c>
      <c r="C49" s="3488" t="s">
        <v>3703</v>
      </c>
      <c r="D49" s="3488" t="s">
        <v>3487</v>
      </c>
      <c r="E49" s="3488">
        <v>27295.08</v>
      </c>
      <c r="F49" s="3488">
        <v>160000</v>
      </c>
      <c r="G49" s="3488">
        <v>5.8</v>
      </c>
      <c r="H49" s="3488" t="s">
        <v>3488</v>
      </c>
      <c r="I49" s="3488" t="s">
        <v>3489</v>
      </c>
      <c r="J49" s="3488" t="s">
        <v>3490</v>
      </c>
      <c r="K49" s="3488" t="s">
        <v>3491</v>
      </c>
      <c r="L49" s="3488" t="s">
        <v>3518</v>
      </c>
      <c r="M49" s="3489">
        <v>42873.000497685185</v>
      </c>
      <c r="N49" s="3488" t="s">
        <v>3493</v>
      </c>
      <c r="O49" s="3488" t="s">
        <v>3704</v>
      </c>
      <c r="P49" s="3488" t="s">
        <v>3705</v>
      </c>
      <c r="Q49" s="3488">
        <v>434000</v>
      </c>
      <c r="R49" s="3488">
        <v>10600.2</v>
      </c>
      <c r="S49" s="3488">
        <v>27125</v>
      </c>
      <c r="T49" s="3488">
        <v>0.46</v>
      </c>
      <c r="U49" s="3488" t="s">
        <v>3496</v>
      </c>
      <c r="V49" s="3488" t="s">
        <v>3491</v>
      </c>
      <c r="W49" s="3488" t="s">
        <v>3491</v>
      </c>
    </row>
    <row r="50" spans="1:23" hidden="1">
      <c r="A50" s="3484" t="s">
        <v>3706</v>
      </c>
      <c r="B50" s="3484" t="s">
        <v>3376</v>
      </c>
      <c r="C50" s="3484" t="s">
        <v>3707</v>
      </c>
      <c r="D50" s="3484" t="s">
        <v>3487</v>
      </c>
      <c r="E50" s="3484">
        <v>35230.230000000003</v>
      </c>
      <c r="F50" s="3484">
        <v>88076</v>
      </c>
      <c r="G50" s="3484">
        <v>2.5</v>
      </c>
      <c r="H50" s="3484" t="s">
        <v>3488</v>
      </c>
      <c r="I50" s="3484" t="s">
        <v>3489</v>
      </c>
      <c r="J50" s="3484" t="s">
        <v>3490</v>
      </c>
      <c r="K50" s="3484" t="s">
        <v>3491</v>
      </c>
      <c r="L50" s="3484" t="s">
        <v>3492</v>
      </c>
      <c r="M50" s="3485">
        <v>42867.000497685185</v>
      </c>
      <c r="N50" s="3484" t="s">
        <v>3493</v>
      </c>
      <c r="O50" s="3484" t="s">
        <v>3708</v>
      </c>
      <c r="P50" s="3484" t="s">
        <v>3492</v>
      </c>
      <c r="Q50" s="3484">
        <v>62000</v>
      </c>
      <c r="R50" s="3484">
        <v>1173.23</v>
      </c>
      <c r="S50" s="3484">
        <v>7039</v>
      </c>
      <c r="T50" s="3484">
        <v>0</v>
      </c>
      <c r="U50" s="3484" t="s">
        <v>3496</v>
      </c>
      <c r="V50" s="3484" t="s">
        <v>3491</v>
      </c>
      <c r="W50" s="3484" t="s">
        <v>3491</v>
      </c>
    </row>
    <row r="51" spans="1:23" hidden="1">
      <c r="A51" s="3484" t="s">
        <v>3709</v>
      </c>
      <c r="B51" s="3484" t="s">
        <v>3376</v>
      </c>
      <c r="C51" s="3484" t="s">
        <v>3710</v>
      </c>
      <c r="D51" s="3484" t="s">
        <v>3487</v>
      </c>
      <c r="E51" s="3484">
        <v>170200.2</v>
      </c>
      <c r="F51" s="3484">
        <v>255301</v>
      </c>
      <c r="G51" s="3484">
        <v>1.5</v>
      </c>
      <c r="H51" s="3484" t="s">
        <v>3488</v>
      </c>
      <c r="I51" s="3484" t="s">
        <v>3489</v>
      </c>
      <c r="J51" s="3484" t="s">
        <v>3490</v>
      </c>
      <c r="K51" s="3484" t="s">
        <v>3491</v>
      </c>
      <c r="L51" s="3484" t="s">
        <v>3518</v>
      </c>
      <c r="M51" s="3485">
        <v>42860.000497685185</v>
      </c>
      <c r="N51" s="3484" t="s">
        <v>3493</v>
      </c>
      <c r="O51" s="3484" t="s">
        <v>3711</v>
      </c>
      <c r="P51" s="3484" t="s">
        <v>3712</v>
      </c>
      <c r="Q51" s="3484">
        <v>259500</v>
      </c>
      <c r="R51" s="3484">
        <v>1016.45</v>
      </c>
      <c r="S51" s="3484">
        <v>10164</v>
      </c>
      <c r="T51" s="3484">
        <v>1.76</v>
      </c>
      <c r="U51" s="3484" t="s">
        <v>3496</v>
      </c>
      <c r="V51" s="3484" t="s">
        <v>3491</v>
      </c>
      <c r="W51" s="3484" t="s">
        <v>3491</v>
      </c>
    </row>
    <row r="52" spans="1:23" hidden="1">
      <c r="A52" s="3484" t="s">
        <v>3713</v>
      </c>
      <c r="B52" s="3484" t="s">
        <v>3376</v>
      </c>
      <c r="C52" s="3484" t="s">
        <v>3714</v>
      </c>
      <c r="D52" s="3484" t="s">
        <v>3487</v>
      </c>
      <c r="E52" s="3484">
        <v>120885</v>
      </c>
      <c r="F52" s="3484">
        <v>256512</v>
      </c>
      <c r="G52" s="3484">
        <v>2.12</v>
      </c>
      <c r="H52" s="3484" t="s">
        <v>3488</v>
      </c>
      <c r="I52" s="3484" t="s">
        <v>3715</v>
      </c>
      <c r="J52" s="3484" t="s">
        <v>3490</v>
      </c>
      <c r="K52" s="3484" t="s">
        <v>3491</v>
      </c>
      <c r="L52" s="3484" t="s">
        <v>3518</v>
      </c>
      <c r="M52" s="3485">
        <v>42860.000497685185</v>
      </c>
      <c r="N52" s="3484" t="s">
        <v>3493</v>
      </c>
      <c r="O52" s="3484" t="s">
        <v>3716</v>
      </c>
      <c r="P52" s="3484" t="s">
        <v>3492</v>
      </c>
      <c r="Q52" s="3484">
        <v>250000</v>
      </c>
      <c r="R52" s="3484">
        <v>1378.72</v>
      </c>
      <c r="S52" s="3484">
        <v>9746</v>
      </c>
      <c r="T52" s="3484">
        <v>0</v>
      </c>
      <c r="U52" s="3484" t="s">
        <v>3496</v>
      </c>
      <c r="V52" s="3484" t="s">
        <v>3491</v>
      </c>
      <c r="W52" s="3484" t="s">
        <v>3491</v>
      </c>
    </row>
    <row r="53" spans="1:23" hidden="1">
      <c r="A53" s="3484" t="s">
        <v>3717</v>
      </c>
      <c r="B53" s="3484" t="s">
        <v>3376</v>
      </c>
      <c r="C53" s="3484" t="s">
        <v>3718</v>
      </c>
      <c r="D53" s="3484" t="s">
        <v>3487</v>
      </c>
      <c r="E53" s="3484">
        <v>92055.95</v>
      </c>
      <c r="F53" s="3484">
        <v>92056</v>
      </c>
      <c r="G53" s="3484">
        <v>1</v>
      </c>
      <c r="H53" s="3484" t="s">
        <v>3623</v>
      </c>
      <c r="I53" s="3484" t="s">
        <v>3503</v>
      </c>
      <c r="J53" s="3484" t="s">
        <v>3490</v>
      </c>
      <c r="K53" s="3484" t="s">
        <v>3491</v>
      </c>
      <c r="L53" s="3484" t="s">
        <v>3492</v>
      </c>
      <c r="M53" s="3485">
        <v>42836.000497685185</v>
      </c>
      <c r="N53" s="3484" t="s">
        <v>3493</v>
      </c>
      <c r="O53" s="3484" t="s">
        <v>3719</v>
      </c>
      <c r="P53" s="3484" t="s">
        <v>3720</v>
      </c>
      <c r="Q53" s="3484">
        <v>285373.59999999998</v>
      </c>
      <c r="R53" s="3484">
        <v>2066.67</v>
      </c>
      <c r="S53" s="3484">
        <v>31000</v>
      </c>
      <c r="T53" s="3484">
        <v>0</v>
      </c>
      <c r="U53" s="3484" t="s">
        <v>3503</v>
      </c>
      <c r="V53" s="3484" t="s">
        <v>3491</v>
      </c>
      <c r="W53" s="3484" t="s">
        <v>3491</v>
      </c>
    </row>
    <row r="54" spans="1:23" hidden="1">
      <c r="A54" s="3484" t="s">
        <v>3721</v>
      </c>
      <c r="B54" s="3484" t="s">
        <v>3376</v>
      </c>
      <c r="C54" s="3484" t="s">
        <v>3722</v>
      </c>
      <c r="D54" s="3484" t="s">
        <v>3487</v>
      </c>
      <c r="E54" s="3484">
        <v>39744.120000000003</v>
      </c>
      <c r="F54" s="3484">
        <v>119232</v>
      </c>
      <c r="G54" s="3484">
        <v>3</v>
      </c>
      <c r="H54" s="3484" t="s">
        <v>3488</v>
      </c>
      <c r="I54" s="3484" t="s">
        <v>3589</v>
      </c>
      <c r="J54" s="3484" t="s">
        <v>3490</v>
      </c>
      <c r="K54" s="3484" t="s">
        <v>3491</v>
      </c>
      <c r="L54" s="3484" t="s">
        <v>3492</v>
      </c>
      <c r="M54" s="3485">
        <v>42839.000497685185</v>
      </c>
      <c r="N54" s="3484" t="s">
        <v>3493</v>
      </c>
      <c r="O54" s="3484" t="s">
        <v>3723</v>
      </c>
      <c r="P54" s="3484" t="s">
        <v>3724</v>
      </c>
      <c r="Q54" s="3484">
        <v>292000</v>
      </c>
      <c r="R54" s="3484">
        <v>4898</v>
      </c>
      <c r="S54" s="3484">
        <v>24490</v>
      </c>
      <c r="T54" s="3484">
        <v>28.63</v>
      </c>
      <c r="U54" s="3484" t="s">
        <v>3576</v>
      </c>
      <c r="V54" s="3484" t="s">
        <v>3491</v>
      </c>
      <c r="W54" s="3484" t="s">
        <v>3491</v>
      </c>
    </row>
    <row r="55" spans="1:23" hidden="1">
      <c r="A55" s="3484" t="s">
        <v>3725</v>
      </c>
      <c r="B55" s="3484" t="s">
        <v>3376</v>
      </c>
      <c r="C55" s="3484" t="s">
        <v>3726</v>
      </c>
      <c r="D55" s="3484" t="s">
        <v>3487</v>
      </c>
      <c r="E55" s="3484">
        <v>18303.330000000002</v>
      </c>
      <c r="F55" s="3484">
        <v>58571</v>
      </c>
      <c r="G55" s="3484">
        <v>3.2</v>
      </c>
      <c r="H55" s="3484" t="s">
        <v>3488</v>
      </c>
      <c r="I55" s="3484" t="s">
        <v>3489</v>
      </c>
      <c r="J55" s="3484" t="s">
        <v>3490</v>
      </c>
      <c r="K55" s="3484" t="s">
        <v>3491</v>
      </c>
      <c r="L55" s="3484" t="s">
        <v>3492</v>
      </c>
      <c r="M55" s="3485">
        <v>42831.000497685185</v>
      </c>
      <c r="N55" s="3484" t="s">
        <v>3493</v>
      </c>
      <c r="O55" s="3484" t="s">
        <v>3727</v>
      </c>
      <c r="P55" s="3484" t="s">
        <v>3728</v>
      </c>
      <c r="Q55" s="3484">
        <v>129000</v>
      </c>
      <c r="R55" s="3484">
        <v>4698.6000000000004</v>
      </c>
      <c r="S55" s="3484">
        <v>22025</v>
      </c>
      <c r="T55" s="3484">
        <v>62.06</v>
      </c>
      <c r="U55" s="3484" t="s">
        <v>3511</v>
      </c>
      <c r="V55" s="3484" t="s">
        <v>3491</v>
      </c>
      <c r="W55" s="3484" t="s">
        <v>3491</v>
      </c>
    </row>
    <row r="56" spans="1:23" hidden="1">
      <c r="A56" s="3484" t="s">
        <v>3729</v>
      </c>
      <c r="B56" s="3484" t="s">
        <v>3376</v>
      </c>
      <c r="C56" s="3484" t="s">
        <v>3730</v>
      </c>
      <c r="D56" s="3484" t="s">
        <v>3487</v>
      </c>
      <c r="E56" s="3484">
        <v>29183.54</v>
      </c>
      <c r="F56" s="3484">
        <v>72959</v>
      </c>
      <c r="G56" s="3484">
        <v>2.5</v>
      </c>
      <c r="H56" s="3484" t="s">
        <v>3488</v>
      </c>
      <c r="I56" s="3484" t="s">
        <v>3489</v>
      </c>
      <c r="J56" s="3484" t="s">
        <v>3490</v>
      </c>
      <c r="K56" s="3484" t="s">
        <v>3491</v>
      </c>
      <c r="L56" s="3484" t="s">
        <v>3492</v>
      </c>
      <c r="M56" s="3485">
        <v>42824.000497685185</v>
      </c>
      <c r="N56" s="3484" t="s">
        <v>3493</v>
      </c>
      <c r="O56" s="3484" t="s">
        <v>3731</v>
      </c>
      <c r="P56" s="3484" t="s">
        <v>3732</v>
      </c>
      <c r="Q56" s="3484">
        <v>106000</v>
      </c>
      <c r="R56" s="3484">
        <v>2421.46</v>
      </c>
      <c r="S56" s="3484">
        <v>14529</v>
      </c>
      <c r="T56" s="3484">
        <v>27.71</v>
      </c>
      <c r="U56" s="3484" t="s">
        <v>3511</v>
      </c>
      <c r="V56" s="3484" t="s">
        <v>3491</v>
      </c>
      <c r="W56" s="3484" t="s">
        <v>3491</v>
      </c>
    </row>
    <row r="57" spans="1:23" hidden="1">
      <c r="A57" s="3484" t="s">
        <v>3733</v>
      </c>
      <c r="B57" s="3484" t="s">
        <v>3376</v>
      </c>
      <c r="C57" s="3484" t="s">
        <v>3734</v>
      </c>
      <c r="D57" s="3484" t="s">
        <v>3487</v>
      </c>
      <c r="E57" s="3484">
        <v>46165.91</v>
      </c>
      <c r="F57" s="3484">
        <v>92332</v>
      </c>
      <c r="G57" s="3484">
        <v>2</v>
      </c>
      <c r="H57" s="3484" t="s">
        <v>3488</v>
      </c>
      <c r="I57" s="3484" t="s">
        <v>3489</v>
      </c>
      <c r="J57" s="3484" t="s">
        <v>3490</v>
      </c>
      <c r="K57" s="3484" t="s">
        <v>3491</v>
      </c>
      <c r="L57" s="3484" t="s">
        <v>3518</v>
      </c>
      <c r="M57" s="3485">
        <v>42824.000497685185</v>
      </c>
      <c r="N57" s="3484" t="s">
        <v>3493</v>
      </c>
      <c r="O57" s="3484" t="s">
        <v>3735</v>
      </c>
      <c r="P57" s="3484" t="s">
        <v>3736</v>
      </c>
      <c r="Q57" s="3484">
        <v>225000</v>
      </c>
      <c r="R57" s="3484">
        <v>3249.15</v>
      </c>
      <c r="S57" s="3484">
        <v>24369</v>
      </c>
      <c r="T57" s="3484">
        <v>27.84</v>
      </c>
      <c r="U57" s="3484" t="s">
        <v>3511</v>
      </c>
      <c r="V57" s="3484" t="s">
        <v>3491</v>
      </c>
      <c r="W57" s="3484" t="s">
        <v>3491</v>
      </c>
    </row>
    <row r="58" spans="1:23" hidden="1">
      <c r="A58" s="3484" t="s">
        <v>3737</v>
      </c>
      <c r="B58" s="3484" t="s">
        <v>3376</v>
      </c>
      <c r="C58" s="3484" t="s">
        <v>3738</v>
      </c>
      <c r="D58" s="3484" t="s">
        <v>3487</v>
      </c>
      <c r="E58" s="3484">
        <v>38100</v>
      </c>
      <c r="F58" s="3484">
        <v>76200</v>
      </c>
      <c r="G58" s="3484">
        <v>2</v>
      </c>
      <c r="H58" s="3484" t="s">
        <v>3488</v>
      </c>
      <c r="I58" s="3484" t="s">
        <v>3489</v>
      </c>
      <c r="J58" s="3484" t="s">
        <v>3490</v>
      </c>
      <c r="K58" s="3484" t="s">
        <v>3491</v>
      </c>
      <c r="L58" s="3484" t="s">
        <v>3518</v>
      </c>
      <c r="M58" s="3485">
        <v>42824.000497685185</v>
      </c>
      <c r="N58" s="3484" t="s">
        <v>3493</v>
      </c>
      <c r="O58" s="3484" t="s">
        <v>3739</v>
      </c>
      <c r="P58" s="3484" t="s">
        <v>3740</v>
      </c>
      <c r="Q58" s="3484">
        <v>204000</v>
      </c>
      <c r="R58" s="3484">
        <v>3569.55</v>
      </c>
      <c r="S58" s="3484">
        <v>26772</v>
      </c>
      <c r="T58" s="3484">
        <v>40.69</v>
      </c>
      <c r="U58" s="3484" t="s">
        <v>3511</v>
      </c>
      <c r="V58" s="3484" t="s">
        <v>3491</v>
      </c>
      <c r="W58" s="3484" t="s">
        <v>3491</v>
      </c>
    </row>
    <row r="59" spans="1:23" hidden="1">
      <c r="A59" s="3484" t="s">
        <v>3741</v>
      </c>
      <c r="B59" s="3484" t="s">
        <v>3376</v>
      </c>
      <c r="C59" s="3484" t="s">
        <v>3742</v>
      </c>
      <c r="D59" s="3484" t="s">
        <v>3487</v>
      </c>
      <c r="E59" s="3484">
        <v>23639.39</v>
      </c>
      <c r="F59" s="3484">
        <v>75646</v>
      </c>
      <c r="G59" s="3484">
        <v>3.2</v>
      </c>
      <c r="H59" s="3484" t="s">
        <v>3488</v>
      </c>
      <c r="I59" s="3484" t="s">
        <v>3489</v>
      </c>
      <c r="J59" s="3484" t="s">
        <v>3490</v>
      </c>
      <c r="K59" s="3484" t="s">
        <v>3491</v>
      </c>
      <c r="L59" s="3484" t="s">
        <v>3492</v>
      </c>
      <c r="M59" s="3485">
        <v>42724.000497685185</v>
      </c>
      <c r="N59" s="3484" t="s">
        <v>3493</v>
      </c>
      <c r="O59" s="3484" t="s">
        <v>3743</v>
      </c>
      <c r="P59" s="3484" t="s">
        <v>3744</v>
      </c>
      <c r="Q59" s="3484">
        <v>103020</v>
      </c>
      <c r="R59" s="3484">
        <v>2905.32</v>
      </c>
      <c r="S59" s="3484">
        <v>13619</v>
      </c>
      <c r="T59" s="3484">
        <v>1</v>
      </c>
      <c r="U59" s="3484" t="s">
        <v>3511</v>
      </c>
      <c r="V59" s="3484" t="s">
        <v>3491</v>
      </c>
      <c r="W59" s="3484" t="s">
        <v>3491</v>
      </c>
    </row>
    <row r="60" spans="1:23" hidden="1">
      <c r="A60" s="3484" t="s">
        <v>3745</v>
      </c>
      <c r="B60" s="3484" t="s">
        <v>3376</v>
      </c>
      <c r="C60" s="3484" t="s">
        <v>3746</v>
      </c>
      <c r="D60" s="3484" t="s">
        <v>3487</v>
      </c>
      <c r="E60" s="3484">
        <v>69848.44</v>
      </c>
      <c r="F60" s="3484">
        <v>146863</v>
      </c>
      <c r="G60" s="3484">
        <v>2.1</v>
      </c>
      <c r="H60" s="3484" t="s">
        <v>3488</v>
      </c>
      <c r="I60" s="3484" t="s">
        <v>3677</v>
      </c>
      <c r="J60" s="3484" t="s">
        <v>3490</v>
      </c>
      <c r="K60" s="3484" t="s">
        <v>3491</v>
      </c>
      <c r="L60" s="3484" t="s">
        <v>3492</v>
      </c>
      <c r="M60" s="3485">
        <v>42711.000497685185</v>
      </c>
      <c r="N60" s="3484" t="s">
        <v>3493</v>
      </c>
      <c r="O60" s="3484" t="s">
        <v>3747</v>
      </c>
      <c r="P60" s="3484" t="s">
        <v>3492</v>
      </c>
      <c r="Q60" s="3484">
        <v>220000</v>
      </c>
      <c r="R60" s="3484">
        <v>2099.7800000000002</v>
      </c>
      <c r="S60" s="3484">
        <v>14980</v>
      </c>
      <c r="T60" s="3484">
        <v>0</v>
      </c>
      <c r="U60" s="3484" t="s">
        <v>3680</v>
      </c>
      <c r="V60" s="3484" t="s">
        <v>3491</v>
      </c>
      <c r="W60" s="3484" t="s">
        <v>3491</v>
      </c>
    </row>
    <row r="61" spans="1:23" hidden="1">
      <c r="A61" s="3484" t="s">
        <v>3748</v>
      </c>
      <c r="B61" s="3484" t="s">
        <v>3376</v>
      </c>
      <c r="C61" s="3484" t="s">
        <v>3749</v>
      </c>
      <c r="D61" s="3484" t="s">
        <v>3487</v>
      </c>
      <c r="E61" s="3484">
        <v>66079.679999999993</v>
      </c>
      <c r="F61" s="3484">
        <v>111429</v>
      </c>
      <c r="G61" s="3484">
        <v>1.69</v>
      </c>
      <c r="H61" s="3484" t="s">
        <v>3488</v>
      </c>
      <c r="I61" s="3484" t="s">
        <v>3677</v>
      </c>
      <c r="J61" s="3484" t="s">
        <v>3490</v>
      </c>
      <c r="K61" s="3484" t="s">
        <v>3491</v>
      </c>
      <c r="L61" s="3484" t="s">
        <v>3492</v>
      </c>
      <c r="M61" s="3485">
        <v>42711.000497685185</v>
      </c>
      <c r="N61" s="3484" t="s">
        <v>3493</v>
      </c>
      <c r="O61" s="3484" t="s">
        <v>3683</v>
      </c>
      <c r="P61" s="3484" t="s">
        <v>3492</v>
      </c>
      <c r="Q61" s="3484">
        <v>135000</v>
      </c>
      <c r="R61" s="3484">
        <v>1361.99</v>
      </c>
      <c r="S61" s="3484">
        <v>12115</v>
      </c>
      <c r="T61" s="3484">
        <v>0</v>
      </c>
      <c r="U61" s="3484" t="s">
        <v>3680</v>
      </c>
      <c r="V61" s="3484" t="s">
        <v>3491</v>
      </c>
      <c r="W61" s="3484" t="s">
        <v>3491</v>
      </c>
    </row>
    <row r="62" spans="1:23" hidden="1">
      <c r="A62" s="3484" t="s">
        <v>3750</v>
      </c>
      <c r="B62" s="3484" t="s">
        <v>3376</v>
      </c>
      <c r="C62" s="3484" t="s">
        <v>3751</v>
      </c>
      <c r="D62" s="3484" t="s">
        <v>3487</v>
      </c>
      <c r="E62" s="3484">
        <v>85709</v>
      </c>
      <c r="F62" s="3484">
        <v>179122</v>
      </c>
      <c r="G62" s="3484">
        <v>2.09</v>
      </c>
      <c r="H62" s="3484" t="s">
        <v>3488</v>
      </c>
      <c r="I62" s="3484" t="s">
        <v>3752</v>
      </c>
      <c r="J62" s="3484" t="s">
        <v>3490</v>
      </c>
      <c r="K62" s="3484" t="s">
        <v>3491</v>
      </c>
      <c r="L62" s="3484" t="s">
        <v>3492</v>
      </c>
      <c r="M62" s="3485">
        <v>42702.000497685185</v>
      </c>
      <c r="N62" s="3484" t="s">
        <v>3493</v>
      </c>
      <c r="O62" s="3484" t="s">
        <v>3753</v>
      </c>
      <c r="P62" s="3484" t="s">
        <v>3636</v>
      </c>
      <c r="Q62" s="3484">
        <v>378000</v>
      </c>
      <c r="R62" s="3484">
        <v>2940.18</v>
      </c>
      <c r="S62" s="3484">
        <v>21103</v>
      </c>
      <c r="T62" s="3484">
        <v>200</v>
      </c>
      <c r="U62" s="3484" t="s">
        <v>3511</v>
      </c>
      <c r="V62" s="3484" t="s">
        <v>3491</v>
      </c>
      <c r="W62" s="3484" t="s">
        <v>3491</v>
      </c>
    </row>
    <row r="63" spans="1:23" hidden="1">
      <c r="A63" s="3484" t="s">
        <v>3754</v>
      </c>
      <c r="B63" s="3484" t="s">
        <v>3376</v>
      </c>
      <c r="C63" s="3484" t="s">
        <v>3755</v>
      </c>
      <c r="D63" s="3484" t="s">
        <v>3487</v>
      </c>
      <c r="E63" s="3484">
        <v>10384</v>
      </c>
      <c r="F63" s="3484">
        <v>25960</v>
      </c>
      <c r="G63" s="3484">
        <v>2.5</v>
      </c>
      <c r="H63" s="3484" t="s">
        <v>3488</v>
      </c>
      <c r="I63" s="3484" t="s">
        <v>3503</v>
      </c>
      <c r="J63" s="3484" t="s">
        <v>3490</v>
      </c>
      <c r="K63" s="3484" t="s">
        <v>3491</v>
      </c>
      <c r="L63" s="3484" t="s">
        <v>3492</v>
      </c>
      <c r="M63" s="3485">
        <v>42702.000497685185</v>
      </c>
      <c r="N63" s="3484" t="s">
        <v>3493</v>
      </c>
      <c r="O63" s="3484" t="s">
        <v>3756</v>
      </c>
      <c r="P63" s="3484" t="s">
        <v>3757</v>
      </c>
      <c r="Q63" s="3484">
        <v>51300</v>
      </c>
      <c r="R63" s="3484">
        <v>3293.53</v>
      </c>
      <c r="S63" s="3484">
        <v>19761</v>
      </c>
      <c r="T63" s="3484">
        <v>0</v>
      </c>
      <c r="U63" s="3484" t="s">
        <v>3511</v>
      </c>
      <c r="V63" s="3484" t="s">
        <v>3491</v>
      </c>
      <c r="W63" s="3484" t="s">
        <v>3491</v>
      </c>
    </row>
    <row r="64" spans="1:23" hidden="1">
      <c r="A64" s="3484" t="s">
        <v>3758</v>
      </c>
      <c r="B64" s="3484" t="s">
        <v>3376</v>
      </c>
      <c r="C64" s="3484" t="s">
        <v>3759</v>
      </c>
      <c r="D64" s="3484" t="s">
        <v>3487</v>
      </c>
      <c r="E64" s="3484">
        <v>8466</v>
      </c>
      <c r="F64" s="3484">
        <v>21165</v>
      </c>
      <c r="G64" s="3484">
        <v>2.5</v>
      </c>
      <c r="H64" s="3484" t="s">
        <v>3488</v>
      </c>
      <c r="I64" s="3484" t="s">
        <v>3503</v>
      </c>
      <c r="J64" s="3484" t="s">
        <v>3490</v>
      </c>
      <c r="K64" s="3484" t="s">
        <v>3491</v>
      </c>
      <c r="L64" s="3484" t="s">
        <v>3492</v>
      </c>
      <c r="M64" s="3485">
        <v>42614.000497685185</v>
      </c>
      <c r="N64" s="3484" t="s">
        <v>3493</v>
      </c>
      <c r="O64" s="3484" t="s">
        <v>3760</v>
      </c>
      <c r="P64" s="3484" t="s">
        <v>3492</v>
      </c>
      <c r="Q64" s="3484">
        <v>42000</v>
      </c>
      <c r="R64" s="3484">
        <v>3307.35</v>
      </c>
      <c r="S64" s="3484">
        <v>19844</v>
      </c>
      <c r="T64" s="3484">
        <v>3.45</v>
      </c>
      <c r="U64" s="3484" t="s">
        <v>3511</v>
      </c>
      <c r="V64" s="3484" t="s">
        <v>3491</v>
      </c>
      <c r="W64" s="3484" t="s">
        <v>3491</v>
      </c>
    </row>
    <row r="65" spans="1:23" hidden="1">
      <c r="A65" s="3484" t="s">
        <v>3761</v>
      </c>
      <c r="B65" s="3484" t="s">
        <v>3376</v>
      </c>
      <c r="C65" s="3484" t="s">
        <v>3762</v>
      </c>
      <c r="D65" s="3484" t="s">
        <v>3487</v>
      </c>
      <c r="E65" s="3484">
        <v>2070793</v>
      </c>
      <c r="F65" s="3484">
        <v>1642730</v>
      </c>
      <c r="G65" s="3484">
        <v>0.79</v>
      </c>
      <c r="H65" s="3484" t="s">
        <v>3488</v>
      </c>
      <c r="I65" s="3484" t="s">
        <v>3763</v>
      </c>
      <c r="J65" s="3484" t="s">
        <v>3490</v>
      </c>
      <c r="K65" s="3484" t="s">
        <v>3491</v>
      </c>
      <c r="L65" s="3484" t="s">
        <v>3492</v>
      </c>
      <c r="M65" s="3485">
        <v>42558.000497685185</v>
      </c>
      <c r="N65" s="3484" t="s">
        <v>3493</v>
      </c>
      <c r="O65" s="3484" t="s">
        <v>3764</v>
      </c>
      <c r="P65" s="3484" t="s">
        <v>3520</v>
      </c>
      <c r="Q65" s="3484">
        <v>870000</v>
      </c>
      <c r="R65" s="3484">
        <v>280.08999999999997</v>
      </c>
      <c r="S65" s="3484">
        <v>5296</v>
      </c>
      <c r="T65" s="3484">
        <v>0</v>
      </c>
      <c r="U65" s="3484" t="s">
        <v>3511</v>
      </c>
      <c r="V65" s="3484" t="s">
        <v>3491</v>
      </c>
      <c r="W65" s="3484" t="s">
        <v>3491</v>
      </c>
    </row>
    <row r="66" spans="1:23" hidden="1">
      <c r="A66" s="3484" t="s">
        <v>3765</v>
      </c>
      <c r="B66" s="3484" t="s">
        <v>3376</v>
      </c>
      <c r="C66" s="3484" t="s">
        <v>3766</v>
      </c>
      <c r="D66" s="3484" t="s">
        <v>3487</v>
      </c>
      <c r="E66" s="3484">
        <v>13326.99</v>
      </c>
      <c r="F66" s="3484">
        <v>46644</v>
      </c>
      <c r="G66" s="3484">
        <v>3.5</v>
      </c>
      <c r="H66" s="3484" t="s">
        <v>3488</v>
      </c>
      <c r="I66" s="3484" t="s">
        <v>3573</v>
      </c>
      <c r="J66" s="3484" t="s">
        <v>3490</v>
      </c>
      <c r="K66" s="3484" t="s">
        <v>3491</v>
      </c>
      <c r="L66" s="3484" t="s">
        <v>3492</v>
      </c>
      <c r="M66" s="3485">
        <v>42523.000497685185</v>
      </c>
      <c r="N66" s="3484" t="s">
        <v>3493</v>
      </c>
      <c r="O66" s="3484" t="s">
        <v>3767</v>
      </c>
      <c r="P66" s="3484" t="s">
        <v>3636</v>
      </c>
      <c r="Q66" s="3484">
        <v>141000</v>
      </c>
      <c r="R66" s="3484">
        <v>7053.36</v>
      </c>
      <c r="S66" s="3484">
        <v>30229</v>
      </c>
      <c r="T66" s="3484">
        <v>107.35</v>
      </c>
      <c r="U66" s="3484" t="s">
        <v>3511</v>
      </c>
      <c r="V66" s="3484" t="s">
        <v>3491</v>
      </c>
      <c r="W66" s="3484" t="s">
        <v>3491</v>
      </c>
    </row>
    <row r="67" spans="1:23" hidden="1">
      <c r="A67" s="3484" t="s">
        <v>3768</v>
      </c>
      <c r="B67" s="3484" t="s">
        <v>3376</v>
      </c>
      <c r="C67" s="3484" t="s">
        <v>3769</v>
      </c>
      <c r="D67" s="3484" t="s">
        <v>3487</v>
      </c>
      <c r="E67" s="3484">
        <v>33619.79</v>
      </c>
      <c r="F67" s="3484">
        <v>134479</v>
      </c>
      <c r="G67" s="3484">
        <v>4</v>
      </c>
      <c r="H67" s="3484" t="s">
        <v>3488</v>
      </c>
      <c r="I67" s="3484" t="s">
        <v>3503</v>
      </c>
      <c r="J67" s="3484" t="s">
        <v>3490</v>
      </c>
      <c r="K67" s="3484" t="s">
        <v>3491</v>
      </c>
      <c r="L67" s="3484" t="s">
        <v>3492</v>
      </c>
      <c r="M67" s="3485">
        <v>42495.000497685185</v>
      </c>
      <c r="N67" s="3484" t="s">
        <v>3493</v>
      </c>
      <c r="O67" s="3484" t="s">
        <v>3770</v>
      </c>
      <c r="P67" s="3484" t="s">
        <v>3771</v>
      </c>
      <c r="Q67" s="3484">
        <v>334000</v>
      </c>
      <c r="R67" s="3484">
        <v>6623.08</v>
      </c>
      <c r="S67" s="3484">
        <v>24837</v>
      </c>
      <c r="T67" s="3484">
        <v>118.3</v>
      </c>
      <c r="U67" s="3484" t="s">
        <v>3511</v>
      </c>
      <c r="V67" s="3484" t="s">
        <v>3491</v>
      </c>
      <c r="W67" s="3484" t="s">
        <v>3491</v>
      </c>
    </row>
    <row r="68" spans="1:23" hidden="1">
      <c r="A68" s="3484" t="s">
        <v>3772</v>
      </c>
      <c r="B68" s="3484" t="s">
        <v>3376</v>
      </c>
      <c r="C68" s="3484" t="s">
        <v>3773</v>
      </c>
      <c r="D68" s="3484" t="s">
        <v>3487</v>
      </c>
      <c r="E68" s="3484">
        <v>71916.58</v>
      </c>
      <c r="F68" s="3484">
        <v>107875</v>
      </c>
      <c r="G68" s="3484">
        <v>1.5</v>
      </c>
      <c r="H68" s="3484" t="s">
        <v>3488</v>
      </c>
      <c r="I68" s="3484" t="s">
        <v>3489</v>
      </c>
      <c r="J68" s="3484" t="s">
        <v>3490</v>
      </c>
      <c r="K68" s="3484" t="s">
        <v>3491</v>
      </c>
      <c r="L68" s="3484" t="s">
        <v>3492</v>
      </c>
      <c r="M68" s="3485">
        <v>42426.000497685185</v>
      </c>
      <c r="N68" s="3484" t="s">
        <v>3493</v>
      </c>
      <c r="O68" s="3484" t="s">
        <v>3774</v>
      </c>
      <c r="P68" s="3484" t="s">
        <v>3775</v>
      </c>
      <c r="Q68" s="3484">
        <v>181000</v>
      </c>
      <c r="R68" s="3484">
        <v>1677.87</v>
      </c>
      <c r="S68" s="3484">
        <v>16779</v>
      </c>
      <c r="T68" s="3484">
        <v>101.11</v>
      </c>
      <c r="U68" s="3484" t="s">
        <v>3511</v>
      </c>
      <c r="V68" s="3484" t="s">
        <v>3491</v>
      </c>
      <c r="W68" s="3484" t="s">
        <v>3491</v>
      </c>
    </row>
    <row r="69" spans="1:23" hidden="1">
      <c r="A69" s="3484" t="s">
        <v>3776</v>
      </c>
      <c r="B69" s="3484" t="s">
        <v>3376</v>
      </c>
      <c r="C69" s="3484" t="s">
        <v>3777</v>
      </c>
      <c r="D69" s="3484" t="s">
        <v>3487</v>
      </c>
      <c r="E69" s="3484">
        <v>47919.26</v>
      </c>
      <c r="F69" s="3484">
        <v>143758</v>
      </c>
      <c r="G69" s="3484">
        <v>3</v>
      </c>
      <c r="H69" s="3484" t="s">
        <v>3488</v>
      </c>
      <c r="I69" s="3484" t="s">
        <v>3489</v>
      </c>
      <c r="J69" s="3484" t="s">
        <v>3490</v>
      </c>
      <c r="K69" s="3484" t="s">
        <v>3491</v>
      </c>
      <c r="L69" s="3484" t="s">
        <v>3492</v>
      </c>
      <c r="M69" s="3485">
        <v>42423.000497685185</v>
      </c>
      <c r="N69" s="3484" t="s">
        <v>3493</v>
      </c>
      <c r="O69" s="3484" t="s">
        <v>3774</v>
      </c>
      <c r="P69" s="3484" t="s">
        <v>3775</v>
      </c>
      <c r="Q69" s="3484">
        <v>130000</v>
      </c>
      <c r="R69" s="3484">
        <v>1808.6</v>
      </c>
      <c r="S69" s="3484">
        <v>9043</v>
      </c>
      <c r="T69" s="3484">
        <v>8.33</v>
      </c>
      <c r="U69" s="3484" t="s">
        <v>3511</v>
      </c>
      <c r="V69" s="3484" t="s">
        <v>3491</v>
      </c>
      <c r="W69" s="3484" t="s">
        <v>3491</v>
      </c>
    </row>
    <row r="70" spans="1:23" hidden="1">
      <c r="A70" s="3484" t="s">
        <v>3778</v>
      </c>
      <c r="B70" s="3484" t="s">
        <v>3376</v>
      </c>
      <c r="C70" s="3484" t="s">
        <v>3779</v>
      </c>
      <c r="D70" s="3484" t="s">
        <v>3487</v>
      </c>
      <c r="E70" s="3484">
        <v>18313.7</v>
      </c>
      <c r="F70" s="3484">
        <v>119400</v>
      </c>
      <c r="G70" s="3484">
        <v>6.52</v>
      </c>
      <c r="H70" s="3484" t="s">
        <v>3623</v>
      </c>
      <c r="I70" s="3484" t="s">
        <v>3503</v>
      </c>
      <c r="J70" s="3484" t="s">
        <v>3490</v>
      </c>
      <c r="K70" s="3484" t="s">
        <v>3491</v>
      </c>
      <c r="L70" s="3484" t="s">
        <v>3492</v>
      </c>
      <c r="M70" s="3485">
        <v>42395.000497685185</v>
      </c>
      <c r="N70" s="3484" t="s">
        <v>3493</v>
      </c>
      <c r="O70" s="3484" t="s">
        <v>3780</v>
      </c>
      <c r="P70" s="3484" t="s">
        <v>3720</v>
      </c>
      <c r="Q70" s="3484">
        <v>415000</v>
      </c>
      <c r="R70" s="3484">
        <v>15107.09</v>
      </c>
      <c r="S70" s="3484">
        <v>34757</v>
      </c>
      <c r="T70" s="3484">
        <v>0</v>
      </c>
      <c r="U70" s="3484" t="s">
        <v>3511</v>
      </c>
      <c r="V70" s="3484" t="s">
        <v>3491</v>
      </c>
      <c r="W70" s="3484" t="s">
        <v>3491</v>
      </c>
    </row>
    <row r="71" spans="1:23" hidden="1">
      <c r="A71" s="3484" t="s">
        <v>3781</v>
      </c>
      <c r="B71" s="3484" t="s">
        <v>3376</v>
      </c>
      <c r="C71" s="3484" t="s">
        <v>3782</v>
      </c>
      <c r="D71" s="3484" t="s">
        <v>3487</v>
      </c>
      <c r="E71" s="3484">
        <v>49477.2</v>
      </c>
      <c r="F71" s="3484">
        <v>123693</v>
      </c>
      <c r="G71" s="3484">
        <v>2.5</v>
      </c>
      <c r="H71" s="3484" t="s">
        <v>3488</v>
      </c>
      <c r="I71" s="3484" t="s">
        <v>3489</v>
      </c>
      <c r="J71" s="3484" t="s">
        <v>3490</v>
      </c>
      <c r="K71" s="3484" t="s">
        <v>3491</v>
      </c>
      <c r="L71" s="3484" t="s">
        <v>3492</v>
      </c>
      <c r="M71" s="3485">
        <v>42396.000497685185</v>
      </c>
      <c r="N71" s="3484" t="s">
        <v>3493</v>
      </c>
      <c r="O71" s="3484" t="s">
        <v>3783</v>
      </c>
      <c r="P71" s="3484" t="s">
        <v>3784</v>
      </c>
      <c r="Q71" s="3484">
        <v>187500</v>
      </c>
      <c r="R71" s="3484">
        <v>2526.42</v>
      </c>
      <c r="S71" s="3484">
        <v>15159</v>
      </c>
      <c r="T71" s="3484">
        <v>152.36000000000001</v>
      </c>
      <c r="U71" s="3484" t="s">
        <v>3511</v>
      </c>
      <c r="V71" s="3484" t="s">
        <v>3491</v>
      </c>
      <c r="W71" s="3484" t="s">
        <v>3491</v>
      </c>
    </row>
    <row r="72" spans="1:23" hidden="1">
      <c r="A72" s="3484" t="s">
        <v>3785</v>
      </c>
      <c r="B72" s="3484" t="s">
        <v>3376</v>
      </c>
      <c r="C72" s="3484" t="s">
        <v>3786</v>
      </c>
      <c r="D72" s="3484" t="s">
        <v>3487</v>
      </c>
      <c r="E72" s="3484">
        <v>61900.3</v>
      </c>
      <c r="F72" s="3484">
        <v>111421</v>
      </c>
      <c r="G72" s="3484">
        <v>1.8</v>
      </c>
      <c r="H72" s="3484" t="s">
        <v>3488</v>
      </c>
      <c r="I72" s="3484" t="s">
        <v>3489</v>
      </c>
      <c r="J72" s="3484" t="s">
        <v>3490</v>
      </c>
      <c r="K72" s="3484" t="s">
        <v>3491</v>
      </c>
      <c r="L72" s="3484" t="s">
        <v>3492</v>
      </c>
      <c r="M72" s="3485">
        <v>42361.000497685185</v>
      </c>
      <c r="N72" s="3484" t="s">
        <v>3493</v>
      </c>
      <c r="O72" s="3484" t="s">
        <v>3774</v>
      </c>
      <c r="P72" s="3484" t="s">
        <v>3775</v>
      </c>
      <c r="Q72" s="3484">
        <v>197000</v>
      </c>
      <c r="R72" s="3484">
        <v>2121.69</v>
      </c>
      <c r="S72" s="3484">
        <v>17681</v>
      </c>
      <c r="T72" s="3484">
        <v>120.11</v>
      </c>
      <c r="U72" s="3484" t="s">
        <v>3511</v>
      </c>
      <c r="V72" s="3484" t="s">
        <v>3491</v>
      </c>
      <c r="W72" s="3484" t="s">
        <v>3491</v>
      </c>
    </row>
    <row r="73" spans="1:23" hidden="1">
      <c r="A73" s="3484" t="s">
        <v>3787</v>
      </c>
      <c r="B73" s="3484" t="s">
        <v>3376</v>
      </c>
      <c r="C73" s="3484" t="s">
        <v>3788</v>
      </c>
      <c r="D73" s="3484" t="s">
        <v>3487</v>
      </c>
      <c r="E73" s="3484">
        <v>66594.820000000007</v>
      </c>
      <c r="F73" s="3484">
        <v>119871</v>
      </c>
      <c r="G73" s="3484">
        <v>1.8</v>
      </c>
      <c r="H73" s="3484" t="s">
        <v>3488</v>
      </c>
      <c r="I73" s="3484" t="s">
        <v>3489</v>
      </c>
      <c r="J73" s="3484" t="s">
        <v>3490</v>
      </c>
      <c r="K73" s="3484" t="s">
        <v>3491</v>
      </c>
      <c r="L73" s="3484" t="s">
        <v>3492</v>
      </c>
      <c r="M73" s="3485">
        <v>42361.000497685185</v>
      </c>
      <c r="N73" s="3484" t="s">
        <v>3493</v>
      </c>
      <c r="O73" s="3484" t="s">
        <v>3774</v>
      </c>
      <c r="P73" s="3484" t="s">
        <v>3775</v>
      </c>
      <c r="Q73" s="3484">
        <v>196000</v>
      </c>
      <c r="R73" s="3484">
        <v>1962.11</v>
      </c>
      <c r="S73" s="3484">
        <v>16351</v>
      </c>
      <c r="T73" s="3484">
        <v>104.17</v>
      </c>
      <c r="U73" s="3484" t="s">
        <v>3511</v>
      </c>
      <c r="V73" s="3484" t="s">
        <v>3491</v>
      </c>
      <c r="W73" s="3484" t="s">
        <v>3491</v>
      </c>
    </row>
    <row r="74" spans="1:23" hidden="1">
      <c r="A74" s="3484" t="s">
        <v>3789</v>
      </c>
      <c r="B74" s="3484" t="s">
        <v>3376</v>
      </c>
      <c r="C74" s="3484" t="s">
        <v>3790</v>
      </c>
      <c r="D74" s="3484" t="s">
        <v>3487</v>
      </c>
      <c r="E74" s="3484">
        <v>35244.94</v>
      </c>
      <c r="F74" s="3484">
        <v>123357</v>
      </c>
      <c r="G74" s="3484">
        <v>3.5</v>
      </c>
      <c r="H74" s="3484" t="s">
        <v>3488</v>
      </c>
      <c r="I74" s="3484" t="s">
        <v>3503</v>
      </c>
      <c r="J74" s="3484" t="s">
        <v>3490</v>
      </c>
      <c r="K74" s="3484" t="s">
        <v>3491</v>
      </c>
      <c r="L74" s="3484" t="s">
        <v>3492</v>
      </c>
      <c r="M74" s="3485">
        <v>42331.000497685185</v>
      </c>
      <c r="N74" s="3484" t="s">
        <v>3493</v>
      </c>
      <c r="O74" s="3484" t="s">
        <v>3791</v>
      </c>
      <c r="P74" s="3484" t="s">
        <v>3792</v>
      </c>
      <c r="Q74" s="3484">
        <v>354000</v>
      </c>
      <c r="R74" s="3484">
        <v>6696</v>
      </c>
      <c r="S74" s="3484">
        <v>28697</v>
      </c>
      <c r="T74" s="3484">
        <v>121.25</v>
      </c>
      <c r="U74" s="3484" t="s">
        <v>3511</v>
      </c>
      <c r="V74" s="3484" t="s">
        <v>3491</v>
      </c>
      <c r="W74" s="3484" t="s">
        <v>3491</v>
      </c>
    </row>
    <row r="75" spans="1:23" hidden="1">
      <c r="A75" s="3484" t="s">
        <v>3793</v>
      </c>
      <c r="B75" s="3484" t="s">
        <v>3376</v>
      </c>
      <c r="C75" s="3484" t="s">
        <v>3794</v>
      </c>
      <c r="D75" s="3484" t="s">
        <v>3487</v>
      </c>
      <c r="E75" s="3484">
        <v>74500</v>
      </c>
      <c r="F75" s="3484">
        <v>475640</v>
      </c>
      <c r="G75" s="3484">
        <v>6.38</v>
      </c>
      <c r="H75" s="3484" t="s">
        <v>3488</v>
      </c>
      <c r="I75" s="3484" t="s">
        <v>3503</v>
      </c>
      <c r="J75" s="3484" t="s">
        <v>3490</v>
      </c>
      <c r="K75" s="3484" t="s">
        <v>3491</v>
      </c>
      <c r="L75" s="3484" t="s">
        <v>3492</v>
      </c>
      <c r="M75" s="3485">
        <v>42327.000497685185</v>
      </c>
      <c r="N75" s="3484" t="s">
        <v>3493</v>
      </c>
      <c r="O75" s="3484" t="s">
        <v>3795</v>
      </c>
      <c r="P75" s="3484" t="s">
        <v>3796</v>
      </c>
      <c r="Q75" s="3484">
        <v>420000</v>
      </c>
      <c r="R75" s="3484">
        <v>3758.39</v>
      </c>
      <c r="S75" s="3484">
        <v>8830</v>
      </c>
      <c r="T75" s="3484">
        <v>0</v>
      </c>
      <c r="U75" s="3484" t="s">
        <v>3511</v>
      </c>
      <c r="V75" s="3484" t="s">
        <v>3491</v>
      </c>
      <c r="W75" s="3484" t="s">
        <v>3491</v>
      </c>
    </row>
    <row r="76" spans="1:23" hidden="1">
      <c r="A76" s="3484" t="s">
        <v>3797</v>
      </c>
      <c r="B76" s="3484" t="s">
        <v>3376</v>
      </c>
      <c r="C76" s="3484" t="s">
        <v>3798</v>
      </c>
      <c r="D76" s="3484" t="s">
        <v>3487</v>
      </c>
      <c r="E76" s="3484">
        <v>17629.740000000002</v>
      </c>
      <c r="F76" s="3484">
        <v>52889</v>
      </c>
      <c r="G76" s="3484">
        <v>3</v>
      </c>
      <c r="H76" s="3484" t="s">
        <v>3488</v>
      </c>
      <c r="I76" s="3484" t="s">
        <v>3573</v>
      </c>
      <c r="J76" s="3484" t="s">
        <v>3490</v>
      </c>
      <c r="K76" s="3484" t="s">
        <v>3491</v>
      </c>
      <c r="L76" s="3484" t="s">
        <v>3492</v>
      </c>
      <c r="M76" s="3485">
        <v>42305.000497685185</v>
      </c>
      <c r="N76" s="3484" t="s">
        <v>3493</v>
      </c>
      <c r="O76" s="3484" t="s">
        <v>3799</v>
      </c>
      <c r="P76" s="3484" t="s">
        <v>3800</v>
      </c>
      <c r="Q76" s="3484">
        <v>64200</v>
      </c>
      <c r="R76" s="3484">
        <v>2427.7199999999998</v>
      </c>
      <c r="S76" s="3484">
        <v>12139</v>
      </c>
      <c r="T76" s="3484">
        <v>1.1000000000000001</v>
      </c>
      <c r="U76" s="3484" t="s">
        <v>3511</v>
      </c>
      <c r="V76" s="3484" t="s">
        <v>3491</v>
      </c>
      <c r="W76" s="3484" t="s">
        <v>3491</v>
      </c>
    </row>
    <row r="77" spans="1:23" hidden="1">
      <c r="A77" s="3484" t="s">
        <v>3801</v>
      </c>
      <c r="B77" s="3484" t="s">
        <v>3376</v>
      </c>
      <c r="C77" s="3484" t="s">
        <v>3802</v>
      </c>
      <c r="D77" s="3484" t="s">
        <v>3487</v>
      </c>
      <c r="E77" s="3484">
        <v>20680.23</v>
      </c>
      <c r="F77" s="3484">
        <v>62041</v>
      </c>
      <c r="G77" s="3484">
        <v>3</v>
      </c>
      <c r="H77" s="3484" t="s">
        <v>3488</v>
      </c>
      <c r="I77" s="3484" t="s">
        <v>3803</v>
      </c>
      <c r="J77" s="3484" t="s">
        <v>3490</v>
      </c>
      <c r="K77" s="3484" t="s">
        <v>3491</v>
      </c>
      <c r="L77" s="3484" t="s">
        <v>3492</v>
      </c>
      <c r="M77" s="3485">
        <v>42304.000497685185</v>
      </c>
      <c r="N77" s="3484" t="s">
        <v>3493</v>
      </c>
      <c r="O77" s="3484" t="s">
        <v>3804</v>
      </c>
      <c r="P77" s="3484" t="s">
        <v>3800</v>
      </c>
      <c r="Q77" s="3484">
        <v>81000</v>
      </c>
      <c r="R77" s="3484">
        <v>2611.19</v>
      </c>
      <c r="S77" s="3484">
        <v>13056</v>
      </c>
      <c r="T77" s="3484">
        <v>8</v>
      </c>
      <c r="U77" s="3484" t="s">
        <v>3511</v>
      </c>
      <c r="V77" s="3484" t="s">
        <v>3491</v>
      </c>
      <c r="W77" s="3484" t="s">
        <v>3491</v>
      </c>
    </row>
    <row r="78" spans="1:23" hidden="1">
      <c r="A78" s="3484" t="s">
        <v>3805</v>
      </c>
      <c r="B78" s="3484" t="s">
        <v>3376</v>
      </c>
      <c r="C78" s="3484" t="s">
        <v>3806</v>
      </c>
      <c r="D78" s="3484" t="s">
        <v>3487</v>
      </c>
      <c r="E78" s="3484">
        <v>27377.24</v>
      </c>
      <c r="F78" s="3484">
        <v>62968</v>
      </c>
      <c r="G78" s="3484">
        <v>2.2999999999999998</v>
      </c>
      <c r="H78" s="3484" t="s">
        <v>3488</v>
      </c>
      <c r="I78" s="3484" t="s">
        <v>3677</v>
      </c>
      <c r="J78" s="3484" t="s">
        <v>3490</v>
      </c>
      <c r="K78" s="3484" t="s">
        <v>3491</v>
      </c>
      <c r="L78" s="3484" t="s">
        <v>3492</v>
      </c>
      <c r="M78" s="3485">
        <v>42304.000497685185</v>
      </c>
      <c r="N78" s="3484" t="s">
        <v>3493</v>
      </c>
      <c r="O78" s="3484" t="s">
        <v>3747</v>
      </c>
      <c r="P78" s="3484" t="s">
        <v>3492</v>
      </c>
      <c r="Q78" s="3484">
        <v>65000</v>
      </c>
      <c r="R78" s="3484">
        <v>1582.82</v>
      </c>
      <c r="S78" s="3484">
        <v>10323</v>
      </c>
      <c r="T78" s="3484">
        <v>0</v>
      </c>
      <c r="U78" s="3484" t="s">
        <v>3680</v>
      </c>
      <c r="V78" s="3484" t="s">
        <v>3491</v>
      </c>
      <c r="W78" s="3484" t="s">
        <v>3491</v>
      </c>
    </row>
    <row r="79" spans="1:23" s="3488" customFormat="1">
      <c r="A79" s="3488" t="s">
        <v>3807</v>
      </c>
      <c r="B79" s="3488" t="s">
        <v>3376</v>
      </c>
      <c r="C79" s="3488" t="s">
        <v>3808</v>
      </c>
      <c r="D79" s="3488" t="s">
        <v>3487</v>
      </c>
      <c r="E79" s="3488">
        <v>14788.3</v>
      </c>
      <c r="F79" s="3488">
        <v>59153</v>
      </c>
      <c r="G79" s="3488">
        <v>4</v>
      </c>
      <c r="H79" s="3488" t="s">
        <v>3488</v>
      </c>
      <c r="I79" s="3488" t="s">
        <v>3503</v>
      </c>
      <c r="J79" s="3488" t="s">
        <v>3490</v>
      </c>
      <c r="K79" s="3488" t="s">
        <v>3491</v>
      </c>
      <c r="L79" s="3488" t="s">
        <v>3492</v>
      </c>
      <c r="M79" s="3489">
        <v>42298.000497685185</v>
      </c>
      <c r="N79" s="3488" t="s">
        <v>3493</v>
      </c>
      <c r="O79" s="3488" t="s">
        <v>3809</v>
      </c>
      <c r="P79" s="3488" t="s">
        <v>3810</v>
      </c>
      <c r="Q79" s="3488">
        <v>176000</v>
      </c>
      <c r="R79" s="3488">
        <v>7934.2</v>
      </c>
      <c r="S79" s="3488">
        <v>29753</v>
      </c>
      <c r="T79" s="3488">
        <v>146.15</v>
      </c>
      <c r="U79" s="3488" t="s">
        <v>3511</v>
      </c>
      <c r="V79" s="3488" t="s">
        <v>3491</v>
      </c>
      <c r="W79" s="3488" t="s">
        <v>3491</v>
      </c>
    </row>
    <row r="80" spans="1:23" hidden="1">
      <c r="A80" s="3484" t="s">
        <v>3811</v>
      </c>
      <c r="B80" s="3484" t="s">
        <v>3376</v>
      </c>
      <c r="C80" s="3484" t="s">
        <v>3812</v>
      </c>
      <c r="D80" s="3484" t="s">
        <v>3487</v>
      </c>
      <c r="E80" s="3484">
        <v>29500</v>
      </c>
      <c r="F80" s="3484">
        <v>118000</v>
      </c>
      <c r="G80" s="3484">
        <v>4</v>
      </c>
      <c r="H80" s="3484" t="s">
        <v>3488</v>
      </c>
      <c r="I80" s="3484" t="s">
        <v>3503</v>
      </c>
      <c r="J80" s="3484" t="s">
        <v>3490</v>
      </c>
      <c r="K80" s="3484" t="s">
        <v>3491</v>
      </c>
      <c r="L80" s="3484" t="s">
        <v>3492</v>
      </c>
      <c r="M80" s="3485">
        <v>42298.000497685185</v>
      </c>
      <c r="N80" s="3484" t="s">
        <v>3493</v>
      </c>
      <c r="O80" s="3484" t="s">
        <v>3809</v>
      </c>
      <c r="P80" s="3484" t="s">
        <v>3810</v>
      </c>
      <c r="Q80" s="3484">
        <v>342000</v>
      </c>
      <c r="R80" s="3484">
        <v>7728.81</v>
      </c>
      <c r="S80" s="3484">
        <v>28983</v>
      </c>
      <c r="T80" s="3484">
        <v>140.85</v>
      </c>
      <c r="U80" s="3484" t="s">
        <v>3511</v>
      </c>
      <c r="V80" s="3484" t="s">
        <v>3491</v>
      </c>
      <c r="W80" s="3484" t="s">
        <v>3491</v>
      </c>
    </row>
    <row r="81" spans="1:23" hidden="1">
      <c r="A81" s="3484" t="s">
        <v>3813</v>
      </c>
      <c r="B81" s="3484" t="s">
        <v>3376</v>
      </c>
      <c r="C81" s="3484" t="s">
        <v>3814</v>
      </c>
      <c r="D81" s="3484" t="s">
        <v>3487</v>
      </c>
      <c r="E81" s="3484">
        <v>15089.35</v>
      </c>
      <c r="F81" s="3484">
        <v>60357</v>
      </c>
      <c r="G81" s="3484">
        <v>4</v>
      </c>
      <c r="H81" s="3484" t="s">
        <v>3488</v>
      </c>
      <c r="I81" s="3484" t="s">
        <v>3503</v>
      </c>
      <c r="J81" s="3484" t="s">
        <v>3490</v>
      </c>
      <c r="K81" s="3484" t="s">
        <v>3491</v>
      </c>
      <c r="L81" s="3484" t="s">
        <v>3492</v>
      </c>
      <c r="M81" s="3485">
        <v>42297.000497685185</v>
      </c>
      <c r="N81" s="3484" t="s">
        <v>3493</v>
      </c>
      <c r="O81" s="3484" t="s">
        <v>3815</v>
      </c>
      <c r="P81" s="3484" t="s">
        <v>3816</v>
      </c>
      <c r="Q81" s="3484">
        <v>110000</v>
      </c>
      <c r="R81" s="3484">
        <v>4859.9399999999996</v>
      </c>
      <c r="S81" s="3484">
        <v>18225</v>
      </c>
      <c r="T81" s="3484">
        <v>54.93</v>
      </c>
      <c r="U81" s="3484" t="s">
        <v>3511</v>
      </c>
      <c r="V81" s="3484" t="s">
        <v>3491</v>
      </c>
      <c r="W81" s="3484" t="s">
        <v>3491</v>
      </c>
    </row>
    <row r="82" spans="1:23" hidden="1">
      <c r="A82" s="3484" t="s">
        <v>3817</v>
      </c>
      <c r="B82" s="3484" t="s">
        <v>3376</v>
      </c>
      <c r="C82" s="3484" t="s">
        <v>3818</v>
      </c>
      <c r="D82" s="3484" t="s">
        <v>3487</v>
      </c>
      <c r="E82" s="3484">
        <v>166012.29999999999</v>
      </c>
      <c r="F82" s="3484">
        <v>332025</v>
      </c>
      <c r="G82" s="3484">
        <v>2</v>
      </c>
      <c r="H82" s="3484" t="s">
        <v>3488</v>
      </c>
      <c r="I82" s="3484" t="s">
        <v>3589</v>
      </c>
      <c r="J82" s="3484" t="s">
        <v>3490</v>
      </c>
      <c r="K82" s="3484" t="s">
        <v>3491</v>
      </c>
      <c r="L82" s="3484" t="s">
        <v>3492</v>
      </c>
      <c r="M82" s="3485">
        <v>42258.000497685185</v>
      </c>
      <c r="N82" s="3484" t="s">
        <v>3493</v>
      </c>
      <c r="O82" s="3484" t="s">
        <v>3819</v>
      </c>
      <c r="P82" s="3484" t="s">
        <v>3492</v>
      </c>
      <c r="Q82" s="3484">
        <v>240045</v>
      </c>
      <c r="R82" s="3484">
        <v>963.96</v>
      </c>
      <c r="S82" s="3484">
        <v>7230</v>
      </c>
      <c r="T82" s="3484">
        <v>0</v>
      </c>
      <c r="U82" s="3484" t="s">
        <v>3511</v>
      </c>
      <c r="V82" s="3484" t="s">
        <v>3491</v>
      </c>
      <c r="W82" s="3484" t="s">
        <v>3491</v>
      </c>
    </row>
    <row r="83" spans="1:23" hidden="1">
      <c r="A83" s="3484" t="s">
        <v>3820</v>
      </c>
      <c r="B83" s="3484" t="s">
        <v>3376</v>
      </c>
      <c r="C83" s="3484" t="s">
        <v>3821</v>
      </c>
      <c r="D83" s="3484" t="s">
        <v>3487</v>
      </c>
      <c r="E83" s="3484">
        <v>27500</v>
      </c>
      <c r="F83" s="3484">
        <v>110000</v>
      </c>
      <c r="G83" s="3484">
        <v>4</v>
      </c>
      <c r="H83" s="3484" t="s">
        <v>3488</v>
      </c>
      <c r="I83" s="3484" t="s">
        <v>3503</v>
      </c>
      <c r="J83" s="3484" t="s">
        <v>3490</v>
      </c>
      <c r="K83" s="3484" t="s">
        <v>3491</v>
      </c>
      <c r="L83" s="3484" t="s">
        <v>3492</v>
      </c>
      <c r="M83" s="3485">
        <v>42200.000497685185</v>
      </c>
      <c r="N83" s="3484" t="s">
        <v>3493</v>
      </c>
      <c r="O83" s="3484" t="s">
        <v>3822</v>
      </c>
      <c r="P83" s="3484" t="s">
        <v>3674</v>
      </c>
      <c r="Q83" s="3484">
        <v>176000</v>
      </c>
      <c r="R83" s="3484">
        <v>4266.67</v>
      </c>
      <c r="S83" s="3484">
        <v>16000</v>
      </c>
      <c r="T83" s="3484">
        <v>36.43</v>
      </c>
      <c r="U83" s="3484" t="s">
        <v>3823</v>
      </c>
      <c r="V83" s="3484" t="s">
        <v>3491</v>
      </c>
      <c r="W83" s="3484" t="s">
        <v>3491</v>
      </c>
    </row>
    <row r="84" spans="1:23" hidden="1">
      <c r="A84" s="3484" t="s">
        <v>3824</v>
      </c>
      <c r="B84" s="3484" t="s">
        <v>3376</v>
      </c>
      <c r="C84" s="3484" t="s">
        <v>3825</v>
      </c>
      <c r="D84" s="3484" t="s">
        <v>3487</v>
      </c>
      <c r="E84" s="3484">
        <v>24464</v>
      </c>
      <c r="F84" s="3484">
        <v>48928</v>
      </c>
      <c r="G84" s="3484">
        <v>2</v>
      </c>
      <c r="H84" s="3484" t="s">
        <v>3488</v>
      </c>
      <c r="I84" s="3484" t="s">
        <v>3503</v>
      </c>
      <c r="J84" s="3484" t="s">
        <v>3490</v>
      </c>
      <c r="K84" s="3484" t="s">
        <v>3491</v>
      </c>
      <c r="L84" s="3484" t="s">
        <v>3492</v>
      </c>
      <c r="M84" s="3485">
        <v>42186.000497685185</v>
      </c>
      <c r="N84" s="3484" t="s">
        <v>3493</v>
      </c>
      <c r="O84" s="3484" t="s">
        <v>3826</v>
      </c>
      <c r="P84" s="3484" t="s">
        <v>3492</v>
      </c>
      <c r="Q84" s="3484">
        <v>46800</v>
      </c>
      <c r="R84" s="3484">
        <v>1275.3399999999999</v>
      </c>
      <c r="S84" s="3484">
        <v>9565</v>
      </c>
      <c r="T84" s="3484">
        <v>65.959999999999994</v>
      </c>
      <c r="U84" s="3484" t="s">
        <v>3511</v>
      </c>
      <c r="V84" s="3484" t="s">
        <v>3491</v>
      </c>
      <c r="W84" s="3484" t="s">
        <v>3491</v>
      </c>
    </row>
    <row r="85" spans="1:23" hidden="1">
      <c r="A85" s="3484" t="s">
        <v>3827</v>
      </c>
      <c r="B85" s="3484" t="s">
        <v>3376</v>
      </c>
      <c r="C85" s="3484" t="s">
        <v>3828</v>
      </c>
      <c r="D85" s="3484" t="s">
        <v>3487</v>
      </c>
      <c r="E85" s="3484">
        <v>38024.39</v>
      </c>
      <c r="F85" s="3484">
        <v>106468</v>
      </c>
      <c r="G85" s="3484">
        <v>2.8</v>
      </c>
      <c r="H85" s="3484" t="s">
        <v>3488</v>
      </c>
      <c r="I85" s="3484" t="s">
        <v>3829</v>
      </c>
      <c r="J85" s="3484" t="s">
        <v>3490</v>
      </c>
      <c r="K85" s="3484" t="s">
        <v>3491</v>
      </c>
      <c r="L85" s="3484" t="s">
        <v>3492</v>
      </c>
      <c r="M85" s="3485">
        <v>42185.000497685185</v>
      </c>
      <c r="N85" s="3484" t="s">
        <v>3493</v>
      </c>
      <c r="O85" s="3484" t="s">
        <v>3830</v>
      </c>
      <c r="P85" s="3484" t="s">
        <v>3492</v>
      </c>
      <c r="Q85" s="3484">
        <v>97000</v>
      </c>
      <c r="R85" s="3484">
        <v>1700.66</v>
      </c>
      <c r="S85" s="3484">
        <v>9111</v>
      </c>
      <c r="T85" s="3484">
        <v>11.49</v>
      </c>
      <c r="U85" s="3484" t="s">
        <v>3511</v>
      </c>
      <c r="V85" s="3484" t="s">
        <v>3491</v>
      </c>
      <c r="W85" s="3484" t="s">
        <v>3491</v>
      </c>
    </row>
    <row r="86" spans="1:23" hidden="1">
      <c r="A86" s="3484" t="s">
        <v>3831</v>
      </c>
      <c r="B86" s="3484" t="s">
        <v>3376</v>
      </c>
      <c r="C86" s="3484" t="s">
        <v>3832</v>
      </c>
      <c r="D86" s="3484" t="s">
        <v>3487</v>
      </c>
      <c r="E86" s="3484">
        <v>13920.77</v>
      </c>
      <c r="F86" s="3484">
        <v>16705</v>
      </c>
      <c r="G86" s="3484">
        <v>1.2</v>
      </c>
      <c r="H86" s="3484" t="s">
        <v>3488</v>
      </c>
      <c r="I86" s="3484" t="s">
        <v>3503</v>
      </c>
      <c r="J86" s="3484" t="s">
        <v>3490</v>
      </c>
      <c r="K86" s="3484" t="s">
        <v>3491</v>
      </c>
      <c r="L86" s="3484" t="s">
        <v>3492</v>
      </c>
      <c r="M86" s="3485">
        <v>42181.000497685185</v>
      </c>
      <c r="N86" s="3484" t="s">
        <v>3493</v>
      </c>
      <c r="O86" s="3484" t="s">
        <v>3833</v>
      </c>
      <c r="P86" s="3484" t="s">
        <v>3492</v>
      </c>
      <c r="Q86" s="3484">
        <v>12200</v>
      </c>
      <c r="R86" s="3484">
        <v>584.26</v>
      </c>
      <c r="S86" s="3484">
        <v>7303</v>
      </c>
      <c r="T86" s="3484">
        <v>16.190000000000001</v>
      </c>
      <c r="U86" s="3484" t="s">
        <v>3511</v>
      </c>
      <c r="V86" s="3484" t="s">
        <v>3491</v>
      </c>
      <c r="W86" s="3484" t="s">
        <v>3491</v>
      </c>
    </row>
    <row r="87" spans="1:23" hidden="1">
      <c r="A87" s="3484" t="s">
        <v>3834</v>
      </c>
      <c r="B87" s="3484" t="s">
        <v>3376</v>
      </c>
      <c r="C87" s="3484" t="s">
        <v>3835</v>
      </c>
      <c r="D87" s="3484" t="s">
        <v>3487</v>
      </c>
      <c r="E87" s="3484">
        <v>35708.800000000003</v>
      </c>
      <c r="F87" s="3484">
        <v>336000</v>
      </c>
      <c r="G87" s="3484">
        <v>9.4</v>
      </c>
      <c r="H87" s="3484" t="s">
        <v>3488</v>
      </c>
      <c r="I87" s="3484" t="s">
        <v>3836</v>
      </c>
      <c r="J87" s="3484" t="s">
        <v>3490</v>
      </c>
      <c r="K87" s="3484" t="s">
        <v>3491</v>
      </c>
      <c r="L87" s="3484" t="s">
        <v>3492</v>
      </c>
      <c r="M87" s="3485">
        <v>42121.000497685185</v>
      </c>
      <c r="N87" s="3484" t="s">
        <v>3493</v>
      </c>
      <c r="O87" s="3484" t="s">
        <v>3837</v>
      </c>
      <c r="P87" s="3484" t="s">
        <v>3492</v>
      </c>
      <c r="Q87" s="3484">
        <v>504000</v>
      </c>
      <c r="R87" s="3484">
        <v>9409.4500000000007</v>
      </c>
      <c r="S87" s="3484">
        <v>15000</v>
      </c>
      <c r="T87" s="3484">
        <v>0</v>
      </c>
      <c r="U87" s="3484" t="s">
        <v>3823</v>
      </c>
      <c r="V87" s="3484" t="s">
        <v>3491</v>
      </c>
      <c r="W87" s="3484" t="s">
        <v>3491</v>
      </c>
    </row>
    <row r="88" spans="1:23" hidden="1">
      <c r="A88" s="3484" t="s">
        <v>3838</v>
      </c>
      <c r="B88" s="3484" t="s">
        <v>3376</v>
      </c>
      <c r="C88" s="3484" t="s">
        <v>3839</v>
      </c>
      <c r="D88" s="3484" t="s">
        <v>3487</v>
      </c>
      <c r="E88" s="3484">
        <v>65873.39</v>
      </c>
      <c r="F88" s="3484">
        <v>164683</v>
      </c>
      <c r="G88" s="3484">
        <v>2.5</v>
      </c>
      <c r="H88" s="3484" t="s">
        <v>3488</v>
      </c>
      <c r="I88" s="3484" t="s">
        <v>3829</v>
      </c>
      <c r="J88" s="3484" t="s">
        <v>3490</v>
      </c>
      <c r="K88" s="3484" t="s">
        <v>3491</v>
      </c>
      <c r="L88" s="3484" t="s">
        <v>3492</v>
      </c>
      <c r="M88" s="3485">
        <v>42087.000497685185</v>
      </c>
      <c r="N88" s="3484" t="s">
        <v>3493</v>
      </c>
      <c r="O88" s="3484" t="s">
        <v>3840</v>
      </c>
      <c r="P88" s="3484" t="s">
        <v>3492</v>
      </c>
      <c r="Q88" s="3484">
        <v>108000</v>
      </c>
      <c r="R88" s="3484">
        <v>1093.01</v>
      </c>
      <c r="S88" s="3484">
        <v>6558</v>
      </c>
      <c r="T88" s="3484">
        <v>38.46</v>
      </c>
      <c r="U88" s="3484" t="s">
        <v>3823</v>
      </c>
      <c r="V88" s="3484" t="s">
        <v>3491</v>
      </c>
      <c r="W88" s="3484" t="s">
        <v>3491</v>
      </c>
    </row>
    <row r="89" spans="1:23" hidden="1">
      <c r="A89" s="3484" t="s">
        <v>3841</v>
      </c>
      <c r="B89" s="3484" t="s">
        <v>3376</v>
      </c>
      <c r="C89" s="3484" t="s">
        <v>3842</v>
      </c>
      <c r="D89" s="3484" t="s">
        <v>3487</v>
      </c>
      <c r="E89" s="3484">
        <v>35418.839999999997</v>
      </c>
      <c r="F89" s="3484">
        <v>141675</v>
      </c>
      <c r="G89" s="3484">
        <v>4</v>
      </c>
      <c r="H89" s="3484" t="s">
        <v>3623</v>
      </c>
      <c r="I89" s="3484" t="s">
        <v>3836</v>
      </c>
      <c r="J89" s="3484" t="s">
        <v>3490</v>
      </c>
      <c r="K89" s="3484" t="s">
        <v>3491</v>
      </c>
      <c r="L89" s="3484" t="s">
        <v>3492</v>
      </c>
      <c r="M89" s="3485">
        <v>42044.000497685185</v>
      </c>
      <c r="N89" s="3484" t="s">
        <v>3493</v>
      </c>
      <c r="O89" s="3484" t="s">
        <v>3843</v>
      </c>
      <c r="P89" s="3484" t="s">
        <v>3844</v>
      </c>
      <c r="Q89" s="3484">
        <v>255015</v>
      </c>
      <c r="R89" s="3484">
        <v>4799.99</v>
      </c>
      <c r="S89" s="3484">
        <v>18000</v>
      </c>
      <c r="T89" s="3484">
        <v>0</v>
      </c>
      <c r="U89" s="3484" t="s">
        <v>3823</v>
      </c>
      <c r="V89" s="3484" t="s">
        <v>3491</v>
      </c>
      <c r="W89" s="3484" t="s">
        <v>3491</v>
      </c>
    </row>
    <row r="90" spans="1:23" hidden="1">
      <c r="A90" s="3484" t="s">
        <v>3845</v>
      </c>
      <c r="B90" s="3484" t="s">
        <v>3376</v>
      </c>
      <c r="C90" s="3484" t="s">
        <v>3846</v>
      </c>
      <c r="D90" s="3484" t="s">
        <v>3487</v>
      </c>
      <c r="E90" s="3484">
        <v>17277.400000000001</v>
      </c>
      <c r="F90" s="3484">
        <v>34555</v>
      </c>
      <c r="G90" s="3484">
        <v>2</v>
      </c>
      <c r="H90" s="3484" t="s">
        <v>3488</v>
      </c>
      <c r="I90" s="3484" t="s">
        <v>3489</v>
      </c>
      <c r="J90" s="3484" t="s">
        <v>3490</v>
      </c>
      <c r="K90" s="3484" t="s">
        <v>3491</v>
      </c>
      <c r="L90" s="3484" t="s">
        <v>3492</v>
      </c>
      <c r="M90" s="3485">
        <v>42047.000497685185</v>
      </c>
      <c r="N90" s="3484" t="s">
        <v>3493</v>
      </c>
      <c r="O90" s="3484" t="s">
        <v>3847</v>
      </c>
      <c r="P90" s="3484" t="s">
        <v>3771</v>
      </c>
      <c r="Q90" s="3484">
        <v>22000</v>
      </c>
      <c r="R90" s="3484">
        <v>848.89</v>
      </c>
      <c r="S90" s="3484">
        <v>6367</v>
      </c>
      <c r="T90" s="3484">
        <v>0</v>
      </c>
      <c r="U90" s="3484" t="s">
        <v>3823</v>
      </c>
      <c r="V90" s="3484" t="s">
        <v>3491</v>
      </c>
      <c r="W90" s="3484" t="s">
        <v>3491</v>
      </c>
    </row>
    <row r="91" spans="1:23" hidden="1">
      <c r="A91" s="3484" t="s">
        <v>3848</v>
      </c>
      <c r="B91" s="3484" t="s">
        <v>3376</v>
      </c>
      <c r="C91" s="3484" t="s">
        <v>3849</v>
      </c>
      <c r="D91" s="3484" t="s">
        <v>3487</v>
      </c>
      <c r="E91" s="3484">
        <v>88702.37</v>
      </c>
      <c r="F91" s="3484">
        <v>206707</v>
      </c>
      <c r="G91" s="3484">
        <v>2.33</v>
      </c>
      <c r="H91" s="3484" t="s">
        <v>3488</v>
      </c>
      <c r="I91" s="3484" t="s">
        <v>3850</v>
      </c>
      <c r="J91" s="3484" t="s">
        <v>3490</v>
      </c>
      <c r="K91" s="3484" t="s">
        <v>3491</v>
      </c>
      <c r="L91" s="3484" t="s">
        <v>3492</v>
      </c>
      <c r="M91" s="3485">
        <v>42047.000497685185</v>
      </c>
      <c r="N91" s="3484" t="s">
        <v>3493</v>
      </c>
      <c r="O91" s="3484" t="s">
        <v>3851</v>
      </c>
      <c r="P91" s="3484" t="s">
        <v>3852</v>
      </c>
      <c r="Q91" s="3484">
        <v>138000</v>
      </c>
      <c r="R91" s="3484">
        <v>1037.18</v>
      </c>
      <c r="S91" s="3484">
        <v>6676</v>
      </c>
      <c r="T91" s="3484">
        <v>2.6</v>
      </c>
      <c r="U91" s="3484" t="s">
        <v>3823</v>
      </c>
      <c r="V91" s="3484" t="s">
        <v>3491</v>
      </c>
      <c r="W91" s="3484" t="s">
        <v>3491</v>
      </c>
    </row>
    <row r="94" spans="1:23" ht="13.5">
      <c r="A94" s="3490" t="s">
        <v>3853</v>
      </c>
    </row>
  </sheetData>
  <phoneticPr fontId="134" type="noConversion"/>
  <hyperlinks>
    <hyperlink ref="A94"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0" sqref="I30"/>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1461</v>
      </c>
      <c r="B1" s="1466"/>
      <c r="C1" s="194"/>
      <c r="D1" s="194"/>
      <c r="E1" s="194"/>
      <c r="F1" s="194"/>
      <c r="G1" s="1122">
        <f>MATCH(B1,'数据-取费表'!A6:A16,0)+5</f>
        <v>8</v>
      </c>
    </row>
    <row r="2" spans="1:9" s="196" customFormat="1" ht="18" customHeight="1">
      <c r="A2" s="197" t="s">
        <v>1462</v>
      </c>
      <c r="B2" s="198">
        <f ca="1">IF(D2="——",C52,C52-E2)</f>
        <v>292116</v>
      </c>
      <c r="C2" s="195" t="s">
        <v>1463</v>
      </c>
      <c r="D2" s="1849" t="s">
        <v>43</v>
      </c>
      <c r="E2" s="1165" t="e">
        <f ca="1">SUMIF(INDIRECT("'"&amp;G2&amp;"'"&amp;"!A:A"),"承租人权益价值",INDIRECT("'"&amp;G2&amp;"'"&amp;"!c:c"))</f>
        <v>#REF!</v>
      </c>
      <c r="F2" s="1850" t="s">
        <v>1463</v>
      </c>
      <c r="G2" s="1851"/>
    </row>
    <row r="3" spans="1:9" s="196" customFormat="1" ht="18" customHeight="1" thickBot="1">
      <c r="A3" s="199" t="s">
        <v>1464</v>
      </c>
      <c r="B3" s="200">
        <f ca="1">ROUND(B2*10000/(IF(B1="",'数据-汇总表'!E3,INDIRECT("'数据-取费表'!k"&amp;$G$1))),0)</f>
        <v>28334</v>
      </c>
      <c r="C3" s="195" t="s">
        <v>1465</v>
      </c>
      <c r="D3" s="195"/>
      <c r="E3" s="195"/>
      <c r="F3" s="195"/>
      <c r="G3" s="195"/>
    </row>
    <row r="4" spans="1:9" s="204" customFormat="1" ht="15.75">
      <c r="A4" s="201" t="s">
        <v>1466</v>
      </c>
      <c r="B4" s="202"/>
      <c r="C4" s="202"/>
      <c r="D4" s="202"/>
      <c r="E4" s="202"/>
      <c r="F4" s="202"/>
      <c r="G4" s="203"/>
    </row>
    <row r="5" spans="1:9" s="210" customFormat="1" ht="13.5" customHeight="1">
      <c r="A5" s="251" t="s">
        <v>1467</v>
      </c>
      <c r="B5" s="206" t="s">
        <v>1468</v>
      </c>
      <c r="C5" s="207">
        <f ca="1">C6+C7+C8</f>
        <v>107549</v>
      </c>
      <c r="D5" s="207" t="s">
        <v>1469</v>
      </c>
      <c r="E5" s="208" t="s">
        <v>1470</v>
      </c>
      <c r="F5" s="208" t="s">
        <v>1471</v>
      </c>
      <c r="G5" s="209"/>
    </row>
    <row r="6" spans="1:9" s="210" customFormat="1" ht="13.5" customHeight="1">
      <c r="A6" s="774" t="s">
        <v>1472</v>
      </c>
      <c r="B6" s="211" t="s">
        <v>1473</v>
      </c>
      <c r="C6" s="212">
        <f>'土地比较法-住宅、综合'!F65</f>
        <v>102365</v>
      </c>
      <c r="D6" s="213"/>
      <c r="E6" s="214"/>
      <c r="F6" s="214"/>
      <c r="G6" s="215"/>
    </row>
    <row r="7" spans="1:9" s="210" customFormat="1" ht="13.5" customHeight="1">
      <c r="A7" s="774" t="s">
        <v>1474</v>
      </c>
      <c r="B7" s="211" t="s">
        <v>1475</v>
      </c>
      <c r="C7" s="216">
        <f>ROUND(C6*F7,0)</f>
        <v>3122</v>
      </c>
      <c r="D7" s="216"/>
      <c r="E7" s="214"/>
      <c r="F7" s="217">
        <f>IF(项目基本情况!B8="出让",0,'数据-取费表'!B48+'数据-取费表'!B49)</f>
        <v>3.0499999999999999E-2</v>
      </c>
      <c r="G7" s="215"/>
    </row>
    <row r="8" spans="1:9" s="219" customFormat="1">
      <c r="A8" s="774" t="s">
        <v>1476</v>
      </c>
      <c r="B8" s="211" t="s">
        <v>1477</v>
      </c>
      <c r="C8" s="216">
        <f ca="1">IF(G8="已包含在土地购买价格中","0",IF(B1="",'数据-取费表'!B29,IF(G9="全部缴纳",C9+C10,H9)))</f>
        <v>2062</v>
      </c>
      <c r="D8" s="218"/>
      <c r="E8" s="216"/>
      <c r="F8" s="217"/>
      <c r="G8" s="1852" t="s">
        <v>3893</v>
      </c>
    </row>
    <row r="9" spans="1:9" s="210" customFormat="1" ht="13.5" customHeight="1">
      <c r="A9" s="775" t="s">
        <v>355</v>
      </c>
      <c r="B9" s="220" t="s">
        <v>1478</v>
      </c>
      <c r="C9" s="221">
        <f ca="1">ROUND(D9*E9/10000,0)</f>
        <v>0</v>
      </c>
      <c r="D9" s="841">
        <f ca="1">IF(B1="",'数据-汇总表'!E5,IF(INDIRECT("'数据-取费表'!c"&amp;$G$1)="住宅",INDIRECT("'数据-取费表'!k"&amp;$G$1),0))</f>
        <v>0</v>
      </c>
      <c r="E9" s="221">
        <f>'数据-取费表'!B27</f>
        <v>160</v>
      </c>
      <c r="F9" s="217"/>
      <c r="G9" s="1853" t="s">
        <v>3894</v>
      </c>
      <c r="H9" s="1133"/>
      <c r="I9" s="1854" t="s">
        <v>1479</v>
      </c>
    </row>
    <row r="10" spans="1:9" s="210" customFormat="1" ht="13.5" customHeight="1">
      <c r="A10" s="775" t="s">
        <v>356</v>
      </c>
      <c r="B10" s="220" t="s">
        <v>1480</v>
      </c>
      <c r="C10" s="221">
        <f ca="1">ROUND(D10*E10/10000,0)</f>
        <v>2062</v>
      </c>
      <c r="D10" s="841">
        <f ca="1">IF(B1="",'数据-汇总表'!E6,IF(INDIRECT("'数据-取费表'!c"&amp;$G$1)="住宅",INDIRECT("'数据-取费表'!s"&amp;$G$1),INDIRECT("'数据-取费表'!k"&amp;$G$1)+INDIRECT("'数据-取费表'!s"&amp;$G$1)))</f>
        <v>103096.20000000001</v>
      </c>
      <c r="E10" s="221">
        <f>'数据-取费表'!B28</f>
        <v>200</v>
      </c>
      <c r="F10" s="217"/>
      <c r="G10" s="222"/>
    </row>
    <row r="11" spans="1:9" s="210" customFormat="1" ht="13.5" hidden="1" customHeight="1">
      <c r="A11" s="223" t="s">
        <v>4</v>
      </c>
      <c r="B11" s="211" t="s">
        <v>1481</v>
      </c>
      <c r="C11" s="207"/>
      <c r="D11" s="843"/>
      <c r="E11" s="214"/>
      <c r="F11" s="214"/>
      <c r="G11" s="215"/>
    </row>
    <row r="12" spans="1:9" s="210" customFormat="1" ht="13.5" hidden="1" customHeight="1">
      <c r="A12" s="223" t="s">
        <v>5</v>
      </c>
      <c r="B12" s="211" t="s">
        <v>1482</v>
      </c>
      <c r="C12" s="207">
        <v>0</v>
      </c>
      <c r="D12" s="843"/>
      <c r="E12" s="224"/>
      <c r="F12" s="217">
        <v>3.0499999999999999E-2</v>
      </c>
      <c r="G12" s="215"/>
    </row>
    <row r="13" spans="1:9" s="210" customFormat="1" ht="13.5" hidden="1" customHeight="1">
      <c r="A13" s="223" t="s">
        <v>6</v>
      </c>
      <c r="B13" s="211" t="s">
        <v>1483</v>
      </c>
      <c r="C13" s="207"/>
      <c r="D13" s="843"/>
      <c r="E13" s="214"/>
      <c r="F13" s="214"/>
      <c r="G13" s="215"/>
    </row>
    <row r="14" spans="1:9" s="210" customFormat="1" ht="13.5" hidden="1" customHeight="1">
      <c r="A14" s="223" t="s">
        <v>7</v>
      </c>
      <c r="B14" s="211" t="s">
        <v>1484</v>
      </c>
      <c r="C14" s="207"/>
      <c r="D14" s="843"/>
      <c r="E14" s="214"/>
      <c r="F14" s="214"/>
      <c r="G14" s="215" t="s">
        <v>1485</v>
      </c>
    </row>
    <row r="15" spans="1:9" s="210" customFormat="1" ht="13.5" hidden="1" customHeight="1">
      <c r="A15" s="223" t="s">
        <v>8</v>
      </c>
      <c r="B15" s="211" t="s">
        <v>1486</v>
      </c>
      <c r="C15" s="216"/>
      <c r="D15" s="843"/>
      <c r="E15" s="214"/>
      <c r="F15" s="214"/>
      <c r="G15" s="215" t="s">
        <v>1487</v>
      </c>
    </row>
    <row r="16" spans="1:9" s="210" customFormat="1" ht="13.5" hidden="1" customHeight="1">
      <c r="A16" s="223" t="s">
        <v>9</v>
      </c>
      <c r="B16" s="211" t="s">
        <v>1484</v>
      </c>
      <c r="C16" s="216"/>
      <c r="D16" s="843"/>
      <c r="E16" s="214"/>
      <c r="F16" s="214"/>
      <c r="G16" s="215"/>
    </row>
    <row r="17" spans="1:7" s="210" customFormat="1" ht="13.5" hidden="1" customHeight="1">
      <c r="A17" s="223" t="s">
        <v>10</v>
      </c>
      <c r="B17" s="211" t="s">
        <v>1488</v>
      </c>
      <c r="C17" s="225"/>
      <c r="D17" s="844"/>
      <c r="E17" s="225"/>
      <c r="F17" s="225"/>
      <c r="G17" s="215" t="s">
        <v>1487</v>
      </c>
    </row>
    <row r="18" spans="1:7" s="210" customFormat="1" ht="13.5" hidden="1" customHeight="1">
      <c r="A18" s="223" t="s">
        <v>11</v>
      </c>
      <c r="B18" s="211" t="s">
        <v>1489</v>
      </c>
      <c r="C18" s="216">
        <v>0</v>
      </c>
      <c r="D18" s="843"/>
      <c r="E18" s="214"/>
      <c r="F18" s="217">
        <v>3.0499999999999999E-2</v>
      </c>
      <c r="G18" s="215" t="s">
        <v>1490</v>
      </c>
    </row>
    <row r="19" spans="1:7" s="219" customFormat="1" ht="13.5" customHeight="1">
      <c r="A19" s="251" t="s">
        <v>1491</v>
      </c>
      <c r="B19" s="206" t="s">
        <v>1492</v>
      </c>
      <c r="C19" s="207" t="str">
        <f>IF(G19="已包含在土地取得成本中","0",ROUND(D19*E19/10000,0))</f>
        <v>0</v>
      </c>
      <c r="D19" s="845">
        <f ca="1">D9+D10</f>
        <v>103096.20000000001</v>
      </c>
      <c r="E19" s="207">
        <f>'数据-取费表'!B31</f>
        <v>200</v>
      </c>
      <c r="F19" s="227"/>
      <c r="G19" s="1852" t="s">
        <v>3408</v>
      </c>
    </row>
    <row r="20" spans="1:7" s="210" customFormat="1" ht="13.5" customHeight="1">
      <c r="A20" s="251" t="s">
        <v>1493</v>
      </c>
      <c r="B20" s="206" t="s">
        <v>1494</v>
      </c>
      <c r="C20" s="228">
        <f ca="1">ROUND((C5+C19)*F20,0)</f>
        <v>3226</v>
      </c>
      <c r="D20" s="228"/>
      <c r="E20" s="228"/>
      <c r="F20" s="229">
        <f>'数据-取费表'!B37</f>
        <v>0.03</v>
      </c>
      <c r="G20" s="230" t="s">
        <v>1495</v>
      </c>
    </row>
    <row r="21" spans="1:7" s="210" customFormat="1" ht="13.5" customHeight="1">
      <c r="A21" s="251" t="s">
        <v>1496</v>
      </c>
      <c r="B21" s="206" t="s">
        <v>1497</v>
      </c>
      <c r="C21" s="231">
        <f>F21</f>
        <v>2.5000000000000001E-2</v>
      </c>
      <c r="D21" s="232" t="s">
        <v>1498</v>
      </c>
      <c r="E21" s="228"/>
      <c r="F21" s="229">
        <f>'数据-取费表'!B38</f>
        <v>2.5000000000000001E-2</v>
      </c>
      <c r="G21" s="230" t="s">
        <v>1499</v>
      </c>
    </row>
    <row r="22" spans="1:7" s="210" customFormat="1" ht="13.5" customHeight="1">
      <c r="A22" s="251" t="s">
        <v>1500</v>
      </c>
      <c r="B22" s="206" t="s">
        <v>1501</v>
      </c>
      <c r="C22" s="1100">
        <f ca="1">ROUND(SUM(C23:C25),0)</f>
        <v>14156</v>
      </c>
      <c r="D22" s="231">
        <f ca="1">C26</f>
        <v>1.6000000000000001E-3</v>
      </c>
      <c r="E22" s="232" t="s">
        <v>1498</v>
      </c>
      <c r="F22" s="233">
        <f ca="1">'数据-取费表'!B40</f>
        <v>4.1499999999999995E-2</v>
      </c>
      <c r="G22" s="230" t="str">
        <f>IF('数据-取费表'!B22&lt;=1,"单利计息","复利计息")</f>
        <v>复利计息</v>
      </c>
    </row>
    <row r="23" spans="1:7" s="210" customFormat="1" ht="13.5" customHeight="1">
      <c r="A23" s="776" t="s">
        <v>1502</v>
      </c>
      <c r="B23" s="211" t="s">
        <v>1503</v>
      </c>
      <c r="C23" s="1101">
        <f ca="1">ROUND(IF('数据-取费表'!B22&lt;=1,C5*F22*'数据-取费表'!B23,C5*(POWER((1+F22),'数据-取费表'!B23)-1)),0)</f>
        <v>13953</v>
      </c>
      <c r="D23" s="234"/>
      <c r="E23" s="234"/>
      <c r="F23" s="235"/>
      <c r="G23" s="236" t="s">
        <v>1504</v>
      </c>
    </row>
    <row r="24" spans="1:7" s="210" customFormat="1" ht="13.5" customHeight="1">
      <c r="A24" s="776" t="s">
        <v>1505</v>
      </c>
      <c r="B24" s="211" t="s">
        <v>1506</v>
      </c>
      <c r="C24" s="1101">
        <f ca="1">ROUND(IF('数据-取费表'!B22&lt;=1,C19*F22*('数据-取费表'!B19/2+'数据-取费表'!B21),C19*(POWER((1+F22),('数据-取费表'!B19/2+'数据-取费表'!B21))-1)),0)</f>
        <v>0</v>
      </c>
      <c r="D24" s="234"/>
      <c r="E24" s="234"/>
      <c r="F24" s="235"/>
      <c r="G24" s="236" t="s">
        <v>1507</v>
      </c>
    </row>
    <row r="25" spans="1:7" s="210" customFormat="1" ht="24">
      <c r="A25" s="776" t="s">
        <v>1508</v>
      </c>
      <c r="B25" s="211" t="s">
        <v>1509</v>
      </c>
      <c r="C25" s="1101">
        <f ca="1">ROUND(IF('数据-取费表'!B22&lt;=1,C20*F22*'数据-取费表'!B23/2,C20*(POWER((1+F22),'数据-取费表'!B23/2)-1)),0)</f>
        <v>203</v>
      </c>
      <c r="D25" s="234"/>
      <c r="E25" s="237"/>
      <c r="F25" s="235"/>
      <c r="G25" s="238" t="s">
        <v>1510</v>
      </c>
    </row>
    <row r="26" spans="1:7" s="210" customFormat="1">
      <c r="A26" s="776" t="s">
        <v>350</v>
      </c>
      <c r="B26" s="211" t="s">
        <v>1511</v>
      </c>
      <c r="C26" s="234">
        <f ca="1">ROUND(IF('数据-取费表'!B22&lt;=1,F21*F22*'数据-取费表'!B23/2,F21*(POWER((1+F22),'数据-取费表'!B23/2)-1)),4)</f>
        <v>1.6000000000000001E-3</v>
      </c>
      <c r="D26" s="234"/>
      <c r="E26" s="237"/>
      <c r="F26" s="235"/>
      <c r="G26" s="239"/>
    </row>
    <row r="27" spans="1:7" s="210" customFormat="1" ht="24.75">
      <c r="A27" s="251" t="s">
        <v>1512</v>
      </c>
      <c r="B27" s="240" t="s">
        <v>1513</v>
      </c>
      <c r="C27" s="241">
        <f ca="1">C28</f>
        <v>23263</v>
      </c>
      <c r="D27" s="231">
        <f ca="1">C29</f>
        <v>5.3E-3</v>
      </c>
      <c r="E27" s="232" t="s">
        <v>1514</v>
      </c>
      <c r="F27" s="242">
        <f ca="1">IF(B1="",'数据-取费表'!Q16,INDIRECT("'数据-取费表'!q"&amp;$G$1))</f>
        <v>0.21</v>
      </c>
      <c r="G27" s="243" t="s">
        <v>1515</v>
      </c>
    </row>
    <row r="28" spans="1:7" s="210" customFormat="1" ht="13.5" customHeight="1">
      <c r="A28" s="776" t="s">
        <v>346</v>
      </c>
      <c r="B28" s="244" t="s">
        <v>1516</v>
      </c>
      <c r="C28" s="245">
        <f ca="1">ROUND((C5+C19+C20)*F27*'数据-取费表'!B21/'数据-取费表'!B20,0)</f>
        <v>23263</v>
      </c>
      <c r="D28" s="231"/>
      <c r="E28" s="232"/>
      <c r="F28" s="242"/>
      <c r="G28" s="243"/>
    </row>
    <row r="29" spans="1:7" s="210" customFormat="1" ht="13.5" customHeight="1">
      <c r="A29" s="776" t="s">
        <v>347</v>
      </c>
      <c r="B29" s="244" t="s">
        <v>1517</v>
      </c>
      <c r="C29" s="234">
        <f ca="1">ROUND(C21*F27*'数据-取费表'!B21/'数据-取费表'!B20,4)</f>
        <v>5.3E-3</v>
      </c>
      <c r="D29" s="231"/>
      <c r="E29" s="232"/>
      <c r="F29" s="242"/>
      <c r="G29" s="243"/>
    </row>
    <row r="30" spans="1:7" s="210" customFormat="1" ht="13.5" customHeight="1">
      <c r="A30" s="251" t="s">
        <v>1518</v>
      </c>
      <c r="B30" s="206" t="s">
        <v>1519</v>
      </c>
      <c r="C30" s="231">
        <f>ROUND(F30/(1+'数据-取费表'!C42),4)</f>
        <v>5.33E-2</v>
      </c>
      <c r="D30" s="232" t="s">
        <v>1514</v>
      </c>
      <c r="E30" s="237"/>
      <c r="F30" s="233">
        <f>'数据-取费表'!B41</f>
        <v>5.6000000000000001E-2</v>
      </c>
      <c r="G30" s="230" t="s">
        <v>1520</v>
      </c>
    </row>
    <row r="31" spans="1:7" ht="16.5" customHeight="1">
      <c r="A31" s="205">
        <v>1</v>
      </c>
      <c r="B31" s="206" t="s">
        <v>1521</v>
      </c>
      <c r="C31" s="207">
        <f ca="1">ROUND((C5+C19+C20+C22+C27)/(1-C21-D22-D27-C30),0)</f>
        <v>161996</v>
      </c>
      <c r="D31" s="226"/>
      <c r="E31" s="207"/>
      <c r="F31" s="246"/>
      <c r="G31" s="230" t="s">
        <v>1522</v>
      </c>
    </row>
    <row r="32" spans="1:7" s="204" customFormat="1" ht="15.75">
      <c r="A32" s="248" t="s">
        <v>1523</v>
      </c>
      <c r="B32" s="249"/>
      <c r="C32" s="249"/>
      <c r="D32" s="249"/>
      <c r="E32" s="249"/>
      <c r="F32" s="249"/>
      <c r="G32" s="250"/>
    </row>
    <row r="33" spans="1:7" s="210" customFormat="1" ht="13.5" customHeight="1">
      <c r="A33" s="251" t="s">
        <v>337</v>
      </c>
      <c r="B33" s="206" t="s">
        <v>1524</v>
      </c>
      <c r="C33" s="252">
        <f ca="1">SUM(C34:C38)</f>
        <v>100880</v>
      </c>
      <c r="D33" s="228"/>
      <c r="E33" s="208"/>
      <c r="F33" s="237"/>
      <c r="G33" s="230"/>
    </row>
    <row r="34" spans="1:7" s="254" customFormat="1" ht="13.5" customHeight="1">
      <c r="A34" s="776" t="s">
        <v>346</v>
      </c>
      <c r="B34" s="211" t="s">
        <v>1525</v>
      </c>
      <c r="C34" s="216">
        <f ca="1">IF(B1="",IF(F34=100%,'数据-取费表'!M16,'数据-取费表'!O16),IF(F34=100%,INDIRECT("'数据-取费表'!m"&amp;$G$1)+INDIRECT("'数据-取费表'!t"&amp;$G$1),INDIRECT("'数据-取费表'!o"&amp;$G$1)+INDIRECT("'数据-取费表'!aq"&amp;$G$1)))</f>
        <v>92787</v>
      </c>
      <c r="D34" s="213"/>
      <c r="E34" s="216"/>
      <c r="F34" s="253">
        <f ca="1">IF('数据-取费表'!B24=0,1,IF(B1="",'数据-取费表'!N16,INDIRECT("'数据-取费表'!n"&amp;$G$1)))</f>
        <v>1</v>
      </c>
      <c r="G34" s="215" t="s">
        <v>1526</v>
      </c>
    </row>
    <row r="35" spans="1:7" ht="13.5" customHeight="1">
      <c r="A35" s="776" t="s">
        <v>351</v>
      </c>
      <c r="B35" s="211" t="s">
        <v>1527</v>
      </c>
      <c r="C35" s="216">
        <f ca="1">ROUND(C34*F35,0)</f>
        <v>4639</v>
      </c>
      <c r="D35" s="216"/>
      <c r="E35" s="216"/>
      <c r="F35" s="255">
        <f>'数据-取费表'!B33</f>
        <v>0.05</v>
      </c>
      <c r="G35" s="215" t="s">
        <v>1528</v>
      </c>
    </row>
    <row r="36" spans="1:7" ht="24">
      <c r="A36" s="776" t="s">
        <v>352</v>
      </c>
      <c r="B36" s="211" t="s">
        <v>1529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1530</v>
      </c>
    </row>
    <row r="37" spans="1:7" s="254" customFormat="1" ht="13.5" customHeight="1">
      <c r="A37" s="776" t="s">
        <v>353</v>
      </c>
      <c r="B37" s="211" t="s">
        <v>1531</v>
      </c>
      <c r="C37" s="245">
        <f ca="1">ROUND(E37*D37*F34/10000,0)</f>
        <v>2062</v>
      </c>
      <c r="D37" s="213">
        <f ca="1">D19</f>
        <v>103096.20000000001</v>
      </c>
      <c r="E37" s="245">
        <f>'数据-取费表'!B35</f>
        <v>200</v>
      </c>
      <c r="F37" s="255"/>
      <c r="G37" s="257" t="s">
        <v>1532</v>
      </c>
    </row>
    <row r="38" spans="1:7" ht="13.5" customHeight="1">
      <c r="A38" s="776" t="s">
        <v>354</v>
      </c>
      <c r="B38" s="211" t="s">
        <v>1533</v>
      </c>
      <c r="C38" s="216">
        <f ca="1">ROUND(C34*F38,0)</f>
        <v>1392</v>
      </c>
      <c r="D38" s="216"/>
      <c r="E38" s="216"/>
      <c r="F38" s="255">
        <f>'数据-取费表'!B36</f>
        <v>1.4999999999999999E-2</v>
      </c>
      <c r="G38" s="215" t="s">
        <v>1528</v>
      </c>
    </row>
    <row r="39" spans="1:7" s="210" customFormat="1" ht="13.5" customHeight="1">
      <c r="A39" s="251" t="s">
        <v>1534</v>
      </c>
      <c r="B39" s="206" t="s">
        <v>1535</v>
      </c>
      <c r="C39" s="228">
        <f ca="1">ROUND(C33*F20,0)</f>
        <v>3026</v>
      </c>
      <c r="D39" s="228"/>
      <c r="E39" s="228"/>
      <c r="F39" s="229">
        <f>F20</f>
        <v>0.03</v>
      </c>
      <c r="G39" s="230" t="s">
        <v>1536</v>
      </c>
    </row>
    <row r="40" spans="1:7" s="210" customFormat="1" ht="13.5" customHeight="1">
      <c r="A40" s="251" t="s">
        <v>1537</v>
      </c>
      <c r="B40" s="206" t="s">
        <v>1538</v>
      </c>
      <c r="C40" s="1323">
        <f>F21</f>
        <v>2.5000000000000001E-2</v>
      </c>
      <c r="D40" s="232" t="s">
        <v>1539</v>
      </c>
      <c r="E40" s="228"/>
      <c r="F40" s="229">
        <f>F21</f>
        <v>2.5000000000000001E-2</v>
      </c>
      <c r="G40" s="230" t="s">
        <v>1540</v>
      </c>
    </row>
    <row r="41" spans="1:7" s="210" customFormat="1" ht="13.5" customHeight="1">
      <c r="A41" s="251" t="s">
        <v>1541</v>
      </c>
      <c r="B41" s="206" t="s">
        <v>1542</v>
      </c>
      <c r="C41" s="228">
        <f ca="1">ROUND(SUM(C42:C43),0)</f>
        <v>6534</v>
      </c>
      <c r="D41" s="231">
        <f ca="1">C44</f>
        <v>1.6000000000000001E-3</v>
      </c>
      <c r="E41" s="232" t="s">
        <v>1539</v>
      </c>
      <c r="F41" s="233">
        <f ca="1">F22</f>
        <v>4.1499999999999995E-2</v>
      </c>
      <c r="G41" s="230" t="str">
        <f>IF('数据-取费表'!B22&lt;=1,"单利计息","复利计息")</f>
        <v>复利计息</v>
      </c>
    </row>
    <row r="42" spans="1:7" ht="13.5" customHeight="1">
      <c r="A42" s="776" t="s">
        <v>346</v>
      </c>
      <c r="B42" s="211" t="s">
        <v>1543</v>
      </c>
      <c r="C42" s="234">
        <f ca="1">ROUND(IF('数据-取费表'!B22&lt;=1,C33*F22*'数据-取费表'!B21/2,C33*(POWER((1+F22),'数据-取费表'!B21/2)-1)),0)</f>
        <v>6344</v>
      </c>
      <c r="D42" s="234"/>
      <c r="E42" s="234"/>
      <c r="F42" s="235"/>
      <c r="G42" s="3768" t="s">
        <v>1544</v>
      </c>
    </row>
    <row r="43" spans="1:7" ht="13.5" customHeight="1">
      <c r="A43" s="776" t="s">
        <v>347</v>
      </c>
      <c r="B43" s="211" t="s">
        <v>1545</v>
      </c>
      <c r="C43" s="234">
        <f ca="1">ROUND(IF('数据-取费表'!B22&lt;=1,C39*F22*'数据-取费表'!B21/2,C39*(POWER((1+F22),'数据-取费表'!B21/2)-1)),0)</f>
        <v>190</v>
      </c>
      <c r="D43" s="234"/>
      <c r="E43" s="234"/>
      <c r="F43" s="235"/>
      <c r="G43" s="3769"/>
    </row>
    <row r="44" spans="1:7" ht="13.5" customHeight="1">
      <c r="A44" s="776" t="s">
        <v>348</v>
      </c>
      <c r="B44" s="211" t="s">
        <v>1546</v>
      </c>
      <c r="C44" s="234">
        <f ca="1">ROUND(IF('数据-取费表'!B22&lt;=1,C40*F22*'数据-取费表'!B21/2,C40*(POWER((1+F22),'数据-取费表'!B21/2)-1)),4)</f>
        <v>1.6000000000000001E-3</v>
      </c>
      <c r="D44" s="234"/>
      <c r="E44" s="234"/>
      <c r="F44" s="235"/>
      <c r="G44" s="3770"/>
    </row>
    <row r="45" spans="1:7" s="210" customFormat="1" ht="13.5" customHeight="1">
      <c r="A45" s="251" t="s">
        <v>1547</v>
      </c>
      <c r="B45" s="240" t="s">
        <v>1513</v>
      </c>
      <c r="C45" s="241">
        <f ca="1">C46</f>
        <v>21820</v>
      </c>
      <c r="D45" s="231">
        <f ca="1">C47</f>
        <v>5.3E-3</v>
      </c>
      <c r="E45" s="232" t="s">
        <v>1539</v>
      </c>
      <c r="F45" s="242">
        <f ca="1">F27</f>
        <v>0.21</v>
      </c>
      <c r="G45" s="243" t="s">
        <v>1548</v>
      </c>
    </row>
    <row r="46" spans="1:7" s="210" customFormat="1" ht="13.5" customHeight="1">
      <c r="A46" s="776" t="s">
        <v>346</v>
      </c>
      <c r="B46" s="244" t="s">
        <v>1549</v>
      </c>
      <c r="C46" s="245">
        <f ca="1">ROUND((C33+C39)*F27,0)</f>
        <v>21820</v>
      </c>
      <c r="D46" s="259"/>
      <c r="E46" s="232"/>
      <c r="F46" s="242"/>
      <c r="G46" s="243"/>
    </row>
    <row r="47" spans="1:7" s="210" customFormat="1" ht="13.5" customHeight="1">
      <c r="A47" s="776" t="s">
        <v>347</v>
      </c>
      <c r="B47" s="244" t="s">
        <v>1550</v>
      </c>
      <c r="C47" s="234">
        <f ca="1">ROUND(C40*F27,4)</f>
        <v>5.3E-3</v>
      </c>
      <c r="D47" s="259"/>
      <c r="E47" s="232"/>
      <c r="F47" s="242"/>
      <c r="G47" s="243"/>
    </row>
    <row r="48" spans="1:7" s="210" customFormat="1" ht="13.5" customHeight="1">
      <c r="A48" s="251" t="s">
        <v>1512</v>
      </c>
      <c r="B48" s="206" t="s">
        <v>1551</v>
      </c>
      <c r="C48" s="1323">
        <f>ROUND(F30/(1+'数据-取费表'!C42),4)</f>
        <v>5.33E-2</v>
      </c>
      <c r="D48" s="232" t="s">
        <v>1539</v>
      </c>
      <c r="E48" s="228"/>
      <c r="F48" s="233">
        <f>F30</f>
        <v>5.6000000000000001E-2</v>
      </c>
      <c r="G48" s="230" t="s">
        <v>1552</v>
      </c>
    </row>
    <row r="49" spans="1:7" ht="16.5" customHeight="1">
      <c r="A49" s="251" t="s">
        <v>1518</v>
      </c>
      <c r="B49" s="206" t="s">
        <v>1553</v>
      </c>
      <c r="C49" s="228">
        <f ca="1">ROUND((C33+C39+C41+C45)/(1-C40-D41-D45-C48),0)</f>
        <v>144578</v>
      </c>
      <c r="D49" s="228"/>
      <c r="E49" s="228"/>
      <c r="F49" s="260"/>
      <c r="G49" s="230" t="s">
        <v>1554</v>
      </c>
    </row>
    <row r="50" spans="1:7" s="254" customFormat="1" ht="24">
      <c r="A50" s="251" t="s">
        <v>1555</v>
      </c>
      <c r="B50" s="206" t="s">
        <v>1556</v>
      </c>
      <c r="C50" s="228"/>
      <c r="D50" s="228"/>
      <c r="E50" s="228"/>
      <c r="F50" s="260">
        <f>IF('数据-取费表'!B24=0,'数据-取费表'!N16,1)</f>
        <v>0.9</v>
      </c>
      <c r="G50" s="243" t="s">
        <v>1557</v>
      </c>
    </row>
    <row r="51" spans="1:7" ht="16.5" customHeight="1">
      <c r="A51" s="251" t="s">
        <v>1558</v>
      </c>
      <c r="B51" s="206" t="s">
        <v>1559</v>
      </c>
      <c r="C51" s="228">
        <f ca="1">ROUND(C49*F50,0)</f>
        <v>130120</v>
      </c>
      <c r="D51" s="228"/>
      <c r="E51" s="228"/>
      <c r="F51" s="260"/>
      <c r="G51" s="230" t="s">
        <v>1560</v>
      </c>
    </row>
    <row r="52" spans="1:7" s="204" customFormat="1" ht="16.5" thickBot="1">
      <c r="A52" s="261" t="s">
        <v>1561</v>
      </c>
      <c r="B52" s="262"/>
      <c r="C52" s="263">
        <f ca="1">C31+C51</f>
        <v>292116</v>
      </c>
      <c r="D52" s="262"/>
      <c r="E52" s="262"/>
      <c r="F52" s="262"/>
      <c r="G52" s="264"/>
    </row>
    <row r="55" spans="1:7" ht="15">
      <c r="B55" s="266" t="s">
        <v>1562</v>
      </c>
      <c r="C55" s="267"/>
    </row>
    <row r="56" spans="1:7">
      <c r="B56" s="269" t="s">
        <v>802</v>
      </c>
      <c r="C56" s="271">
        <f ca="1">1-C57</f>
        <v>0.55499999999999994</v>
      </c>
    </row>
    <row r="57" spans="1:7">
      <c r="B57" s="269" t="s">
        <v>803</v>
      </c>
      <c r="C57" s="270">
        <f ca="1">ROUND(C51/C52,3)</f>
        <v>0.44500000000000001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1461</v>
      </c>
      <c r="B1" s="1466"/>
      <c r="C1" s="1855" t="s">
        <v>1563</v>
      </c>
      <c r="D1" s="194"/>
      <c r="E1" s="194"/>
      <c r="F1" s="194"/>
      <c r="G1" s="1122">
        <f>MATCH(B1,'数据-取费表'!A6:A16,0)+5</f>
        <v>8</v>
      </c>
      <c r="H1" s="1057" t="str">
        <f>IF(ISERROR(FIND("住宅",B1)),"非住宅","住宅")</f>
        <v>非住宅</v>
      </c>
    </row>
    <row r="2" spans="1:8" s="196" customFormat="1" ht="18" customHeight="1">
      <c r="A2" s="197" t="s">
        <v>1462</v>
      </c>
      <c r="B2" s="3414">
        <f ca="1">ROUND(IF(D2="——",C52/10000,C52/10000-E2),4)</f>
        <v>136332.89180000001</v>
      </c>
      <c r="C2" s="195" t="s">
        <v>1463</v>
      </c>
      <c r="D2" s="1849" t="s">
        <v>43</v>
      </c>
      <c r="E2" s="1165" t="e">
        <f ca="1">SUMIF(INDIRECT("'"&amp;G2&amp;"'"&amp;"!A:A"),"承租人权益价值",INDIRECT("'"&amp;G2&amp;"'"&amp;"!c:c"))</f>
        <v>#REF!</v>
      </c>
      <c r="F2" s="1850" t="s">
        <v>1463</v>
      </c>
      <c r="G2" s="1851"/>
    </row>
    <row r="3" spans="1:8" s="196" customFormat="1" ht="18" customHeight="1" thickBot="1">
      <c r="A3" s="199" t="s">
        <v>1464</v>
      </c>
      <c r="B3" s="200">
        <f ca="1">ROUND(B2*10000/(IF(B1="",'数据-汇总表'!E3,INDIRECT("'数据-取费表'!k"&amp;$G$1))),0)</f>
        <v>13224</v>
      </c>
      <c r="C3" s="195" t="s">
        <v>1465</v>
      </c>
      <c r="D3" s="195"/>
      <c r="E3" s="195"/>
      <c r="F3" s="195"/>
      <c r="G3" s="195"/>
    </row>
    <row r="4" spans="1:8" s="204" customFormat="1" ht="15.75">
      <c r="A4" s="201" t="s">
        <v>1466</v>
      </c>
      <c r="B4" s="202"/>
      <c r="C4" s="202"/>
      <c r="D4" s="202"/>
      <c r="E4" s="202"/>
      <c r="F4" s="202"/>
      <c r="G4" s="203"/>
    </row>
    <row r="5" spans="1:8" s="210" customFormat="1" ht="13.5" customHeight="1">
      <c r="A5" s="251" t="s">
        <v>1467</v>
      </c>
      <c r="B5" s="206" t="s">
        <v>1468</v>
      </c>
      <c r="C5" s="207">
        <f ca="1">C6+C7+C8</f>
        <v>20619240</v>
      </c>
      <c r="D5" s="207" t="s">
        <v>1469</v>
      </c>
      <c r="E5" s="208" t="s">
        <v>1470</v>
      </c>
      <c r="F5" s="208" t="s">
        <v>1471</v>
      </c>
      <c r="G5" s="209"/>
    </row>
    <row r="6" spans="1:8" s="210" customFormat="1" ht="13.5" customHeight="1">
      <c r="A6" s="774" t="s">
        <v>1472</v>
      </c>
      <c r="B6" s="211" t="s">
        <v>1473</v>
      </c>
      <c r="C6" s="212"/>
      <c r="D6" s="213"/>
      <c r="E6" s="214"/>
      <c r="F6" s="214"/>
      <c r="G6" s="215"/>
    </row>
    <row r="7" spans="1:8" s="210" customFormat="1" ht="13.5" customHeight="1">
      <c r="A7" s="774" t="s">
        <v>1474</v>
      </c>
      <c r="B7" s="211" t="s">
        <v>1475</v>
      </c>
      <c r="C7" s="216">
        <f>ROUND(C6*F7,0)</f>
        <v>0</v>
      </c>
      <c r="D7" s="216"/>
      <c r="E7" s="214"/>
      <c r="F7" s="217">
        <f>IF(项目基本情况!B8="出让",0,'数据-取费表'!B48+'数据-取费表'!B49)</f>
        <v>3.0499999999999999E-2</v>
      </c>
      <c r="G7" s="215"/>
    </row>
    <row r="8" spans="1:8" s="219" customFormat="1">
      <c r="A8" s="774" t="s">
        <v>1476</v>
      </c>
      <c r="B8" s="211" t="s">
        <v>1477</v>
      </c>
      <c r="C8" s="216">
        <f ca="1">IF(G8="已包含在土地购买价格中",0,C9+C10)</f>
        <v>20619240</v>
      </c>
      <c r="D8" s="218"/>
      <c r="E8" s="216"/>
      <c r="F8" s="217"/>
      <c r="G8" s="1852"/>
    </row>
    <row r="9" spans="1:8" s="210" customFormat="1" ht="13.5" customHeight="1">
      <c r="A9" s="775" t="s">
        <v>355</v>
      </c>
      <c r="B9" s="220" t="s">
        <v>1478</v>
      </c>
      <c r="C9" s="221">
        <f ca="1">ROUND(D9*E9,0)</f>
        <v>0</v>
      </c>
      <c r="D9" s="841">
        <f ca="1">IF(B1="",'数据-汇总表'!E5,IF(INDIRECT("'数据-取费表'!c"&amp;$G$1)="住宅",INDIRECT("'数据-取费表'!k"&amp;$G$1),0))</f>
        <v>0</v>
      </c>
      <c r="E9" s="221">
        <f>'数据-取费表'!B27</f>
        <v>160</v>
      </c>
      <c r="F9" s="217"/>
      <c r="G9" s="222"/>
    </row>
    <row r="10" spans="1:8" s="210" customFormat="1" ht="13.5" customHeight="1">
      <c r="A10" s="775" t="s">
        <v>356</v>
      </c>
      <c r="B10" s="220" t="s">
        <v>1480</v>
      </c>
      <c r="C10" s="221">
        <f ca="1">ROUND(D10*E10,0)</f>
        <v>20619240</v>
      </c>
      <c r="D10" s="841">
        <f ca="1">IF(B1="",'数据-汇总表'!E6,IF(INDIRECT("'数据-取费表'!c"&amp;$G$1)="住宅",INDIRECT("'数据-取费表'!s"&amp;$G$1),INDIRECT("'数据-取费表'!k"&amp;$G$1)+INDIRECT("'数据-取费表'!s"&amp;$G$1)))</f>
        <v>103096.20000000001</v>
      </c>
      <c r="E10" s="221">
        <f>'数据-取费表'!B28</f>
        <v>200</v>
      </c>
      <c r="F10" s="217"/>
      <c r="G10" s="222"/>
    </row>
    <row r="11" spans="1:8" s="210" customFormat="1" ht="13.5" hidden="1" customHeight="1">
      <c r="A11" s="223" t="s">
        <v>4</v>
      </c>
      <c r="B11" s="211" t="s">
        <v>1481</v>
      </c>
      <c r="C11" s="207"/>
      <c r="D11" s="843"/>
      <c r="E11" s="214"/>
      <c r="F11" s="214"/>
      <c r="G11" s="215"/>
    </row>
    <row r="12" spans="1:8" s="210" customFormat="1" ht="13.5" hidden="1" customHeight="1">
      <c r="A12" s="223" t="s">
        <v>5</v>
      </c>
      <c r="B12" s="211" t="s">
        <v>1564</v>
      </c>
      <c r="C12" s="207">
        <v>0</v>
      </c>
      <c r="D12" s="843"/>
      <c r="E12" s="224"/>
      <c r="F12" s="217">
        <v>3.0499999999999999E-2</v>
      </c>
      <c r="G12" s="215"/>
    </row>
    <row r="13" spans="1:8" s="210" customFormat="1" ht="13.5" hidden="1" customHeight="1">
      <c r="A13" s="223" t="s">
        <v>6</v>
      </c>
      <c r="B13" s="211" t="s">
        <v>1565</v>
      </c>
      <c r="C13" s="207"/>
      <c r="D13" s="843"/>
      <c r="E13" s="214"/>
      <c r="F13" s="214"/>
      <c r="G13" s="215"/>
    </row>
    <row r="14" spans="1:8" s="210" customFormat="1" ht="13.5" hidden="1" customHeight="1">
      <c r="A14" s="223" t="s">
        <v>7</v>
      </c>
      <c r="B14" s="211" t="s">
        <v>1477</v>
      </c>
      <c r="C14" s="207"/>
      <c r="D14" s="843"/>
      <c r="E14" s="214"/>
      <c r="F14" s="214"/>
      <c r="G14" s="215" t="s">
        <v>1566</v>
      </c>
    </row>
    <row r="15" spans="1:8" s="210" customFormat="1" ht="13.5" hidden="1" customHeight="1">
      <c r="A15" s="223" t="s">
        <v>8</v>
      </c>
      <c r="B15" s="211" t="s">
        <v>1567</v>
      </c>
      <c r="C15" s="216"/>
      <c r="D15" s="843"/>
      <c r="E15" s="214"/>
      <c r="F15" s="214"/>
      <c r="G15" s="215" t="s">
        <v>1568</v>
      </c>
    </row>
    <row r="16" spans="1:8" s="210" customFormat="1" ht="13.5" hidden="1" customHeight="1">
      <c r="A16" s="223" t="s">
        <v>9</v>
      </c>
      <c r="B16" s="211" t="s">
        <v>1477</v>
      </c>
      <c r="C16" s="216"/>
      <c r="D16" s="843"/>
      <c r="E16" s="214"/>
      <c r="F16" s="214"/>
      <c r="G16" s="215"/>
    </row>
    <row r="17" spans="1:7" s="210" customFormat="1" ht="13.5" hidden="1" customHeight="1">
      <c r="A17" s="223" t="s">
        <v>10</v>
      </c>
      <c r="B17" s="211" t="s">
        <v>1569</v>
      </c>
      <c r="C17" s="225"/>
      <c r="D17" s="844"/>
      <c r="E17" s="225"/>
      <c r="F17" s="225"/>
      <c r="G17" s="215" t="s">
        <v>1568</v>
      </c>
    </row>
    <row r="18" spans="1:7" s="210" customFormat="1" ht="13.5" hidden="1" customHeight="1">
      <c r="A18" s="223" t="s">
        <v>11</v>
      </c>
      <c r="B18" s="211" t="s">
        <v>1570</v>
      </c>
      <c r="C18" s="216">
        <v>0</v>
      </c>
      <c r="D18" s="843"/>
      <c r="E18" s="214"/>
      <c r="F18" s="217">
        <v>3.0499999999999999E-2</v>
      </c>
      <c r="G18" s="215" t="s">
        <v>1571</v>
      </c>
    </row>
    <row r="19" spans="1:7" s="219" customFormat="1" ht="13.5" customHeight="1">
      <c r="A19" s="251" t="s">
        <v>1572</v>
      </c>
      <c r="B19" s="206" t="s">
        <v>1573</v>
      </c>
      <c r="C19" s="207">
        <f ca="1">IF(G19="已包含在土地取得成本中","0",ROUND(D19*E19,0))</f>
        <v>20619240</v>
      </c>
      <c r="D19" s="845">
        <f ca="1">D9+D10</f>
        <v>103096.20000000001</v>
      </c>
      <c r="E19" s="207">
        <f>'数据-取费表'!B31</f>
        <v>200</v>
      </c>
      <c r="F19" s="227"/>
      <c r="G19" s="1852"/>
    </row>
    <row r="20" spans="1:7" s="210" customFormat="1" ht="13.5" customHeight="1">
      <c r="A20" s="251" t="s">
        <v>1574</v>
      </c>
      <c r="B20" s="206" t="s">
        <v>1575</v>
      </c>
      <c r="C20" s="228">
        <f ca="1">ROUND((C5+C19)*F20,0)</f>
        <v>1237154</v>
      </c>
      <c r="D20" s="228"/>
      <c r="E20" s="228"/>
      <c r="F20" s="229">
        <f>'数据-取费表'!B37</f>
        <v>0.03</v>
      </c>
      <c r="G20" s="230" t="s">
        <v>1576</v>
      </c>
    </row>
    <row r="21" spans="1:7" s="210" customFormat="1" ht="13.5" customHeight="1">
      <c r="A21" s="251" t="s">
        <v>1577</v>
      </c>
      <c r="B21" s="206" t="s">
        <v>1578</v>
      </c>
      <c r="C21" s="231">
        <f>F21</f>
        <v>2.5000000000000001E-2</v>
      </c>
      <c r="D21" s="232" t="s">
        <v>1579</v>
      </c>
      <c r="E21" s="228"/>
      <c r="F21" s="229">
        <f>'数据-取费表'!B38</f>
        <v>2.5000000000000001E-2</v>
      </c>
      <c r="G21" s="230" t="s">
        <v>1580</v>
      </c>
    </row>
    <row r="22" spans="1:7" s="210" customFormat="1" ht="13.5" customHeight="1">
      <c r="A22" s="251" t="s">
        <v>1581</v>
      </c>
      <c r="B22" s="206" t="s">
        <v>1582</v>
      </c>
      <c r="C22" s="1123">
        <f ca="1">ROUND(SUM(C23:C25),0)</f>
        <v>5428014</v>
      </c>
      <c r="D22" s="231">
        <f ca="1">C26</f>
        <v>1.6000000000000001E-3</v>
      </c>
      <c r="E22" s="232" t="s">
        <v>1579</v>
      </c>
      <c r="F22" s="233">
        <f ca="1">'数据-取费表'!B40</f>
        <v>4.1499999999999995E-2</v>
      </c>
      <c r="G22" s="230" t="str">
        <f>IF('数据-取费表'!B22&lt;=1,"单利计息","复利计息")</f>
        <v>复利计息</v>
      </c>
    </row>
    <row r="23" spans="1:7" s="210" customFormat="1" ht="13.5" customHeight="1">
      <c r="A23" s="776" t="s">
        <v>1472</v>
      </c>
      <c r="B23" s="211" t="s">
        <v>1583</v>
      </c>
      <c r="C23" s="1124">
        <f ca="1">ROUND(IF('数据-取费表'!B22&lt;=1,C5*F22*'数据-取费表'!B22,C5*(POWER((1+F22),'数据-取费表'!B22)-1)),0)</f>
        <v>2675104</v>
      </c>
      <c r="D23" s="234"/>
      <c r="E23" s="234"/>
      <c r="F23" s="235"/>
      <c r="G23" s="236" t="s">
        <v>1584</v>
      </c>
    </row>
    <row r="24" spans="1:7" s="210" customFormat="1" ht="13.5" customHeight="1">
      <c r="A24" s="776" t="s">
        <v>1474</v>
      </c>
      <c r="B24" s="211" t="s">
        <v>1585</v>
      </c>
      <c r="C24" s="1124">
        <f ca="1">ROUND(IF('数据-取费表'!B22&lt;=1,C19*F22*('数据-取费表'!B19/2+'数据-取费表'!B20),C19*(POWER((1+F22),('数据-取费表'!B19/2+'数据-取费表'!B20))-1)),0)</f>
        <v>2675104</v>
      </c>
      <c r="D24" s="234"/>
      <c r="E24" s="234"/>
      <c r="F24" s="235"/>
      <c r="G24" s="236" t="s">
        <v>1586</v>
      </c>
    </row>
    <row r="25" spans="1:7" s="210" customFormat="1" ht="24">
      <c r="A25" s="776" t="s">
        <v>1476</v>
      </c>
      <c r="B25" s="211" t="s">
        <v>1587</v>
      </c>
      <c r="C25" s="1124">
        <f ca="1">ROUND(IF('数据-取费表'!B22&lt;=1,C20*F22*'数据-取费表'!B22/2,C20*(POWER((1+F22),'数据-取费表'!B22/2)-1)),0)</f>
        <v>77806</v>
      </c>
      <c r="D25" s="234"/>
      <c r="E25" s="237"/>
      <c r="F25" s="235"/>
      <c r="G25" s="238" t="s">
        <v>1588</v>
      </c>
    </row>
    <row r="26" spans="1:7" s="210" customFormat="1">
      <c r="A26" s="776" t="s">
        <v>350</v>
      </c>
      <c r="B26" s="211" t="s">
        <v>1511</v>
      </c>
      <c r="C26" s="234">
        <f ca="1">ROUND(IF('数据-取费表'!B22&lt;=1,F21*F22*'数据-取费表'!B22/2,F21*(POWER((1+F22),'数据-取费表'!B22/2)-1)),4)</f>
        <v>1.6000000000000001E-3</v>
      </c>
      <c r="D26" s="234"/>
      <c r="E26" s="237"/>
      <c r="F26" s="235"/>
      <c r="G26" s="239"/>
    </row>
    <row r="27" spans="1:7" s="210" customFormat="1" ht="24.75">
      <c r="A27" s="251" t="s">
        <v>1512</v>
      </c>
      <c r="B27" s="240" t="s">
        <v>1513</v>
      </c>
      <c r="C27" s="241">
        <f ca="1">C28</f>
        <v>8919883</v>
      </c>
      <c r="D27" s="231">
        <f ca="1">C29</f>
        <v>5.3E-3</v>
      </c>
      <c r="E27" s="232" t="s">
        <v>1514</v>
      </c>
      <c r="F27" s="242">
        <f ca="1">IF(B1="",'数据-取费表'!Q16,INDIRECT("'数据-取费表'!q"&amp;$G$1))</f>
        <v>0.21</v>
      </c>
      <c r="G27" s="243" t="s">
        <v>1515</v>
      </c>
    </row>
    <row r="28" spans="1:7" s="210" customFormat="1" ht="13.5" customHeight="1">
      <c r="A28" s="776" t="s">
        <v>346</v>
      </c>
      <c r="B28" s="244" t="s">
        <v>1516</v>
      </c>
      <c r="C28" s="245">
        <f ca="1">ROUND((C5+C19+C20)*F27,0)</f>
        <v>8919883</v>
      </c>
      <c r="D28" s="231"/>
      <c r="E28" s="232"/>
      <c r="F28" s="242"/>
      <c r="G28" s="243"/>
    </row>
    <row r="29" spans="1:7" s="210" customFormat="1" ht="13.5" customHeight="1">
      <c r="A29" s="776" t="s">
        <v>347</v>
      </c>
      <c r="B29" s="244" t="s">
        <v>1517</v>
      </c>
      <c r="C29" s="234">
        <f ca="1">ROUND(C21*F27,4)</f>
        <v>5.3E-3</v>
      </c>
      <c r="D29" s="231"/>
      <c r="E29" s="232"/>
      <c r="F29" s="242"/>
      <c r="G29" s="243"/>
    </row>
    <row r="30" spans="1:7" s="210" customFormat="1" ht="13.5" customHeight="1">
      <c r="A30" s="251" t="s">
        <v>1518</v>
      </c>
      <c r="B30" s="206" t="s">
        <v>1519</v>
      </c>
      <c r="C30" s="231">
        <f>ROUND(F30/(1+'数据-取费表'!C42),4)</f>
        <v>5.33E-2</v>
      </c>
      <c r="D30" s="232" t="s">
        <v>1514</v>
      </c>
      <c r="E30" s="237"/>
      <c r="F30" s="233">
        <f>'数据-取费表'!B41</f>
        <v>5.6000000000000001E-2</v>
      </c>
      <c r="G30" s="230" t="s">
        <v>1520</v>
      </c>
    </row>
    <row r="31" spans="1:7" ht="16.5" customHeight="1">
      <c r="A31" s="205">
        <v>1</v>
      </c>
      <c r="B31" s="206" t="s">
        <v>1521</v>
      </c>
      <c r="C31" s="207">
        <f ca="1">ROUND((C5+C19+C20+C22+C27)/(1-C21-D22-D27-C30),0)</f>
        <v>62115797</v>
      </c>
      <c r="D31" s="226"/>
      <c r="E31" s="207"/>
      <c r="F31" s="246"/>
      <c r="G31" s="230" t="s">
        <v>1522</v>
      </c>
    </row>
    <row r="32" spans="1:7" s="204" customFormat="1" ht="15.75">
      <c r="A32" s="248" t="s">
        <v>1589</v>
      </c>
      <c r="B32" s="249"/>
      <c r="C32" s="249"/>
      <c r="D32" s="249"/>
      <c r="E32" s="249"/>
      <c r="F32" s="249"/>
      <c r="G32" s="250"/>
    </row>
    <row r="33" spans="1:7" s="210" customFormat="1" ht="13.5" customHeight="1">
      <c r="A33" s="251" t="s">
        <v>337</v>
      </c>
      <c r="B33" s="206" t="s">
        <v>1590</v>
      </c>
      <c r="C33" s="252">
        <f ca="1">SUM(C34:C38)</f>
        <v>1008796317</v>
      </c>
      <c r="D33" s="228"/>
      <c r="E33" s="208"/>
      <c r="F33" s="237"/>
      <c r="G33" s="230"/>
    </row>
    <row r="34" spans="1:7" s="254" customFormat="1" ht="13.5" customHeight="1">
      <c r="A34" s="776" t="s">
        <v>346</v>
      </c>
      <c r="B34" s="211" t="s">
        <v>1525</v>
      </c>
      <c r="C34" s="216">
        <f ca="1">ROUND(IF(B1="",SUMPRODUCT('数据-取费表'!K6:K14,'数据-取费表'!L6:L14),INDIRECT("'数据-取费表'!l"&amp;$G$1)*INDIRECT("'数据-取费表'!k"&amp;$G$1)+'数据-取费表'!L14*INDIRECT("'数据-取费表'!S"&amp;$G$1)),0)</f>
        <v>927865800</v>
      </c>
      <c r="D34" s="213"/>
      <c r="E34" s="216"/>
      <c r="F34" s="253"/>
      <c r="G34" s="215"/>
    </row>
    <row r="35" spans="1:7" ht="13.5" customHeight="1">
      <c r="A35" s="776" t="s">
        <v>351</v>
      </c>
      <c r="B35" s="211" t="s">
        <v>1527</v>
      </c>
      <c r="C35" s="216">
        <f ca="1">ROUND(C34*F35,0)</f>
        <v>46393290</v>
      </c>
      <c r="D35" s="216"/>
      <c r="E35" s="216"/>
      <c r="F35" s="255">
        <f>'数据-取费表'!B33</f>
        <v>0.05</v>
      </c>
      <c r="G35" s="215" t="s">
        <v>1528</v>
      </c>
    </row>
    <row r="36" spans="1:7" ht="24">
      <c r="A36" s="776" t="s">
        <v>352</v>
      </c>
      <c r="B36" s="211" t="s">
        <v>1529</v>
      </c>
      <c r="C36" s="216">
        <f ca="1">ROUND(IF(B1="",SUM('数据-取费表'!AP6:AP13)*F36,IF(INDIRECT("'数据-取费表'!c"&amp;$G$1)="住宅",INDIRECT("'数据-取费表'!k"&amp;$G$1)*INDIRECT("'数据-取费表'!l"&amp;$G$1)*F36,0)),0)</f>
        <v>0</v>
      </c>
      <c r="D36" s="216"/>
      <c r="E36" s="216"/>
      <c r="F36" s="255">
        <f>'数据-取费表'!B34</f>
        <v>0</v>
      </c>
      <c r="G36" s="256" t="s">
        <v>1530</v>
      </c>
    </row>
    <row r="37" spans="1:7" s="254" customFormat="1" ht="13.5" customHeight="1">
      <c r="A37" s="776" t="s">
        <v>353</v>
      </c>
      <c r="B37" s="211" t="s">
        <v>1531</v>
      </c>
      <c r="C37" s="245">
        <f ca="1">ROUND(E37*D37,0)</f>
        <v>20619240</v>
      </c>
      <c r="D37" s="213">
        <f ca="1">D19</f>
        <v>103096.20000000001</v>
      </c>
      <c r="E37" s="245">
        <f>'数据-取费表'!B35</f>
        <v>200</v>
      </c>
      <c r="F37" s="255"/>
      <c r="G37" s="257"/>
    </row>
    <row r="38" spans="1:7" ht="13.5" customHeight="1">
      <c r="A38" s="776" t="s">
        <v>354</v>
      </c>
      <c r="B38" s="211" t="s">
        <v>1533</v>
      </c>
      <c r="C38" s="216">
        <f ca="1">ROUND(C34*F38,0)</f>
        <v>13917987</v>
      </c>
      <c r="D38" s="216"/>
      <c r="E38" s="216"/>
      <c r="F38" s="255">
        <f>'数据-取费表'!B36</f>
        <v>1.4999999999999999E-2</v>
      </c>
      <c r="G38" s="215" t="s">
        <v>1528</v>
      </c>
    </row>
    <row r="39" spans="1:7" s="210" customFormat="1" ht="13.5" customHeight="1">
      <c r="A39" s="251" t="s">
        <v>1534</v>
      </c>
      <c r="B39" s="206" t="s">
        <v>1535</v>
      </c>
      <c r="C39" s="228">
        <f ca="1">ROUND(C33*F20,0)</f>
        <v>30263890</v>
      </c>
      <c r="D39" s="228"/>
      <c r="E39" s="228"/>
      <c r="F39" s="229">
        <f>F20</f>
        <v>0.03</v>
      </c>
      <c r="G39" s="230" t="s">
        <v>1536</v>
      </c>
    </row>
    <row r="40" spans="1:7" s="210" customFormat="1" ht="13.5" customHeight="1">
      <c r="A40" s="251" t="s">
        <v>1537</v>
      </c>
      <c r="B40" s="206" t="s">
        <v>1538</v>
      </c>
      <c r="C40" s="1323">
        <f>F21</f>
        <v>2.5000000000000001E-2</v>
      </c>
      <c r="D40" s="232" t="s">
        <v>1539</v>
      </c>
      <c r="E40" s="228"/>
      <c r="F40" s="229">
        <f>F21</f>
        <v>2.5000000000000001E-2</v>
      </c>
      <c r="G40" s="230" t="s">
        <v>1540</v>
      </c>
    </row>
    <row r="41" spans="1:7" s="210" customFormat="1" ht="13.5" customHeight="1">
      <c r="A41" s="251" t="s">
        <v>1541</v>
      </c>
      <c r="B41" s="206" t="s">
        <v>1542</v>
      </c>
      <c r="C41" s="228">
        <f ca="1">ROUND(SUM(C42:C43),0)</f>
        <v>65347998</v>
      </c>
      <c r="D41" s="231">
        <f ca="1">C44</f>
        <v>1.6000000000000001E-3</v>
      </c>
      <c r="E41" s="232" t="s">
        <v>1539</v>
      </c>
      <c r="F41" s="233">
        <f ca="1">F22</f>
        <v>4.1499999999999995E-2</v>
      </c>
      <c r="G41" s="230" t="str">
        <f>IF('数据-取费表'!B22&lt;=1,"单利计息","复利计息")</f>
        <v>复利计息</v>
      </c>
    </row>
    <row r="42" spans="1:7" ht="13.5" customHeight="1">
      <c r="A42" s="776" t="s">
        <v>346</v>
      </c>
      <c r="B42" s="211" t="s">
        <v>1543</v>
      </c>
      <c r="C42" s="234">
        <f ca="1">ROUND(IF('数据-取费表'!B22&lt;=1,C33*F22*'数据-取费表'!B20/2,C33*(POWER((1+F22),'数据-取费表'!B20/2)-1)),0)</f>
        <v>63444658</v>
      </c>
      <c r="D42" s="234"/>
      <c r="E42" s="234"/>
      <c r="F42" s="235"/>
      <c r="G42" s="3768" t="s">
        <v>1591</v>
      </c>
    </row>
    <row r="43" spans="1:7" ht="13.5" customHeight="1">
      <c r="A43" s="776" t="s">
        <v>347</v>
      </c>
      <c r="B43" s="211" t="s">
        <v>1545</v>
      </c>
      <c r="C43" s="234">
        <f ca="1">ROUND(IF('数据-取费表'!B22&lt;=1,C39*F22*'数据-取费表'!B20/2,C39*(POWER((1+F22),'数据-取费表'!B20/2)-1)),0)</f>
        <v>1903340</v>
      </c>
      <c r="D43" s="234"/>
      <c r="E43" s="234"/>
      <c r="F43" s="235"/>
      <c r="G43" s="3769"/>
    </row>
    <row r="44" spans="1:7" ht="13.5" customHeight="1">
      <c r="A44" s="776" t="s">
        <v>348</v>
      </c>
      <c r="B44" s="211" t="s">
        <v>1546</v>
      </c>
      <c r="C44" s="234">
        <f ca="1">ROUND(IF('数据-取费表'!B22&lt;=1,C40*F22*'数据-取费表'!B20/2,C40*(POWER((1+F22),'数据-取费表'!B20/2)-1)),4)</f>
        <v>1.6000000000000001E-3</v>
      </c>
      <c r="D44" s="234"/>
      <c r="E44" s="234"/>
      <c r="F44" s="235"/>
      <c r="G44" s="3770"/>
    </row>
    <row r="45" spans="1:7" s="210" customFormat="1" ht="13.5" customHeight="1">
      <c r="A45" s="251" t="s">
        <v>1547</v>
      </c>
      <c r="B45" s="240" t="s">
        <v>1513</v>
      </c>
      <c r="C45" s="241">
        <f ca="1">C46</f>
        <v>218202643</v>
      </c>
      <c r="D45" s="231">
        <f ca="1">C47</f>
        <v>5.3E-3</v>
      </c>
      <c r="E45" s="232" t="s">
        <v>1539</v>
      </c>
      <c r="F45" s="242">
        <f ca="1">F27</f>
        <v>0.21</v>
      </c>
      <c r="G45" s="243" t="s">
        <v>1548</v>
      </c>
    </row>
    <row r="46" spans="1:7" s="210" customFormat="1" ht="13.5" customHeight="1">
      <c r="A46" s="776" t="s">
        <v>346</v>
      </c>
      <c r="B46" s="244" t="s">
        <v>1549</v>
      </c>
      <c r="C46" s="245">
        <f ca="1">ROUND((C33+C39)*F27,0)</f>
        <v>218202643</v>
      </c>
      <c r="D46" s="259"/>
      <c r="E46" s="232"/>
      <c r="F46" s="242"/>
      <c r="G46" s="243"/>
    </row>
    <row r="47" spans="1:7" s="210" customFormat="1" ht="13.5" customHeight="1">
      <c r="A47" s="776" t="s">
        <v>347</v>
      </c>
      <c r="B47" s="244" t="s">
        <v>1550</v>
      </c>
      <c r="C47" s="234">
        <f ca="1">ROUND(C40*F27,4)</f>
        <v>5.3E-3</v>
      </c>
      <c r="D47" s="259"/>
      <c r="E47" s="232"/>
      <c r="F47" s="242"/>
      <c r="G47" s="243"/>
    </row>
    <row r="48" spans="1:7" s="210" customFormat="1" ht="13.5" customHeight="1">
      <c r="A48" s="251" t="s">
        <v>1512</v>
      </c>
      <c r="B48" s="206" t="s">
        <v>1551</v>
      </c>
      <c r="C48" s="258">
        <f>ROUND(F30/(1+'数据-取费表'!C42),4)</f>
        <v>5.33E-2</v>
      </c>
      <c r="D48" s="232" t="s">
        <v>1539</v>
      </c>
      <c r="E48" s="228"/>
      <c r="F48" s="233">
        <f>F30</f>
        <v>5.6000000000000001E-2</v>
      </c>
      <c r="G48" s="230" t="s">
        <v>1552</v>
      </c>
    </row>
    <row r="49" spans="1:7" ht="16.5" customHeight="1">
      <c r="A49" s="251" t="s">
        <v>1518</v>
      </c>
      <c r="B49" s="206" t="s">
        <v>1592</v>
      </c>
      <c r="C49" s="228">
        <f ca="1">ROUND((C33+C39+C41+C45)/(1-C40-D41-D45-C48),0)</f>
        <v>1445792357</v>
      </c>
      <c r="D49" s="228"/>
      <c r="E49" s="228"/>
      <c r="F49" s="260"/>
      <c r="G49" s="230" t="s">
        <v>1554</v>
      </c>
    </row>
    <row r="50" spans="1:7" s="254" customFormat="1">
      <c r="A50" s="251" t="s">
        <v>1555</v>
      </c>
      <c r="B50" s="206" t="s">
        <v>1556</v>
      </c>
      <c r="C50" s="228"/>
      <c r="D50" s="228"/>
      <c r="E50" s="228"/>
      <c r="F50" s="260">
        <f>IF('数据-取费表'!B24=0,'数据-取费表'!N16,1)</f>
        <v>0.9</v>
      </c>
      <c r="G50" s="243"/>
    </row>
    <row r="51" spans="1:7" ht="16.5" customHeight="1">
      <c r="A51" s="251" t="s">
        <v>1558</v>
      </c>
      <c r="B51" s="206" t="s">
        <v>1593</v>
      </c>
      <c r="C51" s="228">
        <f ca="1">ROUND(C49*F50,0)</f>
        <v>1301213121</v>
      </c>
      <c r="D51" s="228"/>
      <c r="E51" s="228"/>
      <c r="F51" s="260"/>
      <c r="G51" s="230" t="s">
        <v>1560</v>
      </c>
    </row>
    <row r="52" spans="1:7" s="204" customFormat="1" ht="16.5" thickBot="1">
      <c r="A52" s="261" t="s">
        <v>1561</v>
      </c>
      <c r="B52" s="262"/>
      <c r="C52" s="263">
        <f ca="1">C31+C51</f>
        <v>1363328918</v>
      </c>
      <c r="D52" s="262"/>
      <c r="E52" s="262"/>
      <c r="F52" s="262"/>
      <c r="G52" s="264"/>
    </row>
    <row r="55" spans="1:7" ht="15">
      <c r="B55" s="266" t="s">
        <v>1562</v>
      </c>
      <c r="C55" s="267"/>
    </row>
    <row r="56" spans="1:7">
      <c r="B56" s="269" t="s">
        <v>802</v>
      </c>
      <c r="C56" s="271">
        <f ca="1">1-C57</f>
        <v>4.6000000000000041E-2</v>
      </c>
    </row>
    <row r="57" spans="1:7">
      <c r="B57" s="269" t="s">
        <v>803</v>
      </c>
      <c r="C57" s="270">
        <f ca="1">ROUND(C51/C52,3)</f>
        <v>0.95399999999999996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2" t="s">
        <v>1594</v>
      </c>
      <c r="B1" s="1187"/>
      <c r="C1" s="1188"/>
      <c r="D1" s="1186"/>
      <c r="E1" s="2796"/>
      <c r="F1" s="2796"/>
      <c r="G1" s="2661"/>
      <c r="H1" s="2796"/>
      <c r="I1" s="2796"/>
      <c r="J1" s="2796"/>
      <c r="K1" s="2797">
        <f>MATCH(C1,'数据-取费表'!A6:A16,0)+5</f>
        <v>8</v>
      </c>
    </row>
    <row r="2" spans="1:33" ht="18" customHeight="1">
      <c r="A2" s="197" t="s">
        <v>1462</v>
      </c>
      <c r="B2" s="200">
        <f ca="1">C32</f>
        <v>0</v>
      </c>
      <c r="C2" s="272" t="s">
        <v>1595</v>
      </c>
      <c r="D2" s="272"/>
      <c r="E2" s="2796"/>
      <c r="F2" s="2796"/>
      <c r="G2" s="2796"/>
      <c r="H2" s="2796"/>
      <c r="I2" s="2796"/>
      <c r="J2" s="2796"/>
      <c r="K2" s="2796"/>
    </row>
    <row r="3" spans="1:33" ht="18" customHeight="1" thickBot="1">
      <c r="A3" s="199" t="s">
        <v>1464</v>
      </c>
      <c r="B3" s="200">
        <f ca="1">ROUND(B2*10000/IF(C1="",'数据-汇总表'!E3,INDIRECT("'数据-取费表'!K"&amp;$K$1)),0)</f>
        <v>0</v>
      </c>
      <c r="C3" s="272" t="s">
        <v>1596</v>
      </c>
      <c r="D3" s="272"/>
      <c r="E3" s="2796"/>
      <c r="F3" s="2796"/>
      <c r="G3" s="2796"/>
      <c r="H3" s="2796"/>
      <c r="I3" s="2796"/>
      <c r="J3" s="2796"/>
      <c r="K3" s="2796"/>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7"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7" t="s">
        <v>1602</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0"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5">
        <f ca="1">IF(C1="",'数据-取费表'!P16,INDIRECT("'数据-取费表'!p"&amp;$K$1)+INDIRECT("'数据-取费表'!ar"&amp;$K$1))</f>
        <v>0</v>
      </c>
      <c r="D11" s="798"/>
      <c r="E11" s="325"/>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5"/>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5"/>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103096.20000000001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27"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7"/>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103096.20000000001</v>
      </c>
      <c r="E17" s="21">
        <f>'数据-取费表'!B32</f>
        <v>0</v>
      </c>
      <c r="F17" s="802"/>
      <c r="G17" s="127"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1627</v>
      </c>
      <c r="C20" s="21">
        <f ca="1">ROUND(D20*E20/10000,0)</f>
        <v>2062</v>
      </c>
      <c r="D20" s="842">
        <f ca="1">IF(C1="",'数据-汇总表'!E6,IF(INDIRECT("'数据-取费表'!c"&amp;$K$1)="住宅",INDIRECT("'数据-取费表'!s"&amp;$K$1),INDIRECT("'数据-取费表'!k"&amp;$K$1)+INDIRECT("'数据-取费表'!s"&amp;$K$1)))</f>
        <v>103096.20000000001</v>
      </c>
      <c r="E20" s="21">
        <f>'数据-取费表'!B28</f>
        <v>200</v>
      </c>
      <c r="F20" s="800"/>
      <c r="G20" s="12"/>
      <c r="H20" s="805"/>
      <c r="I20" s="805"/>
      <c r="J20" s="805"/>
      <c r="K20" s="806"/>
    </row>
    <row r="21" spans="1:33" s="799" customFormat="1" ht="13.5" customHeight="1">
      <c r="A21" s="786" t="s">
        <v>357</v>
      </c>
      <c r="B21" s="809" t="s">
        <v>1628</v>
      </c>
      <c r="C21" s="810">
        <f ca="1">C16+C17+C18</f>
        <v>0</v>
      </c>
      <c r="D21" s="811"/>
      <c r="E21" s="277"/>
      <c r="F21" s="277"/>
      <c r="G21" s="127" t="s">
        <v>1629</v>
      </c>
      <c r="H21" s="803"/>
      <c r="I21" s="803"/>
      <c r="J21" s="803"/>
      <c r="K21" s="804"/>
    </row>
    <row r="22" spans="1:33" s="799" customFormat="1" ht="13.5" customHeight="1">
      <c r="A22" s="786" t="s">
        <v>1601</v>
      </c>
      <c r="B22" s="809" t="s">
        <v>1630</v>
      </c>
      <c r="C22" s="810">
        <f ca="1">ROUND(C21*F22,0)</f>
        <v>0</v>
      </c>
      <c r="D22" s="277"/>
      <c r="E22" s="277"/>
      <c r="F22" s="812">
        <f>'数据-取费表'!B37</f>
        <v>0.03</v>
      </c>
      <c r="G22" s="5" t="s">
        <v>1631</v>
      </c>
      <c r="H22" s="793"/>
      <c r="I22" s="793"/>
      <c r="J22" s="793"/>
      <c r="K22" s="794"/>
    </row>
    <row r="23" spans="1:33" s="799" customFormat="1" ht="13.5" customHeight="1">
      <c r="A23" s="786" t="s">
        <v>1603</v>
      </c>
      <c r="B23" s="809" t="s">
        <v>1632</v>
      </c>
      <c r="C23" s="810">
        <f ca="1">ROUND(C4*F23*F11,0)</f>
        <v>0</v>
      </c>
      <c r="D23" s="277"/>
      <c r="E23" s="277"/>
      <c r="F23" s="812">
        <f>'数据-取费表'!B38</f>
        <v>2.5000000000000001E-2</v>
      </c>
      <c r="G23" s="5" t="s">
        <v>1633</v>
      </c>
      <c r="H23" s="793"/>
      <c r="I23" s="793"/>
      <c r="J23" s="793"/>
      <c r="K23" s="794"/>
    </row>
    <row r="24" spans="1:33" s="799" customFormat="1" ht="13.5" customHeight="1">
      <c r="A24" s="786" t="s">
        <v>1634</v>
      </c>
      <c r="B24" s="809" t="s">
        <v>1635</v>
      </c>
      <c r="C24" s="276">
        <f>ROUND(F24/(1+'数据-取费表'!C42),4)</f>
        <v>2.9000000000000001E-2</v>
      </c>
      <c r="D24" s="277" t="s">
        <v>12</v>
      </c>
      <c r="E24" s="277"/>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6">
        <f ca="1">C26</f>
        <v>0</v>
      </c>
      <c r="E25" s="278" t="s">
        <v>12</v>
      </c>
      <c r="F25" s="279">
        <f ca="1">'数据-取费表'!B40</f>
        <v>4.1499999999999995E-2</v>
      </c>
      <c r="G25" s="127"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0"/>
      <c r="E26" s="281"/>
      <c r="F26" s="282"/>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0"/>
      <c r="E27" s="281"/>
      <c r="F27" s="282"/>
      <c r="G27" s="1860" t="str">
        <f>IF('数据-取费表'!B22&lt;=1,"（1）-（3）项×年利率×建设期÷2","（1）-（3）项×((1+年利率)^(建设期÷2)-1)")</f>
        <v>（1）-（3）项×((1+年利率)^(建设期÷2)-1)</v>
      </c>
      <c r="H27" s="803"/>
      <c r="I27" s="803"/>
      <c r="J27" s="803"/>
      <c r="K27" s="804"/>
    </row>
    <row r="28" spans="1:33" s="285" customFormat="1" ht="13.5" customHeight="1">
      <c r="A28" s="786" t="s">
        <v>1641</v>
      </c>
      <c r="B28" s="1861" t="s">
        <v>1642</v>
      </c>
      <c r="C28" s="283">
        <f ca="1">C30</f>
        <v>0</v>
      </c>
      <c r="D28" s="276">
        <f ca="1">C29</f>
        <v>0</v>
      </c>
      <c r="E28" s="278" t="s">
        <v>12</v>
      </c>
      <c r="F28" s="284">
        <f ca="1">IF(C1="",'数据-取费表'!Q16,INDIRECT("'数据-取费表'!q"&amp;$K$1))</f>
        <v>0.21</v>
      </c>
      <c r="G28" s="813"/>
      <c r="H28" s="814"/>
      <c r="I28" s="814"/>
      <c r="J28" s="814"/>
      <c r="K28" s="815"/>
    </row>
    <row r="29" spans="1:33" s="287" customFormat="1" ht="13.5" customHeight="1">
      <c r="A29" s="796" t="s">
        <v>358</v>
      </c>
      <c r="B29" s="818" t="s">
        <v>1643</v>
      </c>
      <c r="C29" s="280">
        <f ca="1">ROUND((1+C24)*F28*'数据-取费表'!B24/'数据-取费表'!B20,4)</f>
        <v>0</v>
      </c>
      <c r="D29" s="280"/>
      <c r="E29" s="281"/>
      <c r="F29" s="286"/>
      <c r="G29" s="127" t="s">
        <v>1644</v>
      </c>
      <c r="H29" s="803"/>
      <c r="I29" s="803"/>
      <c r="J29" s="803"/>
      <c r="K29" s="804"/>
    </row>
    <row r="30" spans="1:33" s="287" customFormat="1" ht="13.5" customHeight="1">
      <c r="A30" s="796" t="s">
        <v>359</v>
      </c>
      <c r="B30" s="818" t="s">
        <v>1645</v>
      </c>
      <c r="C30" s="288">
        <f ca="1">ROUND((C21+C22+C23)*F28,0)</f>
        <v>0</v>
      </c>
      <c r="D30" s="280"/>
      <c r="E30" s="281"/>
      <c r="F30" s="286"/>
      <c r="G30" s="127"/>
      <c r="H30" s="803"/>
      <c r="I30" s="803"/>
      <c r="J30" s="803"/>
      <c r="K30" s="804"/>
    </row>
    <row r="31" spans="1:33" s="799" customFormat="1" ht="13.5" customHeight="1" thickBot="1">
      <c r="A31" s="1862" t="s">
        <v>1646</v>
      </c>
      <c r="B31" s="829" t="s">
        <v>1647</v>
      </c>
      <c r="C31" s="830">
        <f>ROUND(C4*F31/(1+'数据-取费表'!C42),0)</f>
        <v>0</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42" sqref="K42"/>
    </sheetView>
  </sheetViews>
  <sheetFormatPr defaultColWidth="9" defaultRowHeight="12.75"/>
  <cols>
    <col min="1" max="1" width="9" style="254" customWidth="1"/>
    <col min="2" max="2" width="20.625" style="651" customWidth="1"/>
    <col min="3" max="3" width="11.875" style="65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464" customWidth="1"/>
    <col min="12" max="12" width="16.375" style="254" customWidth="1"/>
    <col min="13" max="13" width="13" style="254"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4"/>
  </cols>
  <sheetData>
    <row r="1" spans="1:37" s="289" customFormat="1" ht="21">
      <c r="A1" s="1371" t="s">
        <v>877</v>
      </c>
      <c r="B1" s="709"/>
      <c r="C1" s="1375" t="s">
        <v>3886</v>
      </c>
      <c r="D1" s="1358" t="s">
        <v>43</v>
      </c>
      <c r="E1" s="1359" t="s">
        <v>678</v>
      </c>
      <c r="F1" s="1058">
        <f ca="1">J53</f>
        <v>34.58</v>
      </c>
      <c r="G1" s="1374">
        <f>MATCH(C1,'数据-取费表'!A6:A16,0)+5</f>
        <v>7</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11675</v>
      </c>
      <c r="C2" s="1383" t="s">
        <v>805</v>
      </c>
      <c r="D2" s="1383"/>
      <c r="E2" s="1384"/>
      <c r="F2" s="1385"/>
      <c r="G2" s="2696"/>
      <c r="H2" s="2685"/>
      <c r="I2" s="2685"/>
      <c r="J2" s="2685"/>
      <c r="K2" s="2686"/>
      <c r="L2" s="2685"/>
      <c r="M2" s="2685"/>
    </row>
    <row r="3" spans="1:37" ht="18" customHeight="1" thickBot="1">
      <c r="A3" s="1386" t="s">
        <v>806</v>
      </c>
      <c r="B3" s="1387">
        <f ca="1">IF(ISERROR(B2*10000/F43),0,ROUND(B2*10000/F43,0))</f>
        <v>5514</v>
      </c>
      <c r="C3" s="1383" t="s">
        <v>807</v>
      </c>
      <c r="D3" s="1383"/>
      <c r="E3" s="1384"/>
      <c r="F3" s="1385"/>
      <c r="G3" s="2696"/>
      <c r="H3" s="679" t="s">
        <v>876</v>
      </c>
      <c r="I3" s="1378"/>
      <c r="J3" s="1378"/>
      <c r="K3" s="1379"/>
      <c r="L3" s="1378"/>
      <c r="M3" s="1378"/>
    </row>
    <row r="4" spans="1:37" ht="18" customHeight="1">
      <c r="A4" s="291" t="s">
        <v>687</v>
      </c>
      <c r="B4" s="292" t="s">
        <v>688</v>
      </c>
      <c r="C4" s="292" t="s">
        <v>689</v>
      </c>
      <c r="D4" s="292" t="s">
        <v>690</v>
      </c>
      <c r="E4" s="293" t="s">
        <v>691</v>
      </c>
      <c r="F4" s="294"/>
      <c r="G4" s="1380"/>
      <c r="H4" s="291" t="s">
        <v>687</v>
      </c>
      <c r="I4" s="292" t="s">
        <v>688</v>
      </c>
      <c r="J4" s="292" t="s">
        <v>689</v>
      </c>
      <c r="K4" s="292" t="s">
        <v>690</v>
      </c>
      <c r="L4" s="293" t="s">
        <v>691</v>
      </c>
      <c r="M4" s="294"/>
    </row>
    <row r="5" spans="1:37" ht="18" customHeight="1">
      <c r="A5" s="295">
        <v>1</v>
      </c>
      <c r="B5" s="296" t="s">
        <v>692</v>
      </c>
      <c r="C5" s="1066">
        <f ca="1">C6+C10+C12</f>
        <v>735</v>
      </c>
      <c r="D5" s="1360" t="s">
        <v>693</v>
      </c>
      <c r="E5" s="1067"/>
      <c r="F5" s="1068"/>
      <c r="G5" s="1380"/>
      <c r="H5" s="295">
        <v>1</v>
      </c>
      <c r="I5" s="296" t="s">
        <v>692</v>
      </c>
      <c r="J5" s="1066">
        <f ca="1">J6+J10+J12</f>
        <v>0</v>
      </c>
      <c r="K5" s="1360" t="s">
        <v>693</v>
      </c>
      <c r="L5" s="1067"/>
      <c r="M5" s="1068"/>
    </row>
    <row r="6" spans="1:37" ht="18" customHeight="1">
      <c r="A6" s="1065" t="s">
        <v>398</v>
      </c>
      <c r="B6" s="3771" t="s">
        <v>694</v>
      </c>
      <c r="C6" s="1070">
        <f ca="1">ROUND(F6*F8*F7*(1-F9)/10000,0)</f>
        <v>734</v>
      </c>
      <c r="D6" s="151" t="s">
        <v>2109</v>
      </c>
      <c r="E6" s="298" t="s">
        <v>696</v>
      </c>
      <c r="F6" s="299">
        <f ca="1">INDIRECT("'数据-取费表'!u"&amp;$G$1)</f>
        <v>1</v>
      </c>
      <c r="G6" s="1380"/>
      <c r="H6" s="1065" t="s">
        <v>398</v>
      </c>
      <c r="I6" s="3771" t="s">
        <v>694</v>
      </c>
      <c r="J6" s="297">
        <f ca="1">ROUND(M6*M8*M7*(1-M9)/10000,0)</f>
        <v>0</v>
      </c>
      <c r="K6" s="151" t="s">
        <v>2108</v>
      </c>
      <c r="L6" s="298" t="s">
        <v>696</v>
      </c>
      <c r="M6" s="299">
        <f ca="1">INDIRECT("'数据-取费表'!z"&amp;$G$1)</f>
        <v>0</v>
      </c>
    </row>
    <row r="7" spans="1:37" ht="18" customHeight="1">
      <c r="A7" s="1069"/>
      <c r="B7" s="3772"/>
      <c r="C7" s="1071"/>
      <c r="D7" s="303"/>
      <c r="E7" s="3455" t="s">
        <v>697</v>
      </c>
      <c r="F7" s="299">
        <f ca="1">IF(INDIRECT("'数据-取费表'!ah"&amp;$G$1)="",INDIRECT("'数据-取费表'!k"&amp;$G$1),INDIRECT("'数据-取费表'!ah"&amp;$G$1))</f>
        <v>21174.010000000002</v>
      </c>
      <c r="G7" s="1380"/>
      <c r="H7" s="300"/>
      <c r="I7" s="3772"/>
      <c r="J7" s="302"/>
      <c r="K7" s="303"/>
      <c r="L7" s="298" t="s">
        <v>697</v>
      </c>
      <c r="M7" s="299">
        <f ca="1">F7</f>
        <v>21174.010000000002</v>
      </c>
    </row>
    <row r="8" spans="1:37" ht="18" customHeight="1">
      <c r="A8" s="300"/>
      <c r="B8" s="3772"/>
      <c r="C8" s="302"/>
      <c r="D8" s="303"/>
      <c r="E8" s="298" t="s">
        <v>698</v>
      </c>
      <c r="F8" s="299">
        <f ca="1">INDIRECT("'数据-取费表'!ai"&amp;$G$1)</f>
        <v>365</v>
      </c>
      <c r="G8" s="1380"/>
      <c r="H8" s="300"/>
      <c r="I8" s="3772"/>
      <c r="J8" s="302"/>
      <c r="K8" s="303"/>
      <c r="L8" s="298" t="s">
        <v>698</v>
      </c>
      <c r="M8" s="299">
        <f ca="1">INDIRECT("'数据-取费表'!ai"&amp;$G$1)</f>
        <v>365</v>
      </c>
    </row>
    <row r="9" spans="1:37" ht="18" customHeight="1">
      <c r="A9" s="300"/>
      <c r="B9" s="3773"/>
      <c r="C9" s="302"/>
      <c r="D9" s="303"/>
      <c r="E9" s="298" t="s">
        <v>699</v>
      </c>
      <c r="F9" s="308">
        <f ca="1">INDIRECT("'数据-取费表'!w"&amp;$G$1)</f>
        <v>0.05</v>
      </c>
      <c r="G9" s="1380"/>
      <c r="H9" s="300"/>
      <c r="I9" s="3773"/>
      <c r="J9" s="302"/>
      <c r="K9" s="303"/>
      <c r="L9" s="309" t="s">
        <v>699</v>
      </c>
      <c r="M9" s="310">
        <f ca="1">INDIRECT("'数据-取费表'!ab"&amp;$G$1)</f>
        <v>0</v>
      </c>
    </row>
    <row r="10" spans="1:37" ht="18" customHeight="1">
      <c r="A10" s="1065" t="s">
        <v>402</v>
      </c>
      <c r="B10" s="1361" t="s">
        <v>700</v>
      </c>
      <c r="C10" s="312">
        <f ca="1">ROUND(IF(F10="押一",C6/12*F11,IF(F10="押二",C6/12*2*F11,IF(F10="押三",C6/12*3*F11,C11*F11))),0)</f>
        <v>1</v>
      </c>
      <c r="D10" s="1362" t="s">
        <v>2117</v>
      </c>
      <c r="E10" s="309" t="s">
        <v>701</v>
      </c>
      <c r="F10" s="1112" t="s">
        <v>3399</v>
      </c>
      <c r="G10" s="1380"/>
      <c r="H10" s="1065" t="s">
        <v>402</v>
      </c>
      <c r="I10" s="1361" t="s">
        <v>700</v>
      </c>
      <c r="J10" s="297">
        <f ca="1">ROUND(IF(M10="押一",J6/12*M11,IF(M10="押二",J6/12*2*M11,IF(M10="押三",J6/12*3*M11,J11*M11))),0)</f>
        <v>0</v>
      </c>
      <c r="K10" s="1362" t="s">
        <v>2116</v>
      </c>
      <c r="L10" s="309" t="s">
        <v>701</v>
      </c>
      <c r="M10" s="1112"/>
    </row>
    <row r="11" spans="1:37" ht="18" customHeight="1">
      <c r="A11" s="304"/>
      <c r="B11" s="1363" t="s">
        <v>679</v>
      </c>
      <c r="C11" s="955"/>
      <c r="D11" s="1364"/>
      <c r="E11" s="309" t="s">
        <v>702</v>
      </c>
      <c r="F11" s="310">
        <f ca="1">'数据-取费表'!B39</f>
        <v>1.4999999999999999E-2</v>
      </c>
      <c r="G11" s="1380"/>
      <c r="H11" s="1073"/>
      <c r="I11" s="1363" t="s">
        <v>679</v>
      </c>
      <c r="J11" s="955"/>
      <c r="K11" s="680"/>
      <c r="L11" s="309"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6">
        <f ca="1">ROUND(C29*F13,0)</f>
        <v>23264</v>
      </c>
      <c r="D13" s="3447" t="s">
        <v>705</v>
      </c>
      <c r="E13" s="3447" t="s">
        <v>706</v>
      </c>
      <c r="F13" s="1078">
        <f ca="1">INDIRECT("'数据-取费表'!y"&amp;$G$1)</f>
        <v>0.89999999999999991</v>
      </c>
      <c r="G13" s="1380"/>
      <c r="H13" s="1075">
        <v>2</v>
      </c>
      <c r="I13" s="1076" t="s">
        <v>704</v>
      </c>
      <c r="J13" s="1064">
        <f ca="1">ROUND(J14*J15,0)</f>
        <v>0</v>
      </c>
      <c r="K13" s="1083" t="s">
        <v>705</v>
      </c>
      <c r="L13" s="1388"/>
      <c r="M13" s="1389"/>
    </row>
    <row r="14" spans="1:37" ht="18" customHeight="1">
      <c r="A14" s="978" t="s">
        <v>397</v>
      </c>
      <c r="B14" s="298" t="s">
        <v>707</v>
      </c>
      <c r="C14" s="314">
        <f ca="1">INDIRECT("'数据-取费表'!m"&amp;$G$1)+INDIRECT("'数据-取费表'!t"&amp;$G$1)</f>
        <v>19057</v>
      </c>
      <c r="D14" s="3451" t="s">
        <v>708</v>
      </c>
      <c r="E14" s="3449"/>
      <c r="F14" s="315"/>
      <c r="G14" s="1380"/>
      <c r="H14" s="978" t="s">
        <v>398</v>
      </c>
      <c r="I14" s="298" t="s">
        <v>709</v>
      </c>
      <c r="J14" s="21">
        <f ca="1">C29</f>
        <v>25849</v>
      </c>
      <c r="K14" s="3454"/>
      <c r="L14" s="803"/>
      <c r="M14" s="804"/>
    </row>
    <row r="15" spans="1:37" s="1393" customFormat="1" ht="18" customHeight="1" thickBot="1">
      <c r="A15" s="978" t="s">
        <v>399</v>
      </c>
      <c r="B15" s="298" t="s">
        <v>710</v>
      </c>
      <c r="C15" s="21">
        <f ca="1">ROUND(C14*F15,0)</f>
        <v>953</v>
      </c>
      <c r="D15" s="3448" t="s">
        <v>711</v>
      </c>
      <c r="E15" s="3448" t="s">
        <v>712</v>
      </c>
      <c r="F15" s="317">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8" t="s">
        <v>713</v>
      </c>
      <c r="C16" s="21">
        <f ca="1">ROUND(INDIRECT("'数据-取费表'!m"&amp;$G$1)*F16,0)</f>
        <v>0</v>
      </c>
      <c r="D16" s="298" t="s">
        <v>711</v>
      </c>
      <c r="E16" s="298" t="s">
        <v>712</v>
      </c>
      <c r="F16" s="318">
        <f ca="1">IF(INDIRECT("'数据-取费表'!c"&amp;$G$1)="住宅",'数据-取费表'!B34,0)</f>
        <v>0</v>
      </c>
      <c r="G16" s="1380"/>
      <c r="H16" s="1075" t="s">
        <v>393</v>
      </c>
      <c r="I16" s="1076" t="s">
        <v>714</v>
      </c>
      <c r="J16" s="306">
        <f ca="1">ROUND(J17+J22+J23+J24,0)</f>
        <v>131</v>
      </c>
      <c r="K16" s="1083" t="s">
        <v>715</v>
      </c>
      <c r="L16" s="3452"/>
      <c r="M16" s="1068"/>
    </row>
    <row r="17" spans="1:37" s="1393" customFormat="1" ht="18" customHeight="1">
      <c r="A17" s="978" t="s">
        <v>681</v>
      </c>
      <c r="B17" s="298" t="s">
        <v>716</v>
      </c>
      <c r="C17" s="21">
        <f ca="1">ROUND(F17*(F43+INDIRECT("'数据-取费表'!S"&amp;$G$1))/10000,0)</f>
        <v>423</v>
      </c>
      <c r="D17" s="298" t="s">
        <v>717</v>
      </c>
      <c r="E17" s="298" t="s">
        <v>718</v>
      </c>
      <c r="F17" s="23">
        <f>'数据-取费表'!B35</f>
        <v>200</v>
      </c>
      <c r="G17" s="1392"/>
      <c r="H17" s="978" t="s">
        <v>398</v>
      </c>
      <c r="I17" s="298" t="s">
        <v>719</v>
      </c>
      <c r="J17" s="2312">
        <f ca="1">ROUND(IF(AND(项目基本情况!B11="自然人",项目基本情况!B10="北京市"),J6*M17/(1+'数据-取费表'!C42),J18+J19+J20),2)</f>
        <v>1.45</v>
      </c>
      <c r="K17" s="3451" t="s">
        <v>720</v>
      </c>
      <c r="L17" s="345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8" t="s">
        <v>722</v>
      </c>
      <c r="C18" s="21">
        <f ca="1">ROUND(C14*F18,0)</f>
        <v>286</v>
      </c>
      <c r="D18" s="298" t="s">
        <v>711</v>
      </c>
      <c r="E18" s="298" t="s">
        <v>712</v>
      </c>
      <c r="F18" s="318">
        <f>'数据-取费表'!B36</f>
        <v>1.4999999999999999E-2</v>
      </c>
      <c r="G18" s="1392"/>
      <c r="H18" s="978" t="s">
        <v>397</v>
      </c>
      <c r="I18" s="298" t="s">
        <v>723</v>
      </c>
      <c r="J18" s="21">
        <f ca="1">ROUND(J6*M18/(1+'数据-取费表'!C42),2)</f>
        <v>0</v>
      </c>
      <c r="K18" s="3450" t="s">
        <v>724</v>
      </c>
      <c r="L18" s="298" t="s">
        <v>712</v>
      </c>
      <c r="M18" s="318">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8" t="s">
        <v>725</v>
      </c>
      <c r="C19" s="21">
        <f ca="1">SUM(C14:C18)</f>
        <v>20719</v>
      </c>
      <c r="D19" s="127" t="s">
        <v>726</v>
      </c>
      <c r="E19" s="3457"/>
      <c r="F19" s="23"/>
      <c r="G19" s="1380"/>
      <c r="H19" s="978" t="s">
        <v>399</v>
      </c>
      <c r="I19" s="298" t="s">
        <v>727</v>
      </c>
      <c r="J19" s="21">
        <f ca="1">IF(K19="按租金收入计税",ROUND(J6*M19/(1+'数据-取费表'!C42),2),ROUND(C29*M19*0.7,2))</f>
        <v>0</v>
      </c>
      <c r="K19" s="1366" t="s">
        <v>3337</v>
      </c>
      <c r="L19" s="298" t="s">
        <v>712</v>
      </c>
      <c r="M19" s="318">
        <f>IF(K19="按租金收入计税",'数据-取费表'!B51,'数据-取费表'!B50)</f>
        <v>0.12</v>
      </c>
    </row>
    <row r="20" spans="1:37" s="1393" customFormat="1" ht="18" customHeight="1">
      <c r="A20" s="978" t="s">
        <v>402</v>
      </c>
      <c r="B20" s="298" t="s">
        <v>728</v>
      </c>
      <c r="C20" s="21">
        <f ca="1">ROUND(C19*F20,0)</f>
        <v>622</v>
      </c>
      <c r="D20" s="2421" t="s">
        <v>729</v>
      </c>
      <c r="E20" s="298" t="s">
        <v>712</v>
      </c>
      <c r="F20" s="318">
        <f>'数据-取费表'!B37</f>
        <v>0.03</v>
      </c>
      <c r="G20" s="1392"/>
      <c r="H20" s="978" t="s">
        <v>680</v>
      </c>
      <c r="I20" s="151" t="s">
        <v>730</v>
      </c>
      <c r="J20" s="22">
        <f ca="1">ROUND(M20*M21/10000,2)</f>
        <v>1.45</v>
      </c>
      <c r="K20" s="320" t="s">
        <v>731</v>
      </c>
      <c r="L20" s="298" t="s">
        <v>732</v>
      </c>
      <c r="M20" s="321">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8" t="s">
        <v>733</v>
      </c>
      <c r="C21" s="21" t="s">
        <v>15</v>
      </c>
      <c r="D21" s="2421" t="s">
        <v>734</v>
      </c>
      <c r="E21" s="298" t="s">
        <v>735</v>
      </c>
      <c r="F21" s="318">
        <f>'数据-取费表'!B38</f>
        <v>2.5000000000000001E-2</v>
      </c>
      <c r="G21" s="1392"/>
      <c r="H21" s="322"/>
      <c r="I21" s="307"/>
      <c r="J21" s="26"/>
      <c r="K21" s="323"/>
      <c r="L21" s="298" t="s">
        <v>736</v>
      </c>
      <c r="M21" s="299">
        <f ca="1">INDIRECT("'数据-取费表'!r"&amp;$G$1)</f>
        <v>4844.2700000000004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8" t="s">
        <v>737</v>
      </c>
      <c r="C22" s="21"/>
      <c r="D22" s="127" t="str">
        <f>IF(F23&lt;=1,"单利计息。","复利计息。")&amp;"建造成本、管理费用、销售费用产生的利息。"</f>
        <v>复利计息。建造成本、管理费用、销售费用产生的利息。</v>
      </c>
      <c r="E22" s="3457"/>
      <c r="F22" s="23"/>
      <c r="G22" s="1380"/>
      <c r="H22" s="978" t="s">
        <v>402</v>
      </c>
      <c r="I22" s="298" t="s">
        <v>738</v>
      </c>
      <c r="J22" s="21">
        <f ca="1">ROUND(J14*M22,2)</f>
        <v>129.25</v>
      </c>
      <c r="K22" s="3450" t="s">
        <v>739</v>
      </c>
      <c r="L22" s="298" t="s">
        <v>712</v>
      </c>
      <c r="M22" s="324">
        <f ca="1">INDIRECT("'数据-取费表'!Ak"&amp;$G$1)</f>
        <v>5.0000000000000001E-3</v>
      </c>
    </row>
    <row r="23" spans="1:37" s="1393" customFormat="1" ht="18" customHeight="1">
      <c r="A23" s="978" t="s">
        <v>397</v>
      </c>
      <c r="B23" s="298" t="s">
        <v>740</v>
      </c>
      <c r="C23" s="21">
        <f ca="1">IF('数据-取费表'!B22&lt;=1,ROUND(C19*F24*F23/2,0)+ROUND(C20*F24*F23/2,0),ROUND(C19*(POWER((1+F24),F23/2)-1),0)+ROUND(C20*(POWER((1+F24),F23/2)-1),0))</f>
        <v>1342</v>
      </c>
      <c r="D23" s="325" t="str">
        <f>IF(F23&lt;=1,"(建造成本+管理费用)×利率×(建设周期÷2)","(建造成本+管理费用)×((1+利率)^(建设周期÷2)-1)")</f>
        <v>(建造成本+管理费用)×((1+利率)^(建设周期÷2)-1)</v>
      </c>
      <c r="E23" s="298" t="s">
        <v>741</v>
      </c>
      <c r="F23" s="321">
        <f>'数据-取费表'!B20</f>
        <v>3</v>
      </c>
      <c r="G23" s="1392"/>
      <c r="H23" s="978" t="s">
        <v>437</v>
      </c>
      <c r="I23" s="298" t="s">
        <v>742</v>
      </c>
      <c r="J23" s="21">
        <f ca="1">ROUND(J13*M23,2)</f>
        <v>0</v>
      </c>
      <c r="K23" s="3450" t="s">
        <v>743</v>
      </c>
      <c r="L23" s="298" t="s">
        <v>744</v>
      </c>
      <c r="M23" s="326">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8" t="s">
        <v>746</v>
      </c>
      <c r="C24" s="21">
        <f ca="1">ROUND(IF('数据-取费表'!B22&lt;=1,F21*F24*F23/2,F21*(POWER((1+F24),F23/2)-1)),4)</f>
        <v>1.6000000000000001E-3</v>
      </c>
      <c r="D24" s="325" t="str">
        <f>IF(F23&lt;=1,"销售费用×利率×(建设周期÷2)","销售费用×((1+利率)^(建设周期÷2)-1)")</f>
        <v>销售费用×((1+利率)^(建设周期÷2)-1)</v>
      </c>
      <c r="E24" s="298" t="s">
        <v>747</v>
      </c>
      <c r="F24" s="327">
        <f ca="1">'数据-取费表'!B40</f>
        <v>4.1499999999999995E-2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8" t="s">
        <v>750</v>
      </c>
      <c r="C25" s="21"/>
      <c r="D25" s="127" t="s">
        <v>751</v>
      </c>
      <c r="E25" s="3457"/>
      <c r="F25" s="23"/>
      <c r="G25" s="1380"/>
      <c r="H25" s="1075" t="s">
        <v>394</v>
      </c>
      <c r="I25" s="1090" t="s">
        <v>752</v>
      </c>
      <c r="J25" s="306">
        <f ca="1">J5-J16</f>
        <v>-131</v>
      </c>
      <c r="K25" s="1091" t="s">
        <v>753</v>
      </c>
      <c r="L25" s="1092"/>
      <c r="M25" s="1093"/>
    </row>
    <row r="26" spans="1:37">
      <c r="A26" s="978" t="s">
        <v>397</v>
      </c>
      <c r="B26" s="298" t="s">
        <v>754</v>
      </c>
      <c r="C26" s="21">
        <f ca="1">ROUND((C19+C20)*F26,0)</f>
        <v>1067</v>
      </c>
      <c r="D26" s="2421" t="s">
        <v>755</v>
      </c>
      <c r="E26" s="309" t="s">
        <v>756</v>
      </c>
      <c r="F26" s="308">
        <f ca="1">INDIRECT("'数据-取费表'!q"&amp;$G$1)</f>
        <v>0.05</v>
      </c>
      <c r="G26" s="1380"/>
      <c r="H26" s="295" t="s">
        <v>395</v>
      </c>
      <c r="I26" s="296" t="s">
        <v>757</v>
      </c>
      <c r="J26" s="297">
        <f ca="1">IF(J5&lt;&gt;0,ROUND(J25*(1-((1+M28)/(1+M26))^M27)/(M26-M28),0),0)</f>
        <v>0</v>
      </c>
      <c r="K26" s="320" t="s">
        <v>758</v>
      </c>
      <c r="L26" s="298" t="s">
        <v>759</v>
      </c>
      <c r="M26" s="308">
        <f ca="1">INDIRECT("'数据-取费表'!I"&amp;$G$1)</f>
        <v>0.05</v>
      </c>
    </row>
    <row r="27" spans="1:37" ht="18" customHeight="1">
      <c r="A27" s="978" t="s">
        <v>399</v>
      </c>
      <c r="B27" s="298" t="s">
        <v>760</v>
      </c>
      <c r="C27" s="21">
        <f ca="1">ROUND(F21*F26,4)</f>
        <v>1.2999999999999999E-3</v>
      </c>
      <c r="D27" s="2421" t="s">
        <v>761</v>
      </c>
      <c r="E27" s="3448"/>
      <c r="F27" s="317"/>
      <c r="G27" s="1380"/>
      <c r="H27" s="300"/>
      <c r="I27" s="301"/>
      <c r="J27" s="302"/>
      <c r="K27" s="328" t="s">
        <v>762</v>
      </c>
      <c r="L27" s="298" t="s">
        <v>763</v>
      </c>
      <c r="M27" s="329">
        <f ca="1">INDIRECT("'数据-取费表'!ag"&amp;$G$1)</f>
        <v>0</v>
      </c>
    </row>
    <row r="28" spans="1:37" s="1393" customFormat="1" ht="18" customHeight="1">
      <c r="A28" s="978" t="s">
        <v>400</v>
      </c>
      <c r="B28" s="298" t="s">
        <v>764</v>
      </c>
      <c r="C28" s="21">
        <f>ROUND(F28/(1+'数据-取费表'!C42),4)</f>
        <v>5.33E-2</v>
      </c>
      <c r="D28" s="2421" t="s">
        <v>765</v>
      </c>
      <c r="E28" s="298" t="s">
        <v>712</v>
      </c>
      <c r="F28" s="318">
        <f>'数据-取费表'!B41</f>
        <v>5.6000000000000001E-2</v>
      </c>
      <c r="G28" s="1392"/>
      <c r="H28" s="304"/>
      <c r="I28" s="305"/>
      <c r="J28" s="306"/>
      <c r="K28" s="323"/>
      <c r="L28" s="298" t="s">
        <v>766</v>
      </c>
      <c r="M28" s="308">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25849</v>
      </c>
      <c r="D29" s="1088"/>
      <c r="E29" s="1086"/>
      <c r="F29" s="1089"/>
      <c r="G29" s="1392"/>
      <c r="H29" s="330" t="s">
        <v>396</v>
      </c>
      <c r="I29" s="331" t="s">
        <v>768</v>
      </c>
      <c r="J29" s="332">
        <f ca="1">ROUND(J26/(1+F40)^F41,0)</f>
        <v>0</v>
      </c>
      <c r="K29" s="333" t="s">
        <v>769</v>
      </c>
      <c r="L29" s="334"/>
      <c r="M29" s="335">
        <f ca="1">INDIRECT("'数据-取费表'!k"&amp;$G$1)</f>
        <v>21174.010000000002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6">
        <f ca="1">ROUND(C31+C36+C37+C38,0)</f>
        <v>284</v>
      </c>
      <c r="D30" s="1083" t="s">
        <v>715</v>
      </c>
      <c r="E30" s="3452"/>
      <c r="F30" s="1068"/>
      <c r="G30" s="1380"/>
      <c r="H30" s="2687"/>
      <c r="I30" s="1394"/>
      <c r="J30" s="1395"/>
      <c r="K30" s="2466"/>
      <c r="L30" s="2688"/>
      <c r="M30" s="2689"/>
    </row>
    <row r="31" spans="1:37" ht="18" customHeight="1">
      <c r="A31" s="978" t="s">
        <v>398</v>
      </c>
      <c r="B31" s="298" t="s">
        <v>719</v>
      </c>
      <c r="C31" s="2312">
        <f ca="1">ROUND(IF(AND(项目基本情况!B11="自然人",项目基本情况!B10="北京市"),C6*F31/(1+'数据-取费表'!C42),C32+C33+C34),2)</f>
        <v>124.49</v>
      </c>
      <c r="D31" s="3451" t="s">
        <v>720</v>
      </c>
      <c r="E31" s="3450" t="s">
        <v>770</v>
      </c>
      <c r="F31" s="2311" t="str">
        <f>IF(项目基本情况!B11="企业","——",IF(M47="住宅",IF(F6*F7*F8/12/(1+'数据-取费表'!F30)&gt;100000,4%,2.5%),IF(F6*F7*F8/12/(1+'数据-取费表'!F30)&gt;100000,12%,7%)))</f>
        <v>——</v>
      </c>
      <c r="G31" s="1380"/>
      <c r="H31" s="2798" t="s">
        <v>2304</v>
      </c>
      <c r="I31" s="1394"/>
      <c r="J31" s="1395"/>
      <c r="K31" s="2466"/>
      <c r="L31" s="2688"/>
      <c r="M31" s="2689"/>
    </row>
    <row r="32" spans="1:37" ht="18" customHeight="1">
      <c r="A32" s="978" t="s">
        <v>397</v>
      </c>
      <c r="B32" s="298" t="s">
        <v>723</v>
      </c>
      <c r="C32" s="21">
        <f ca="1">IF(项目基本情况!B11="自然人","——",ROUND(C6*F32/(1+'数据-取费表'!C42),2))</f>
        <v>39.15</v>
      </c>
      <c r="D32" s="3450" t="s">
        <v>724</v>
      </c>
      <c r="E32" s="298" t="s">
        <v>712</v>
      </c>
      <c r="F32" s="327">
        <f>'数据-取费表'!B41</f>
        <v>5.6000000000000001E-2</v>
      </c>
      <c r="G32" s="1380"/>
      <c r="H32" s="2687"/>
      <c r="I32" s="1394"/>
      <c r="J32" s="1395"/>
      <c r="K32" s="2466"/>
      <c r="L32" s="2688"/>
      <c r="M32" s="2689"/>
    </row>
    <row r="33" spans="1:18" ht="18" customHeight="1">
      <c r="A33" s="978" t="s">
        <v>399</v>
      </c>
      <c r="B33" s="298" t="s">
        <v>727</v>
      </c>
      <c r="C33" s="21">
        <f ca="1">IF(项目基本情况!B11="自然人","——",IF(D33="按租金收入计税",ROUND(C6*F33/(1+'数据-取费表'!C42),2),IF(D33="按房产原值计税",ROUND(C29*F33*0.7,2),INDIRECT("'数据-取费表'!Aj"&amp;$G$1))))</f>
        <v>83.89</v>
      </c>
      <c r="D33" s="1366" t="s">
        <v>3337</v>
      </c>
      <c r="E33" s="298" t="s">
        <v>712</v>
      </c>
      <c r="F33" s="318">
        <f>IF(D33="按票据","——",IF(D33="按租金收入计税",'数据-取费表'!B51,'数据-取费表'!B50))</f>
        <v>0.12</v>
      </c>
      <c r="G33" s="1380"/>
      <c r="H33" s="2690"/>
      <c r="I33" s="1394"/>
      <c r="J33" s="1395"/>
      <c r="K33" s="2691"/>
      <c r="L33" s="2690"/>
      <c r="M33" s="2690"/>
    </row>
    <row r="34" spans="1:18" ht="18" customHeight="1">
      <c r="A34" s="1065" t="s">
        <v>680</v>
      </c>
      <c r="B34" s="151" t="s">
        <v>730</v>
      </c>
      <c r="C34" s="22">
        <f ca="1">IF(项目基本情况!B11="自然人","——",ROUND(F34*F35/10000,2))</f>
        <v>1.45</v>
      </c>
      <c r="D34" s="320" t="s">
        <v>731</v>
      </c>
      <c r="E34" s="298" t="s">
        <v>732</v>
      </c>
      <c r="F34" s="321">
        <f>'数据-取费表'!B52</f>
        <v>3</v>
      </c>
      <c r="G34" s="1380"/>
      <c r="H34" s="2687"/>
      <c r="I34" s="1394"/>
      <c r="J34" s="1395"/>
      <c r="K34" s="2692"/>
      <c r="L34" s="2693"/>
      <c r="M34" s="2693"/>
    </row>
    <row r="35" spans="1:18" ht="18" customHeight="1">
      <c r="A35" s="1099"/>
      <c r="B35" s="1097"/>
      <c r="C35" s="26"/>
      <c r="D35" s="323"/>
      <c r="E35" s="298" t="s">
        <v>736</v>
      </c>
      <c r="F35" s="299">
        <f ca="1">INDIRECT("'数据-取费表'!r"&amp;$G$1)</f>
        <v>4844.2700000000004</v>
      </c>
      <c r="G35" s="1380"/>
      <c r="H35" s="2687"/>
      <c r="I35" s="1394"/>
      <c r="J35" s="1395"/>
      <c r="K35" s="2691"/>
      <c r="L35" s="2690"/>
      <c r="M35" s="2690"/>
    </row>
    <row r="36" spans="1:18" ht="18" customHeight="1">
      <c r="A36" s="1098" t="s">
        <v>402</v>
      </c>
      <c r="B36" s="298" t="s">
        <v>738</v>
      </c>
      <c r="C36" s="21">
        <f ca="1">ROUND(C29*F36,2)</f>
        <v>129.25</v>
      </c>
      <c r="D36" s="3450" t="s">
        <v>771</v>
      </c>
      <c r="E36" s="298" t="s">
        <v>712</v>
      </c>
      <c r="F36" s="324">
        <f ca="1">INDIRECT("'数据-取费表'!Ak"&amp;$G$1)</f>
        <v>5.0000000000000001E-3</v>
      </c>
      <c r="G36" s="1380"/>
      <c r="H36" s="2690"/>
      <c r="I36" s="1394"/>
      <c r="J36" s="1395"/>
      <c r="K36" s="2535"/>
      <c r="L36" s="2690"/>
      <c r="M36" s="2690"/>
    </row>
    <row r="37" spans="1:18" ht="18" customHeight="1">
      <c r="A37" s="978" t="s">
        <v>437</v>
      </c>
      <c r="B37" s="298" t="s">
        <v>742</v>
      </c>
      <c r="C37" s="21">
        <f ca="1">ROUND(C13*F37,2)</f>
        <v>23.26</v>
      </c>
      <c r="D37" s="3450" t="s">
        <v>743</v>
      </c>
      <c r="E37" s="298" t="s">
        <v>744</v>
      </c>
      <c r="F37" s="326">
        <f ca="1">INDIRECT("'数据-取费表'!Al"&amp;$G$1)</f>
        <v>1E-3</v>
      </c>
      <c r="G37" s="1380"/>
      <c r="H37" s="2690">
        <f ca="1">C39/C5</f>
        <v>0.61360544217687074</v>
      </c>
      <c r="I37" s="1394"/>
      <c r="J37" s="1395"/>
      <c r="K37" s="2535"/>
      <c r="L37" s="2690"/>
      <c r="M37" s="2690"/>
    </row>
    <row r="38" spans="1:18" ht="18" customHeight="1" thickBot="1">
      <c r="A38" s="1085" t="s">
        <v>684</v>
      </c>
      <c r="B38" s="1086" t="s">
        <v>728</v>
      </c>
      <c r="C38" s="1087">
        <f ca="1">ROUND(C5*F38,2)</f>
        <v>7.35</v>
      </c>
      <c r="D38" s="1088" t="s">
        <v>748</v>
      </c>
      <c r="E38" s="1086" t="s">
        <v>744</v>
      </c>
      <c r="F38" s="1082">
        <f ca="1">INDIRECT("'数据-取费表'!Am"&amp;$G$1)</f>
        <v>0.01</v>
      </c>
      <c r="G38" s="1380"/>
      <c r="H38" s="2690"/>
      <c r="I38" s="1394"/>
      <c r="J38" s="1395"/>
      <c r="K38" s="2694"/>
      <c r="L38" s="2690"/>
      <c r="M38" s="2690"/>
    </row>
    <row r="39" spans="1:18" ht="24.6" customHeight="1" thickTop="1">
      <c r="A39" s="1075" t="s">
        <v>394</v>
      </c>
      <c r="B39" s="1090" t="s">
        <v>772</v>
      </c>
      <c r="C39" s="306">
        <f ca="1">C5-C30</f>
        <v>451</v>
      </c>
      <c r="D39" s="1091" t="s">
        <v>773</v>
      </c>
      <c r="E39" s="1092"/>
      <c r="F39" s="1093"/>
      <c r="G39" s="1380"/>
      <c r="H39" s="2690"/>
      <c r="I39" s="1394"/>
      <c r="J39" s="1395"/>
      <c r="K39" s="2694"/>
      <c r="L39" s="2690"/>
      <c r="M39" s="2690"/>
    </row>
    <row r="40" spans="1:18" ht="18" customHeight="1">
      <c r="A40" s="295" t="s">
        <v>395</v>
      </c>
      <c r="B40" s="296" t="s">
        <v>774</v>
      </c>
      <c r="C40" s="297">
        <f ca="1">ROUND(C39*(1-((1+F42)/(1+F40))^F41)/(F40-F42),0)</f>
        <v>10953</v>
      </c>
      <c r="D40" s="320" t="s">
        <v>758</v>
      </c>
      <c r="E40" s="298" t="s">
        <v>759</v>
      </c>
      <c r="F40" s="308">
        <f ca="1">INDIRECT("'数据-取费表'!I"&amp;$G$1)</f>
        <v>0.05</v>
      </c>
      <c r="G40" s="1380"/>
      <c r="H40" s="1457"/>
      <c r="I40" s="1394"/>
      <c r="J40" s="1395"/>
      <c r="K40" s="2694"/>
      <c r="L40" s="1457"/>
      <c r="M40" s="1457"/>
    </row>
    <row r="41" spans="1:18" ht="18" customHeight="1">
      <c r="A41" s="300"/>
      <c r="B41" s="301"/>
      <c r="C41" s="302"/>
      <c r="D41" s="328" t="s">
        <v>775</v>
      </c>
      <c r="E41" s="298" t="s">
        <v>763</v>
      </c>
      <c r="F41" s="329">
        <f ca="1">IF(INDIRECT("'数据-取费表'!af"&amp;$G$1)=0,INDIRECT("'数据-取费表'!ae"&amp;$G$1),INDIRECT("'数据-取费表'!af"&amp;$G$1))</f>
        <v>34.58</v>
      </c>
      <c r="G41" s="1380"/>
      <c r="H41" s="1187"/>
      <c r="I41" s="1394"/>
      <c r="J41" s="1395"/>
      <c r="K41" s="2535"/>
      <c r="L41" s="1187"/>
      <c r="M41" s="1187"/>
    </row>
    <row r="42" spans="1:18" ht="18" customHeight="1">
      <c r="A42" s="304"/>
      <c r="B42" s="305"/>
      <c r="C42" s="306"/>
      <c r="D42" s="323"/>
      <c r="E42" s="298" t="s">
        <v>766</v>
      </c>
      <c r="F42" s="308">
        <f ca="1">INDIRECT("'数据-取费表'!v"&amp;$G$1)</f>
        <v>0.03</v>
      </c>
      <c r="G42" s="1380"/>
      <c r="H42" s="1187"/>
      <c r="I42" s="1394"/>
      <c r="J42" s="1395"/>
      <c r="K42" s="2535"/>
      <c r="L42" s="1187"/>
      <c r="M42" s="1187"/>
    </row>
    <row r="43" spans="1:18" ht="18" customHeight="1" thickBot="1">
      <c r="A43" s="330" t="s">
        <v>396</v>
      </c>
      <c r="B43" s="331" t="s">
        <v>776</v>
      </c>
      <c r="C43" s="332">
        <f ca="1">ROUND(C40*10000/F43,0)</f>
        <v>5173</v>
      </c>
      <c r="D43" s="333" t="s">
        <v>777</v>
      </c>
      <c r="E43" s="334" t="s">
        <v>778</v>
      </c>
      <c r="F43" s="335">
        <f ca="1">INDIRECT("'数据-取费表'!k"&amp;$G$1)</f>
        <v>21174.010000000002</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5" t="s">
        <v>808</v>
      </c>
      <c r="P45" s="1457"/>
      <c r="Q45" s="1457"/>
      <c r="R45" s="1457"/>
    </row>
    <row r="46" spans="1:18" s="1380" customFormat="1" ht="13.5" thickBot="1">
      <c r="A46" s="1400" t="s">
        <v>809</v>
      </c>
      <c r="C46" s="1401">
        <f ca="1">C68-C40</f>
        <v>-13463</v>
      </c>
      <c r="D46" s="1402" t="str">
        <f>C2</f>
        <v>万元</v>
      </c>
      <c r="E46" s="1396"/>
      <c r="F46" s="1396"/>
      <c r="I46" s="1403" t="s">
        <v>810</v>
      </c>
      <c r="J46" s="1404"/>
      <c r="K46" s="1405"/>
      <c r="L46" s="1406">
        <f ca="1">IF(M47="住宅",0,IF(L48&gt;J51,L60,J60))</f>
        <v>722</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3401</v>
      </c>
      <c r="K47" s="1412" t="s">
        <v>816</v>
      </c>
      <c r="L47" s="1413">
        <f ca="1">INDIRECT("'数据-取费表'!d"&amp;$G$1)</f>
        <v>50</v>
      </c>
      <c r="M47" s="1376" t="str">
        <f>IF(ISNUMBER(FIND("住宅",C1)),"住宅","非住宅")</f>
        <v>非住宅</v>
      </c>
      <c r="O47" s="1414" t="s">
        <v>403</v>
      </c>
      <c r="P47" s="1415" t="s">
        <v>817</v>
      </c>
      <c r="Q47" s="1416">
        <f ca="1">C40+J29</f>
        <v>10953</v>
      </c>
      <c r="R47" s="1416" t="s">
        <v>818</v>
      </c>
    </row>
    <row r="48" spans="1:18" s="1380" customFormat="1" ht="28.5" thickBot="1">
      <c r="A48" s="1106" t="s">
        <v>438</v>
      </c>
      <c r="B48" s="296" t="s">
        <v>692</v>
      </c>
      <c r="C48" s="3456">
        <f ca="1">C49+C53+C55</f>
        <v>0</v>
      </c>
      <c r="D48" s="1108"/>
      <c r="E48" s="1109"/>
      <c r="F48" s="958"/>
      <c r="G48" s="718"/>
      <c r="H48" s="719"/>
      <c r="I48" s="1417" t="s">
        <v>819</v>
      </c>
      <c r="J48" s="1418" t="s">
        <v>3402</v>
      </c>
      <c r="K48" s="1419" t="s">
        <v>820</v>
      </c>
      <c r="L48" s="1420">
        <f ca="1">INDIRECT("'数据-取费表'!f"&amp;$G$1)</f>
        <v>34.58</v>
      </c>
      <c r="O48" s="1414" t="s">
        <v>404</v>
      </c>
      <c r="P48" s="1415" t="s">
        <v>821</v>
      </c>
      <c r="Q48" s="1416">
        <f ca="1">J60</f>
        <v>722</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3508">
        <v>2014</v>
      </c>
      <c r="K49" s="1419" t="s">
        <v>824</v>
      </c>
      <c r="L49" s="1423"/>
      <c r="O49" s="1424" t="s">
        <v>405</v>
      </c>
      <c r="P49" s="1415" t="s">
        <v>825</v>
      </c>
      <c r="Q49" s="1416">
        <f ca="1">C29</f>
        <v>25849</v>
      </c>
      <c r="R49" s="1416" t="s">
        <v>818</v>
      </c>
    </row>
    <row r="50" spans="1:18" s="1380" customFormat="1" ht="13.5" thickBot="1">
      <c r="A50" s="972"/>
      <c r="B50" s="975"/>
      <c r="C50" s="1114"/>
      <c r="D50" s="949"/>
      <c r="E50" s="1052" t="s">
        <v>697</v>
      </c>
      <c r="F50" s="1053">
        <f ca="1">F7</f>
        <v>21174.010000000002</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299">
        <f ca="1">F8</f>
        <v>365</v>
      </c>
      <c r="I51" s="1428" t="s">
        <v>829</v>
      </c>
      <c r="J51" s="1429">
        <f>IF(J49="",J50,J49+J50-YEAR('数据-取费表'!B2))</f>
        <v>51</v>
      </c>
      <c r="K51" s="1430" t="s">
        <v>830</v>
      </c>
      <c r="L51" s="1431">
        <f ca="1">ROUND(-PV(INDIRECT("'数据-取费表'!h"&amp;$G$1),J51,(C39-C13*C76),0),0)</f>
        <v>-11839</v>
      </c>
      <c r="M51" s="1432"/>
      <c r="O51" s="1424" t="s">
        <v>407</v>
      </c>
      <c r="P51" s="1415" t="s">
        <v>831</v>
      </c>
      <c r="Q51" s="1427">
        <f>J52</f>
        <v>0.08</v>
      </c>
      <c r="R51" s="1416"/>
    </row>
    <row r="52" spans="1:18" s="1380" customFormat="1" ht="13.5" thickBot="1">
      <c r="A52" s="973"/>
      <c r="B52" s="975"/>
      <c r="C52" s="976"/>
      <c r="D52" s="949"/>
      <c r="E52" s="977" t="s">
        <v>699</v>
      </c>
      <c r="F52" s="1050"/>
      <c r="I52" s="1433" t="s">
        <v>832</v>
      </c>
      <c r="J52" s="1434">
        <v>0.08</v>
      </c>
      <c r="K52" s="1433" t="s">
        <v>833</v>
      </c>
      <c r="L52" s="1434"/>
      <c r="O52" s="1424" t="s">
        <v>408</v>
      </c>
      <c r="P52" s="1415" t="s">
        <v>834</v>
      </c>
      <c r="Q52" s="1416">
        <f ca="1">J53</f>
        <v>34.58</v>
      </c>
      <c r="R52" s="1416" t="s">
        <v>835</v>
      </c>
    </row>
    <row r="53" spans="1:18" s="1380" customFormat="1" ht="24.75" thickBot="1">
      <c r="A53" s="1148" t="s">
        <v>440</v>
      </c>
      <c r="B53" s="1369" t="s">
        <v>700</v>
      </c>
      <c r="C53" s="312">
        <f ca="1">ROUND(IF(F53="押一",C49/12*F11,IF(F53="押二",C49/12*2*F11,IF(F53="押三",C49/12*3*F11,C54*F11))),0)</f>
        <v>0</v>
      </c>
      <c r="D53" s="1362" t="s">
        <v>2116</v>
      </c>
      <c r="E53" s="309" t="s">
        <v>701</v>
      </c>
      <c r="F53" s="1112"/>
      <c r="I53" s="1435" t="s">
        <v>836</v>
      </c>
      <c r="J53" s="2164">
        <f ca="1">IF(M47="住宅",IF(D1="——",MAX(J51,L48),MAX(J51,L48-'数据-取费表'!B24)),IF(D1="——",MIN(J51,L48),MIN(J51,L48-'数据-取费表'!B24)))</f>
        <v>34.58</v>
      </c>
      <c r="K53" s="3774" t="s">
        <v>837</v>
      </c>
      <c r="L53" s="3775"/>
      <c r="O53" s="1414" t="s">
        <v>409</v>
      </c>
      <c r="P53" s="1415" t="s">
        <v>838</v>
      </c>
      <c r="Q53" s="1416">
        <f ca="1">Q47+Q48</f>
        <v>11675</v>
      </c>
      <c r="R53" s="1416" t="s">
        <v>410</v>
      </c>
    </row>
    <row r="54" spans="1:18" s="1380" customFormat="1" ht="13.5" thickBot="1">
      <c r="A54" s="1149"/>
      <c r="B54" s="1363" t="s">
        <v>679</v>
      </c>
      <c r="C54" s="955"/>
      <c r="D54" s="1362"/>
      <c r="E54" s="3453"/>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3"/>
      <c r="F55" s="1436"/>
      <c r="I55" s="1439" t="s">
        <v>840</v>
      </c>
      <c r="J55" s="1440">
        <f ca="1">ROUND(IF(J47="钢混",J57/J50,1-(1-2%)*(J50-J57)/J50),3)</f>
        <v>0.27400000000000002</v>
      </c>
      <c r="K55" s="1441" t="s">
        <v>841</v>
      </c>
      <c r="L55" s="1442"/>
      <c r="O55" s="1407" t="s">
        <v>811</v>
      </c>
      <c r="P55" s="1408" t="s">
        <v>812</v>
      </c>
      <c r="Q55" s="1409" t="s">
        <v>813</v>
      </c>
      <c r="R55" s="1409" t="s">
        <v>814</v>
      </c>
    </row>
    <row r="56" spans="1:18" s="1380" customFormat="1" ht="25.5" thickTop="1" thickBot="1">
      <c r="A56" s="953">
        <v>2</v>
      </c>
      <c r="B56" s="954" t="s">
        <v>704</v>
      </c>
      <c r="C56" s="228">
        <f ca="1">C13</f>
        <v>23264</v>
      </c>
      <c r="D56" s="1443"/>
      <c r="E56" s="1444"/>
      <c r="F56" s="1436"/>
      <c r="I56" s="1445" t="s">
        <v>842</v>
      </c>
      <c r="J56" s="1446" t="s">
        <v>3409</v>
      </c>
      <c r="K56" s="1417" t="s">
        <v>843</v>
      </c>
      <c r="L56" s="1420" t="str">
        <f ca="1">IF(L48&lt;J51,"——",L48-J53)</f>
        <v>——</v>
      </c>
      <c r="O56" s="1414" t="s">
        <v>403</v>
      </c>
      <c r="P56" s="1415" t="s">
        <v>817</v>
      </c>
      <c r="Q56" s="1416">
        <f ca="1">C40+J29</f>
        <v>10953</v>
      </c>
      <c r="R56" s="1416" t="s">
        <v>818</v>
      </c>
    </row>
    <row r="57" spans="1:18" s="1380" customFormat="1" ht="24.75" thickBot="1">
      <c r="A57" s="1447"/>
      <c r="B57" s="946" t="s">
        <v>767</v>
      </c>
      <c r="C57" s="234">
        <f ca="1">C29</f>
        <v>25849</v>
      </c>
      <c r="D57" s="1448"/>
      <c r="E57" s="1449"/>
      <c r="F57" s="1450"/>
      <c r="I57" s="1451" t="s">
        <v>844</v>
      </c>
      <c r="J57" s="1452">
        <f ca="1">IF(OR(M47="住宅",J51&lt;L48,J56="是"),"——",J51-L48)</f>
        <v>16.420000000000002</v>
      </c>
      <c r="K57" s="1417" t="s">
        <v>845</v>
      </c>
      <c r="L57" s="1420" t="str">
        <f ca="1">IF(L48&lt;J51,"——",IF(L55="比较法",L49,IF(L55="基准地价",L50,L51)))</f>
        <v>——</v>
      </c>
      <c r="O57" s="1414" t="s">
        <v>404</v>
      </c>
      <c r="P57" s="1415" t="s">
        <v>846</v>
      </c>
      <c r="Q57" s="1416">
        <f ca="1">L60</f>
        <v>0</v>
      </c>
      <c r="R57" s="1416" t="s">
        <v>847</v>
      </c>
    </row>
    <row r="58" spans="1:18" s="1380" customFormat="1" ht="24.75" thickBot="1">
      <c r="A58" s="311" t="s">
        <v>393</v>
      </c>
      <c r="B58" s="954" t="s">
        <v>714</v>
      </c>
      <c r="C58" s="312">
        <f ca="1">ROUND(C59+C64+C65+C66,0)</f>
        <v>154</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10340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7">
        <f t="shared" ref="F60:F66" si="0">F32</f>
        <v>5.6000000000000001E-2</v>
      </c>
      <c r="I60" s="1454" t="s">
        <v>853</v>
      </c>
      <c r="J60" s="1455">
        <f ca="1">IF(OR(M47="住宅",J51&lt;L48,J56="是"),"0",ROUND(J59/(1+J52)^J53,0))</f>
        <v>722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f ca="1">IF(项目基本情况!B11="自然人","——",IF(D61="按租金收入计税",ROUND(C49*F61/(1+'数据-取费表'!C42),2),IF(D61="按房产原值计税",ROUND(C57*F61*0.7,2),INDIRECT("'数据-取费表'!Aj"&amp;$G$1))))</f>
        <v>0</v>
      </c>
      <c r="D61" s="1366" t="s">
        <v>3337</v>
      </c>
      <c r="E61" s="946" t="s">
        <v>744</v>
      </c>
      <c r="F61" s="318">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1.45</v>
      </c>
      <c r="D62" s="961" t="s">
        <v>786</v>
      </c>
      <c r="E62" s="946" t="s">
        <v>787</v>
      </c>
      <c r="F62" s="321">
        <f t="shared" si="0"/>
        <v>3</v>
      </c>
      <c r="I62" s="1458" t="s">
        <v>858</v>
      </c>
      <c r="J62" s="1459" t="s">
        <v>859</v>
      </c>
      <c r="K62" s="1459" t="s">
        <v>860</v>
      </c>
      <c r="L62" s="1459" t="s">
        <v>861</v>
      </c>
      <c r="M62" s="1460" t="s">
        <v>862</v>
      </c>
      <c r="O62" s="1414" t="s">
        <v>409</v>
      </c>
      <c r="P62" s="1415" t="s">
        <v>863</v>
      </c>
      <c r="Q62" s="1416">
        <f ca="1">Q56+Q57</f>
        <v>10953</v>
      </c>
      <c r="R62" s="1416" t="s">
        <v>410</v>
      </c>
    </row>
    <row r="63" spans="1:18" s="1380" customFormat="1" ht="13.5" thickBot="1">
      <c r="A63" s="322"/>
      <c r="B63" s="952"/>
      <c r="C63" s="26"/>
      <c r="D63" s="962"/>
      <c r="E63" s="946" t="s">
        <v>736</v>
      </c>
      <c r="F63" s="299">
        <f t="shared" ca="1" si="0"/>
        <v>4844.2700000000004</v>
      </c>
      <c r="I63" s="1458" t="s">
        <v>864</v>
      </c>
      <c r="J63" s="1459">
        <v>70</v>
      </c>
      <c r="K63" s="1459">
        <v>50</v>
      </c>
      <c r="L63" s="1459">
        <v>80</v>
      </c>
      <c r="M63" s="1461">
        <v>0.02</v>
      </c>
      <c r="O63" s="1399" t="s">
        <v>865</v>
      </c>
      <c r="P63" s="1377"/>
      <c r="Q63" s="1377"/>
      <c r="R63" s="1377"/>
    </row>
    <row r="64" spans="1:18" s="1380" customFormat="1" ht="13.5" thickBot="1">
      <c r="A64" s="978" t="s">
        <v>789</v>
      </c>
      <c r="B64" s="946" t="s">
        <v>738</v>
      </c>
      <c r="C64" s="21">
        <f ca="1">ROUND(C57*F64,2)</f>
        <v>129.25</v>
      </c>
      <c r="D64" s="960" t="s">
        <v>791</v>
      </c>
      <c r="E64" s="946" t="s">
        <v>744</v>
      </c>
      <c r="F64" s="324">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23.26</v>
      </c>
      <c r="D65" s="960" t="s">
        <v>743</v>
      </c>
      <c r="E65" s="946" t="s">
        <v>744</v>
      </c>
      <c r="F65" s="326">
        <f t="shared" ca="1" si="0"/>
        <v>1E-3</v>
      </c>
      <c r="I65" s="1458" t="s">
        <v>867</v>
      </c>
      <c r="J65" s="1459">
        <v>40</v>
      </c>
      <c r="K65" s="1459">
        <v>30</v>
      </c>
      <c r="L65" s="1459">
        <v>50</v>
      </c>
      <c r="M65" s="1461">
        <v>0.02</v>
      </c>
      <c r="O65" s="1414" t="s">
        <v>403</v>
      </c>
      <c r="P65" s="1415" t="s">
        <v>868</v>
      </c>
      <c r="Q65" s="1416">
        <f ca="1">C40+J29</f>
        <v>10953</v>
      </c>
      <c r="R65" s="1416" t="s">
        <v>818</v>
      </c>
    </row>
    <row r="66" spans="1:18" s="1380" customFormat="1" ht="16.5" thickBot="1">
      <c r="A66" s="978" t="s">
        <v>793</v>
      </c>
      <c r="B66" s="946" t="s">
        <v>728</v>
      </c>
      <c r="C66" s="21">
        <f ca="1">ROUND(C48*F66,2)</f>
        <v>0</v>
      </c>
      <c r="D66" s="960" t="s">
        <v>794</v>
      </c>
      <c r="E66" s="946" t="s">
        <v>712</v>
      </c>
      <c r="F66" s="308">
        <f t="shared" ca="1" si="0"/>
        <v>0.01</v>
      </c>
      <c r="O66" s="1414" t="s">
        <v>404</v>
      </c>
      <c r="P66" s="1415" t="s">
        <v>846</v>
      </c>
      <c r="Q66" s="1416">
        <f ca="1">L60</f>
        <v>0</v>
      </c>
      <c r="R66" s="1416" t="s">
        <v>869</v>
      </c>
    </row>
    <row r="67" spans="1:18" s="1380" customFormat="1" ht="16.5" thickBot="1">
      <c r="A67" s="953" t="s">
        <v>394</v>
      </c>
      <c r="B67" s="963" t="s">
        <v>752</v>
      </c>
      <c r="C67" s="312">
        <f ca="1">C48-C58</f>
        <v>-154</v>
      </c>
      <c r="D67" s="959" t="s">
        <v>753</v>
      </c>
      <c r="E67" s="964"/>
      <c r="F67" s="965"/>
      <c r="O67" s="1424" t="s">
        <v>405</v>
      </c>
      <c r="P67" s="1415" t="s">
        <v>850</v>
      </c>
      <c r="Q67" s="1462">
        <f ca="1">L51</f>
        <v>-11839</v>
      </c>
      <c r="R67" s="1416" t="s">
        <v>870</v>
      </c>
    </row>
    <row r="68" spans="1:18" s="1380" customFormat="1" ht="16.5" thickBot="1">
      <c r="A68" s="943" t="s">
        <v>395</v>
      </c>
      <c r="B68" s="944" t="s">
        <v>774</v>
      </c>
      <c r="C68" s="297">
        <f ca="1">ROUND(C67*(1-((1+F70)/(1+F68))^F69)/(F68-F70),0)</f>
        <v>-2510</v>
      </c>
      <c r="D68" s="961" t="s">
        <v>758</v>
      </c>
      <c r="E68" s="946" t="s">
        <v>759</v>
      </c>
      <c r="F68" s="308">
        <f ca="1">F40</f>
        <v>0.05</v>
      </c>
      <c r="O68" s="1424" t="s">
        <v>406</v>
      </c>
      <c r="P68" s="1463" t="s">
        <v>871</v>
      </c>
      <c r="Q68" s="1416">
        <f ca="1">ROUND(Q69-Q70*Q71,0)</f>
        <v>-596</v>
      </c>
      <c r="R68" s="1416" t="s">
        <v>414</v>
      </c>
    </row>
    <row r="69" spans="1:18" s="1380" customFormat="1" ht="13.5" thickBot="1">
      <c r="A69" s="947"/>
      <c r="B69" s="948"/>
      <c r="C69" s="302"/>
      <c r="D69" s="966" t="s">
        <v>762</v>
      </c>
      <c r="E69" s="946" t="s">
        <v>763</v>
      </c>
      <c r="F69" s="329">
        <f ca="1">F41</f>
        <v>34.58</v>
      </c>
      <c r="O69" s="1424" t="s">
        <v>411</v>
      </c>
      <c r="P69" s="1463" t="s">
        <v>872</v>
      </c>
      <c r="Q69" s="1416">
        <f ca="1">C39</f>
        <v>451</v>
      </c>
      <c r="R69" s="1416" t="s">
        <v>818</v>
      </c>
    </row>
    <row r="70" spans="1:18" s="1380" customFormat="1" ht="13.5" thickBot="1">
      <c r="A70" s="950"/>
      <c r="B70" s="951"/>
      <c r="C70" s="306"/>
      <c r="D70" s="962"/>
      <c r="E70" s="946" t="s">
        <v>766</v>
      </c>
      <c r="F70" s="1050"/>
      <c r="O70" s="1424" t="s">
        <v>412</v>
      </c>
      <c r="P70" s="1463" t="s">
        <v>873</v>
      </c>
      <c r="Q70" s="1416">
        <f ca="1">C13</f>
        <v>23264</v>
      </c>
      <c r="R70" s="1416" t="s">
        <v>818</v>
      </c>
    </row>
    <row r="71" spans="1:18" s="1380" customFormat="1" ht="13.5" thickBot="1">
      <c r="A71" s="967" t="s">
        <v>396</v>
      </c>
      <c r="B71" s="968" t="s">
        <v>776</v>
      </c>
      <c r="C71" s="332">
        <f ca="1">ROUND(C68*10000/F71,0)</f>
        <v>-1185</v>
      </c>
      <c r="D71" s="969" t="s">
        <v>777</v>
      </c>
      <c r="E71" s="970" t="s">
        <v>778</v>
      </c>
      <c r="F71" s="335">
        <f ca="1">F43</f>
        <v>21174.010000000002</v>
      </c>
      <c r="O71" s="1424" t="s">
        <v>413</v>
      </c>
      <c r="P71" s="1463" t="s">
        <v>874</v>
      </c>
      <c r="Q71" s="1427">
        <f ca="1">C76</f>
        <v>4.4999999999999998E-2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69"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6" t="s">
        <v>795</v>
      </c>
      <c r="C75" s="337">
        <f ca="1">ROUND(C13*C76,0)</f>
        <v>1047</v>
      </c>
      <c r="D75" s="1380"/>
      <c r="E75" s="1380"/>
      <c r="F75" s="1380"/>
      <c r="K75" s="1398"/>
      <c r="L75" s="1380"/>
      <c r="O75" s="1414" t="s">
        <v>409</v>
      </c>
      <c r="P75" s="1415" t="s">
        <v>838</v>
      </c>
      <c r="Q75" s="1416">
        <f ca="1">Q65+Q66</f>
        <v>10953</v>
      </c>
      <c r="R75" s="1416" t="s">
        <v>410</v>
      </c>
    </row>
    <row r="76" spans="1:18">
      <c r="B76" s="338" t="s">
        <v>796</v>
      </c>
      <c r="C76" s="339">
        <f ca="1">INDIRECT("'数据-取费表'!j"&amp;$G$1)</f>
        <v>4.4999999999999998E-2</v>
      </c>
      <c r="I76" s="1380"/>
      <c r="J76" s="1380"/>
      <c r="K76" s="1398"/>
      <c r="L76" s="1380"/>
    </row>
    <row r="77" spans="1:18">
      <c r="B77" s="340" t="s">
        <v>797</v>
      </c>
      <c r="C77" s="341"/>
      <c r="I77" s="1380"/>
      <c r="J77" s="1380"/>
      <c r="K77" s="1398"/>
      <c r="L77" s="1380"/>
    </row>
    <row r="78" spans="1:18">
      <c r="B78" s="266" t="s">
        <v>798</v>
      </c>
      <c r="C78" s="342"/>
    </row>
    <row r="79" spans="1:18">
      <c r="B79" s="336" t="s">
        <v>799</v>
      </c>
      <c r="C79" s="270">
        <f ca="1">1-C80</f>
        <v>-1.3220000000000001</v>
      </c>
    </row>
    <row r="80" spans="1:18">
      <c r="B80" s="336" t="s">
        <v>800</v>
      </c>
      <c r="C80" s="270">
        <f ca="1">ROUND(C75/C39,3)</f>
        <v>2.3220000000000001</v>
      </c>
    </row>
    <row r="81" spans="2:3">
      <c r="B81" s="266" t="s">
        <v>801</v>
      </c>
      <c r="C81" s="234"/>
    </row>
    <row r="82" spans="2:3">
      <c r="B82" s="269" t="s">
        <v>802</v>
      </c>
      <c r="C82" s="271">
        <f ca="1">1-C83</f>
        <v>-1.1240000000000001</v>
      </c>
    </row>
    <row r="83" spans="2:3">
      <c r="B83" s="269" t="s">
        <v>803</v>
      </c>
      <c r="C83" s="270">
        <f ca="1">ROUND(C13/C40,3)</f>
        <v>2.1240000000000001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B73" sqref="B73"/>
    </sheetView>
  </sheetViews>
  <sheetFormatPr defaultColWidth="9" defaultRowHeight="12.75"/>
  <cols>
    <col min="1" max="1" width="9" style="254" customWidth="1"/>
    <col min="2" max="2" width="20.625" style="651" customWidth="1"/>
    <col min="3" max="3" width="11.875" style="65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464" customWidth="1"/>
    <col min="12" max="12" width="16.375" style="254" customWidth="1"/>
    <col min="13" max="13" width="13" style="254"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4"/>
  </cols>
  <sheetData>
    <row r="1" spans="1:37" s="289" customFormat="1" ht="21">
      <c r="A1" s="1371" t="s">
        <v>877</v>
      </c>
      <c r="B1" s="709"/>
      <c r="C1" s="1375" t="s">
        <v>21</v>
      </c>
      <c r="D1" s="1358" t="s">
        <v>43</v>
      </c>
      <c r="E1" s="1359" t="s">
        <v>678</v>
      </c>
      <c r="F1" s="1058">
        <f ca="1">J53</f>
        <v>34.58</v>
      </c>
      <c r="G1" s="1374">
        <f>MATCH(C1,'数据-取费表'!A6:A16,0)+5</f>
        <v>6</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297582</v>
      </c>
      <c r="C2" s="1383" t="s">
        <v>805</v>
      </c>
      <c r="D2" s="1383"/>
      <c r="E2" s="1384"/>
      <c r="F2" s="1385"/>
      <c r="G2" s="2696"/>
      <c r="H2" s="2685"/>
      <c r="I2" s="2685"/>
      <c r="J2" s="2685"/>
      <c r="K2" s="2686"/>
      <c r="L2" s="2685"/>
      <c r="M2" s="2685"/>
    </row>
    <row r="3" spans="1:37" ht="18" customHeight="1" thickBot="1">
      <c r="A3" s="1386" t="s">
        <v>806</v>
      </c>
      <c r="B3" s="1387">
        <f ca="1">IF(ISERROR(B2*10000/F43),0,ROUND(B2*10000/F43,0))</f>
        <v>36325</v>
      </c>
      <c r="C3" s="1383" t="s">
        <v>807</v>
      </c>
      <c r="D3" s="1383"/>
      <c r="E3" s="1384"/>
      <c r="F3" s="1385"/>
      <c r="G3" s="2696"/>
      <c r="H3" s="679" t="s">
        <v>876</v>
      </c>
      <c r="I3" s="1378"/>
      <c r="J3" s="1378"/>
      <c r="K3" s="1379"/>
      <c r="L3" s="1378"/>
      <c r="M3" s="1378"/>
    </row>
    <row r="4" spans="1:37" ht="18" customHeight="1">
      <c r="A4" s="291" t="s">
        <v>687</v>
      </c>
      <c r="B4" s="292" t="s">
        <v>688</v>
      </c>
      <c r="C4" s="292" t="s">
        <v>689</v>
      </c>
      <c r="D4" s="292" t="s">
        <v>690</v>
      </c>
      <c r="E4" s="293" t="s">
        <v>691</v>
      </c>
      <c r="F4" s="294"/>
      <c r="G4" s="1380"/>
      <c r="H4" s="291" t="s">
        <v>687</v>
      </c>
      <c r="I4" s="292" t="s">
        <v>688</v>
      </c>
      <c r="J4" s="292" t="s">
        <v>689</v>
      </c>
      <c r="K4" s="292" t="s">
        <v>690</v>
      </c>
      <c r="L4" s="293" t="s">
        <v>691</v>
      </c>
      <c r="M4" s="294"/>
    </row>
    <row r="5" spans="1:37" ht="18" customHeight="1">
      <c r="A5" s="295">
        <v>1</v>
      </c>
      <c r="B5" s="296" t="s">
        <v>692</v>
      </c>
      <c r="C5" s="1066">
        <f ca="1">C6+C10+C12</f>
        <v>16724</v>
      </c>
      <c r="D5" s="1360" t="s">
        <v>693</v>
      </c>
      <c r="E5" s="1067"/>
      <c r="F5" s="1068"/>
      <c r="G5" s="1380"/>
      <c r="H5" s="295">
        <v>1</v>
      </c>
      <c r="I5" s="296" t="s">
        <v>692</v>
      </c>
      <c r="J5" s="1066">
        <f ca="1">J6+J10+J12</f>
        <v>0</v>
      </c>
      <c r="K5" s="1360" t="s">
        <v>693</v>
      </c>
      <c r="L5" s="1067"/>
      <c r="M5" s="1068"/>
    </row>
    <row r="6" spans="1:37" ht="18" customHeight="1">
      <c r="A6" s="1065" t="s">
        <v>398</v>
      </c>
      <c r="B6" s="3771" t="s">
        <v>694</v>
      </c>
      <c r="C6" s="1070">
        <f ca="1">ROUND(F6*F8*F7*(1-F9)/10000,0)</f>
        <v>16703</v>
      </c>
      <c r="D6" s="151" t="s">
        <v>2109</v>
      </c>
      <c r="E6" s="298" t="s">
        <v>696</v>
      </c>
      <c r="F6" s="299">
        <f ca="1">INDIRECT("'数据-取费表'!u"&amp;$G$1)</f>
        <v>5.88</v>
      </c>
      <c r="G6" s="1380"/>
      <c r="H6" s="1065" t="s">
        <v>398</v>
      </c>
      <c r="I6" s="3771" t="s">
        <v>694</v>
      </c>
      <c r="J6" s="297">
        <f ca="1">ROUND(M6*M8*M7*(1-M9)/10000,0)</f>
        <v>0</v>
      </c>
      <c r="K6" s="151" t="s">
        <v>2108</v>
      </c>
      <c r="L6" s="298" t="s">
        <v>696</v>
      </c>
      <c r="M6" s="299">
        <f ca="1">INDIRECT("'数据-取费表'!z"&amp;$G$1)</f>
        <v>0</v>
      </c>
    </row>
    <row r="7" spans="1:37" ht="18" customHeight="1">
      <c r="A7" s="1069"/>
      <c r="B7" s="3772"/>
      <c r="C7" s="1071"/>
      <c r="D7" s="303"/>
      <c r="E7" s="1072" t="s">
        <v>697</v>
      </c>
      <c r="F7" s="299">
        <f ca="1">IF(INDIRECT("'数据-取费表'!ah"&amp;$G$1)="",INDIRECT("'数据-取费表'!k"&amp;$G$1),INDIRECT("'数据-取费表'!ah"&amp;$G$1))</f>
        <v>81922.19</v>
      </c>
      <c r="G7" s="1380"/>
      <c r="H7" s="300"/>
      <c r="I7" s="3772"/>
      <c r="J7" s="302"/>
      <c r="K7" s="303"/>
      <c r="L7" s="298" t="s">
        <v>697</v>
      </c>
      <c r="M7" s="299">
        <f ca="1">F7</f>
        <v>81922.19</v>
      </c>
    </row>
    <row r="8" spans="1:37" ht="18" customHeight="1">
      <c r="A8" s="300"/>
      <c r="B8" s="3772"/>
      <c r="C8" s="302"/>
      <c r="D8" s="303"/>
      <c r="E8" s="298" t="s">
        <v>698</v>
      </c>
      <c r="F8" s="299">
        <f ca="1">INDIRECT("'数据-取费表'!ai"&amp;$G$1)</f>
        <v>365</v>
      </c>
      <c r="G8" s="1380"/>
      <c r="H8" s="300"/>
      <c r="I8" s="3772"/>
      <c r="J8" s="302"/>
      <c r="K8" s="303"/>
      <c r="L8" s="298" t="s">
        <v>698</v>
      </c>
      <c r="M8" s="299">
        <f ca="1">INDIRECT("'数据-取费表'!ai"&amp;$G$1)</f>
        <v>365</v>
      </c>
    </row>
    <row r="9" spans="1:37" ht="18" customHeight="1">
      <c r="A9" s="300"/>
      <c r="B9" s="3773"/>
      <c r="C9" s="302"/>
      <c r="D9" s="303"/>
      <c r="E9" s="298" t="s">
        <v>699</v>
      </c>
      <c r="F9" s="308">
        <f ca="1">INDIRECT("'数据-取费表'!w"&amp;$G$1)</f>
        <v>0.05</v>
      </c>
      <c r="G9" s="1380"/>
      <c r="H9" s="300"/>
      <c r="I9" s="3773"/>
      <c r="J9" s="302"/>
      <c r="K9" s="303"/>
      <c r="L9" s="309" t="s">
        <v>699</v>
      </c>
      <c r="M9" s="310">
        <f ca="1">INDIRECT("'数据-取费表'!ab"&amp;$G$1)</f>
        <v>0</v>
      </c>
    </row>
    <row r="10" spans="1:37" ht="18" customHeight="1">
      <c r="A10" s="1065" t="s">
        <v>402</v>
      </c>
      <c r="B10" s="1361" t="s">
        <v>700</v>
      </c>
      <c r="C10" s="312">
        <f ca="1">ROUND(IF(F10="押一",C6/12*F11,IF(F10="押二",C6/12*2*F11,IF(F10="押三",C6/12*3*F11,C11*F11))),0)</f>
        <v>21</v>
      </c>
      <c r="D10" s="1362" t="s">
        <v>2117</v>
      </c>
      <c r="E10" s="309" t="s">
        <v>701</v>
      </c>
      <c r="F10" s="1112" t="s">
        <v>3399</v>
      </c>
      <c r="G10" s="1380"/>
      <c r="H10" s="1065" t="s">
        <v>402</v>
      </c>
      <c r="I10" s="1361" t="s">
        <v>700</v>
      </c>
      <c r="J10" s="297">
        <f ca="1">ROUND(IF(M10="押一",J6/12*M11,IF(M10="押二",J6/12*2*M11,IF(M10="押三",J6/12*3*M11,J11*M11))),0)</f>
        <v>0</v>
      </c>
      <c r="K10" s="1362" t="s">
        <v>2116</v>
      </c>
      <c r="L10" s="309" t="s">
        <v>701</v>
      </c>
      <c r="M10" s="1112"/>
    </row>
    <row r="11" spans="1:37" ht="18" customHeight="1">
      <c r="A11" s="304"/>
      <c r="B11" s="1363" t="s">
        <v>679</v>
      </c>
      <c r="C11" s="955"/>
      <c r="D11" s="1364"/>
      <c r="E11" s="309" t="s">
        <v>702</v>
      </c>
      <c r="F11" s="310">
        <f ca="1">'数据-取费表'!B39</f>
        <v>1.4999999999999999E-2</v>
      </c>
      <c r="G11" s="1380"/>
      <c r="H11" s="1073"/>
      <c r="I11" s="1363" t="s">
        <v>679</v>
      </c>
      <c r="J11" s="955"/>
      <c r="K11" s="680"/>
      <c r="L11" s="309"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6">
        <f ca="1">ROUND(C29*F13,0)</f>
        <v>106763</v>
      </c>
      <c r="D13" s="1077" t="s">
        <v>705</v>
      </c>
      <c r="E13" s="1077" t="s">
        <v>706</v>
      </c>
      <c r="F13" s="1078">
        <f ca="1">INDIRECT("'数据-取费表'!y"&amp;$G$1)</f>
        <v>0.89999999999999991</v>
      </c>
      <c r="G13" s="1380"/>
      <c r="H13" s="1075">
        <v>2</v>
      </c>
      <c r="I13" s="1076" t="s">
        <v>704</v>
      </c>
      <c r="J13" s="1064">
        <f ca="1">ROUND(J14*J15,0)</f>
        <v>0</v>
      </c>
      <c r="K13" s="1083" t="s">
        <v>705</v>
      </c>
      <c r="L13" s="1388"/>
      <c r="M13" s="1389"/>
    </row>
    <row r="14" spans="1:37" ht="18" customHeight="1">
      <c r="A14" s="978" t="s">
        <v>397</v>
      </c>
      <c r="B14" s="298" t="s">
        <v>707</v>
      </c>
      <c r="C14" s="314">
        <f ca="1">INDIRECT("'数据-取费表'!m"&amp;$G$1)+INDIRECT("'数据-取费表'!t"&amp;$G$1)</f>
        <v>73730</v>
      </c>
      <c r="D14" s="1341" t="s">
        <v>708</v>
      </c>
      <c r="E14" s="1338"/>
      <c r="F14" s="315"/>
      <c r="G14" s="1380"/>
      <c r="H14" s="978" t="s">
        <v>398</v>
      </c>
      <c r="I14" s="298" t="s">
        <v>709</v>
      </c>
      <c r="J14" s="21">
        <f ca="1">C29</f>
        <v>118626</v>
      </c>
      <c r="K14" s="12"/>
      <c r="L14" s="803"/>
      <c r="M14" s="804"/>
    </row>
    <row r="15" spans="1:37" s="1393" customFormat="1" ht="18" customHeight="1" thickBot="1">
      <c r="A15" s="978" t="s">
        <v>399</v>
      </c>
      <c r="B15" s="298" t="s">
        <v>710</v>
      </c>
      <c r="C15" s="21">
        <f ca="1">ROUND(C14*F15,0)</f>
        <v>3687</v>
      </c>
      <c r="D15" s="316" t="s">
        <v>711</v>
      </c>
      <c r="E15" s="316" t="s">
        <v>712</v>
      </c>
      <c r="F15" s="317">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8" t="s">
        <v>713</v>
      </c>
      <c r="C16" s="21">
        <f ca="1">ROUND(INDIRECT("'数据-取费表'!m"&amp;$G$1)*F16,0)</f>
        <v>0</v>
      </c>
      <c r="D16" s="298" t="s">
        <v>711</v>
      </c>
      <c r="E16" s="298" t="s">
        <v>712</v>
      </c>
      <c r="F16" s="318">
        <f ca="1">IF(INDIRECT("'数据-取费表'!c"&amp;$G$1)="住宅",'数据-取费表'!B34,0)</f>
        <v>0</v>
      </c>
      <c r="G16" s="1380"/>
      <c r="H16" s="1075" t="s">
        <v>393</v>
      </c>
      <c r="I16" s="1076" t="s">
        <v>714</v>
      </c>
      <c r="J16" s="306">
        <f ca="1">ROUND(J17+J22+J23+J24,0)</f>
        <v>599</v>
      </c>
      <c r="K16" s="1083" t="s">
        <v>715</v>
      </c>
      <c r="L16" s="1084"/>
      <c r="M16" s="1068"/>
    </row>
    <row r="17" spans="1:37" s="1393" customFormat="1" ht="18" customHeight="1">
      <c r="A17" s="978" t="s">
        <v>681</v>
      </c>
      <c r="B17" s="298" t="s">
        <v>716</v>
      </c>
      <c r="C17" s="21">
        <f ca="1">ROUND(F17*(F43+INDIRECT("'数据-取费表'!S"&amp;$G$1))/10000,0)</f>
        <v>1638</v>
      </c>
      <c r="D17" s="298" t="s">
        <v>717</v>
      </c>
      <c r="E17" s="298" t="s">
        <v>718</v>
      </c>
      <c r="F17" s="23">
        <f>'数据-取费表'!B35</f>
        <v>200</v>
      </c>
      <c r="G17" s="1392"/>
      <c r="H17" s="978" t="s">
        <v>398</v>
      </c>
      <c r="I17" s="298" t="s">
        <v>719</v>
      </c>
      <c r="J17" s="2312">
        <f ca="1">ROUND(IF(AND(项目基本情况!B11="自然人",项目基本情况!B10="北京市"),J6*M17/(1+'数据-取费表'!C42),J18+J19+J20),2)</f>
        <v>5.62</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8" t="s">
        <v>722</v>
      </c>
      <c r="C18" s="21">
        <f ca="1">ROUND(C14*F18,0)</f>
        <v>1106</v>
      </c>
      <c r="D18" s="298" t="s">
        <v>711</v>
      </c>
      <c r="E18" s="298" t="s">
        <v>712</v>
      </c>
      <c r="F18" s="318">
        <f>'数据-取费表'!B36</f>
        <v>1.4999999999999999E-2</v>
      </c>
      <c r="G18" s="1392"/>
      <c r="H18" s="978" t="s">
        <v>397</v>
      </c>
      <c r="I18" s="298" t="s">
        <v>723</v>
      </c>
      <c r="J18" s="21">
        <f ca="1">ROUND(J6*M18/(1+'数据-取费表'!C42),2)</f>
        <v>0</v>
      </c>
      <c r="K18" s="1340" t="s">
        <v>724</v>
      </c>
      <c r="L18" s="298" t="s">
        <v>712</v>
      </c>
      <c r="M18" s="318">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8" t="s">
        <v>725</v>
      </c>
      <c r="C19" s="21">
        <f ca="1">SUM(C14:C18)</f>
        <v>80161</v>
      </c>
      <c r="D19" s="127" t="s">
        <v>726</v>
      </c>
      <c r="E19" s="1356"/>
      <c r="F19" s="23"/>
      <c r="G19" s="1380"/>
      <c r="H19" s="978" t="s">
        <v>399</v>
      </c>
      <c r="I19" s="298" t="s">
        <v>727</v>
      </c>
      <c r="J19" s="21">
        <f ca="1">IF(K19="按租金收入计税",ROUND(J6*M19/(1+'数据-取费表'!C42),2),ROUND(C29*M19*0.7,2))</f>
        <v>0</v>
      </c>
      <c r="K19" s="1366" t="s">
        <v>3337</v>
      </c>
      <c r="L19" s="298" t="s">
        <v>712</v>
      </c>
      <c r="M19" s="318">
        <f>IF(K19="按租金收入计税",'数据-取费表'!B51,'数据-取费表'!B50)</f>
        <v>0.12</v>
      </c>
    </row>
    <row r="20" spans="1:37" s="1393" customFormat="1" ht="18" customHeight="1">
      <c r="A20" s="978" t="s">
        <v>402</v>
      </c>
      <c r="B20" s="298" t="s">
        <v>728</v>
      </c>
      <c r="C20" s="21">
        <f ca="1">ROUND(C19*F20,0)</f>
        <v>2405</v>
      </c>
      <c r="D20" s="319" t="s">
        <v>729</v>
      </c>
      <c r="E20" s="298" t="s">
        <v>712</v>
      </c>
      <c r="F20" s="318">
        <f>'数据-取费表'!B37</f>
        <v>0.03</v>
      </c>
      <c r="G20" s="1392"/>
      <c r="H20" s="978" t="s">
        <v>680</v>
      </c>
      <c r="I20" s="151" t="s">
        <v>730</v>
      </c>
      <c r="J20" s="22">
        <f ca="1">ROUND(M20*M21/10000,2)</f>
        <v>5.62</v>
      </c>
      <c r="K20" s="320" t="s">
        <v>731</v>
      </c>
      <c r="L20" s="298" t="s">
        <v>732</v>
      </c>
      <c r="M20" s="321">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8" t="s">
        <v>733</v>
      </c>
      <c r="C21" s="21" t="s">
        <v>15</v>
      </c>
      <c r="D21" s="319" t="s">
        <v>734</v>
      </c>
      <c r="E21" s="298" t="s">
        <v>735</v>
      </c>
      <c r="F21" s="318">
        <f>'数据-取费表'!B38</f>
        <v>2.5000000000000001E-2</v>
      </c>
      <c r="G21" s="1392"/>
      <c r="H21" s="322"/>
      <c r="I21" s="307"/>
      <c r="J21" s="26"/>
      <c r="K21" s="323"/>
      <c r="L21" s="298" t="s">
        <v>736</v>
      </c>
      <c r="M21" s="299">
        <f ca="1">INDIRECT("'数据-取费表'!r"&amp;$G$1)</f>
        <v>18742.45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8" t="s">
        <v>737</v>
      </c>
      <c r="C22" s="21"/>
      <c r="D22" s="127" t="str">
        <f>IF(F23&lt;=1,"单利计息。","复利计息。")&amp;"建造成本、管理费用、销售费用产生的利息。"</f>
        <v>复利计息。建造成本、管理费用、销售费用产生的利息。</v>
      </c>
      <c r="E22" s="1356"/>
      <c r="F22" s="23"/>
      <c r="G22" s="1380"/>
      <c r="H22" s="978" t="s">
        <v>402</v>
      </c>
      <c r="I22" s="298" t="s">
        <v>738</v>
      </c>
      <c r="J22" s="21">
        <f ca="1">ROUND(J14*M22,2)</f>
        <v>593.13</v>
      </c>
      <c r="K22" s="1340" t="s">
        <v>739</v>
      </c>
      <c r="L22" s="298" t="s">
        <v>712</v>
      </c>
      <c r="M22" s="324">
        <f ca="1">INDIRECT("'数据-取费表'!Ak"&amp;$G$1)</f>
        <v>5.0000000000000001E-3</v>
      </c>
    </row>
    <row r="23" spans="1:37" s="1393" customFormat="1" ht="18" customHeight="1">
      <c r="A23" s="978" t="s">
        <v>397</v>
      </c>
      <c r="B23" s="298" t="s">
        <v>740</v>
      </c>
      <c r="C23" s="21">
        <f ca="1">IF('数据-取费表'!B22&lt;=1,ROUND(C19*F24*F23/2,0)+ROUND(C20*F24*F23/2,0),ROUND(C19*(POWER((1+F24),F23/2)-1),0)+ROUND(C20*(POWER((1+F24),F23/2)-1),0))</f>
        <v>5192</v>
      </c>
      <c r="D23" s="325" t="str">
        <f>IF(F23&lt;=1,"(建造成本+管理费用)×利率×(建设周期÷2)","(建造成本+管理费用)×((1+利率)^(建设周期÷2)-1)")</f>
        <v>(建造成本+管理费用)×((1+利率)^(建设周期÷2)-1)</v>
      </c>
      <c r="E23" s="298" t="s">
        <v>741</v>
      </c>
      <c r="F23" s="321">
        <f>'数据-取费表'!B20</f>
        <v>3</v>
      </c>
      <c r="G23" s="1392"/>
      <c r="H23" s="978" t="s">
        <v>437</v>
      </c>
      <c r="I23" s="298" t="s">
        <v>742</v>
      </c>
      <c r="J23" s="21">
        <f ca="1">ROUND(J13*M23,2)</f>
        <v>0</v>
      </c>
      <c r="K23" s="1340" t="s">
        <v>743</v>
      </c>
      <c r="L23" s="298" t="s">
        <v>744</v>
      </c>
      <c r="M23" s="326">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8" t="s">
        <v>746</v>
      </c>
      <c r="C24" s="21">
        <f ca="1">ROUND(IF('数据-取费表'!B22&lt;=1,F21*F24*F23/2,F21*(POWER((1+F24),F23/2)-1)),4)</f>
        <v>1.6000000000000001E-3</v>
      </c>
      <c r="D24" s="325" t="str">
        <f>IF(F23&lt;=1,"销售费用×利率×(建设周期÷2)","销售费用×((1+利率)^(建设周期÷2)-1)")</f>
        <v>销售费用×((1+利率)^(建设周期÷2)-1)</v>
      </c>
      <c r="E24" s="298" t="s">
        <v>747</v>
      </c>
      <c r="F24" s="327">
        <f ca="1">'数据-取费表'!B40</f>
        <v>4.1499999999999995E-2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8" t="s">
        <v>750</v>
      </c>
      <c r="C25" s="21"/>
      <c r="D25" s="127" t="s">
        <v>751</v>
      </c>
      <c r="E25" s="1356"/>
      <c r="F25" s="23"/>
      <c r="G25" s="1380"/>
      <c r="H25" s="1075" t="s">
        <v>394</v>
      </c>
      <c r="I25" s="1090" t="s">
        <v>752</v>
      </c>
      <c r="J25" s="306">
        <f ca="1">J5-J16</f>
        <v>-599</v>
      </c>
      <c r="K25" s="1091" t="s">
        <v>753</v>
      </c>
      <c r="L25" s="1092"/>
      <c r="M25" s="1093"/>
    </row>
    <row r="26" spans="1:37">
      <c r="A26" s="978" t="s">
        <v>397</v>
      </c>
      <c r="B26" s="298" t="s">
        <v>754</v>
      </c>
      <c r="C26" s="21">
        <f ca="1">ROUND((C19+C20)*F26,0)</f>
        <v>20642</v>
      </c>
      <c r="D26" s="319" t="s">
        <v>755</v>
      </c>
      <c r="E26" s="309" t="s">
        <v>756</v>
      </c>
      <c r="F26" s="308">
        <f ca="1">INDIRECT("'数据-取费表'!q"&amp;$G$1)</f>
        <v>0.25</v>
      </c>
      <c r="G26" s="1380"/>
      <c r="H26" s="295" t="s">
        <v>395</v>
      </c>
      <c r="I26" s="296" t="s">
        <v>757</v>
      </c>
      <c r="J26" s="297">
        <f ca="1">IF(J5&lt;&gt;0,ROUND(J25*(1-((1+M28)/(1+M26))^M27)/(M26-M28),0),0)</f>
        <v>0</v>
      </c>
      <c r="K26" s="320" t="s">
        <v>758</v>
      </c>
      <c r="L26" s="298" t="s">
        <v>759</v>
      </c>
      <c r="M26" s="308">
        <f ca="1">INDIRECT("'数据-取费表'!I"&amp;$G$1)</f>
        <v>5.5E-2</v>
      </c>
    </row>
    <row r="27" spans="1:37" ht="18" customHeight="1">
      <c r="A27" s="978" t="s">
        <v>399</v>
      </c>
      <c r="B27" s="298" t="s">
        <v>760</v>
      </c>
      <c r="C27" s="21">
        <f ca="1">ROUND(F21*F26,4)</f>
        <v>6.3E-3</v>
      </c>
      <c r="D27" s="319" t="s">
        <v>761</v>
      </c>
      <c r="E27" s="316"/>
      <c r="F27" s="317"/>
      <c r="G27" s="1380"/>
      <c r="H27" s="300"/>
      <c r="I27" s="301"/>
      <c r="J27" s="302"/>
      <c r="K27" s="328" t="s">
        <v>762</v>
      </c>
      <c r="L27" s="298" t="s">
        <v>763</v>
      </c>
      <c r="M27" s="329">
        <f ca="1">INDIRECT("'数据-取费表'!ag"&amp;$G$1)</f>
        <v>0</v>
      </c>
    </row>
    <row r="28" spans="1:37" s="1393" customFormat="1" ht="18" customHeight="1">
      <c r="A28" s="978" t="s">
        <v>400</v>
      </c>
      <c r="B28" s="298" t="s">
        <v>764</v>
      </c>
      <c r="C28" s="21">
        <f>ROUND(F28/(1+'数据-取费表'!C42),4)</f>
        <v>5.33E-2</v>
      </c>
      <c r="D28" s="319" t="s">
        <v>765</v>
      </c>
      <c r="E28" s="298" t="s">
        <v>712</v>
      </c>
      <c r="F28" s="318">
        <f>'数据-取费表'!B41</f>
        <v>5.6000000000000001E-2</v>
      </c>
      <c r="G28" s="1392"/>
      <c r="H28" s="304"/>
      <c r="I28" s="305"/>
      <c r="J28" s="306"/>
      <c r="K28" s="323"/>
      <c r="L28" s="298" t="s">
        <v>766</v>
      </c>
      <c r="M28" s="308">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118626</v>
      </c>
      <c r="D29" s="1088"/>
      <c r="E29" s="1086"/>
      <c r="F29" s="1089"/>
      <c r="G29" s="1392"/>
      <c r="H29" s="330" t="s">
        <v>396</v>
      </c>
      <c r="I29" s="331" t="s">
        <v>768</v>
      </c>
      <c r="J29" s="332">
        <f ca="1">ROUND(J26/(1+F40)^F41,0)</f>
        <v>0</v>
      </c>
      <c r="K29" s="333" t="s">
        <v>769</v>
      </c>
      <c r="L29" s="334"/>
      <c r="M29" s="335">
        <f ca="1">INDIRECT("'数据-取费表'!k"&amp;$G$1)</f>
        <v>81922.19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6">
        <f ca="1">ROUND(C31+C36+C37+C38,0)</f>
        <v>3672</v>
      </c>
      <c r="D30" s="1083" t="s">
        <v>715</v>
      </c>
      <c r="E30" s="1084"/>
      <c r="F30" s="1068"/>
      <c r="G30" s="1380"/>
      <c r="H30" s="2687"/>
      <c r="I30" s="1394"/>
      <c r="J30" s="1395"/>
      <c r="K30" s="2466"/>
      <c r="L30" s="2688"/>
      <c r="M30" s="2689"/>
    </row>
    <row r="31" spans="1:37" ht="18" customHeight="1">
      <c r="A31" s="978" t="s">
        <v>398</v>
      </c>
      <c r="B31" s="298" t="s">
        <v>719</v>
      </c>
      <c r="C31" s="2312">
        <f ca="1">ROUND(IF(AND(项目基本情况!B11="自然人",项目基本情况!B10="北京市"),C6*F31/(1+'数据-取费表'!C42),C32+C33+C34),2)</f>
        <v>2805.36</v>
      </c>
      <c r="D31" s="1341" t="s">
        <v>720</v>
      </c>
      <c r="E31" s="1340" t="s">
        <v>770</v>
      </c>
      <c r="F31" s="2311" t="str">
        <f>IF(项目基本情况!B11="企业","——",IF(M47="住宅",IF(F6*F7*F8/12/(1+'数据-取费表'!F30)&gt;100000,4%,2.5%),IF(F6*F7*F8/12/(1+'数据-取费表'!F30)&gt;100000,12%,7%)))</f>
        <v>——</v>
      </c>
      <c r="G31" s="1380"/>
      <c r="H31" s="2798" t="s">
        <v>2304</v>
      </c>
      <c r="I31" s="1394"/>
      <c r="J31" s="1395"/>
      <c r="K31" s="2466"/>
      <c r="L31" s="2688"/>
      <c r="M31" s="2689"/>
    </row>
    <row r="32" spans="1:37" ht="18" customHeight="1">
      <c r="A32" s="978" t="s">
        <v>397</v>
      </c>
      <c r="B32" s="298" t="s">
        <v>723</v>
      </c>
      <c r="C32" s="21">
        <f ca="1">IF(项目基本情况!B11="自然人","——",ROUND(C6*F32/(1+'数据-取费表'!C42),2))</f>
        <v>890.83</v>
      </c>
      <c r="D32" s="1340" t="s">
        <v>724</v>
      </c>
      <c r="E32" s="298" t="s">
        <v>712</v>
      </c>
      <c r="F32" s="327">
        <f>'数据-取费表'!B41</f>
        <v>5.6000000000000001E-2</v>
      </c>
      <c r="G32" s="1380"/>
      <c r="H32" s="2687"/>
      <c r="I32" s="1394"/>
      <c r="J32" s="1395"/>
      <c r="K32" s="2466"/>
      <c r="L32" s="2688"/>
      <c r="M32" s="2689"/>
    </row>
    <row r="33" spans="1:18" ht="18" customHeight="1">
      <c r="A33" s="978" t="s">
        <v>399</v>
      </c>
      <c r="B33" s="298" t="s">
        <v>727</v>
      </c>
      <c r="C33" s="21">
        <f ca="1">IF(项目基本情况!B11="自然人","——",IF(D33="按租金收入计税",ROUND(C6*F33/(1+'数据-取费表'!C42),2),IF(D33="按房产原值计税",ROUND(C29*F33*0.7,2),INDIRECT("'数据-取费表'!Aj"&amp;$G$1))))</f>
        <v>1908.91</v>
      </c>
      <c r="D33" s="1366" t="s">
        <v>3337</v>
      </c>
      <c r="E33" s="298" t="s">
        <v>712</v>
      </c>
      <c r="F33" s="318">
        <f>IF(D33="按票据","——",IF(D33="按租金收入计税",'数据-取费表'!B51,'数据-取费表'!B50))</f>
        <v>0.12</v>
      </c>
      <c r="G33" s="1380"/>
      <c r="H33" s="2690"/>
      <c r="I33" s="1394"/>
      <c r="J33" s="1395"/>
      <c r="K33" s="2691"/>
      <c r="L33" s="2690"/>
      <c r="M33" s="2690"/>
    </row>
    <row r="34" spans="1:18" ht="18" customHeight="1">
      <c r="A34" s="1065" t="s">
        <v>680</v>
      </c>
      <c r="B34" s="151" t="s">
        <v>730</v>
      </c>
      <c r="C34" s="22">
        <f ca="1">IF(项目基本情况!B11="自然人","——",ROUND(F34*F35/10000,2))</f>
        <v>5.62</v>
      </c>
      <c r="D34" s="320" t="s">
        <v>731</v>
      </c>
      <c r="E34" s="298" t="s">
        <v>732</v>
      </c>
      <c r="F34" s="321">
        <f>'数据-取费表'!B52</f>
        <v>3</v>
      </c>
      <c r="G34" s="1380"/>
      <c r="H34" s="2687"/>
      <c r="I34" s="1394"/>
      <c r="J34" s="1395"/>
      <c r="K34" s="2692"/>
      <c r="L34" s="2693"/>
      <c r="M34" s="2693"/>
    </row>
    <row r="35" spans="1:18" ht="18" customHeight="1">
      <c r="A35" s="1099"/>
      <c r="B35" s="1097"/>
      <c r="C35" s="26"/>
      <c r="D35" s="323"/>
      <c r="E35" s="298" t="s">
        <v>736</v>
      </c>
      <c r="F35" s="299">
        <f ca="1">INDIRECT("'数据-取费表'!r"&amp;$G$1)</f>
        <v>18742.45</v>
      </c>
      <c r="G35" s="1380"/>
      <c r="H35" s="2687"/>
      <c r="I35" s="1394"/>
      <c r="J35" s="1395"/>
      <c r="K35" s="2691"/>
      <c r="L35" s="2690"/>
      <c r="M35" s="2690"/>
    </row>
    <row r="36" spans="1:18" ht="18" customHeight="1">
      <c r="A36" s="1098" t="s">
        <v>402</v>
      </c>
      <c r="B36" s="298" t="s">
        <v>738</v>
      </c>
      <c r="C36" s="21">
        <f ca="1">ROUND(C29*F36,2)</f>
        <v>593.13</v>
      </c>
      <c r="D36" s="1340" t="s">
        <v>771</v>
      </c>
      <c r="E36" s="298" t="s">
        <v>712</v>
      </c>
      <c r="F36" s="324">
        <f ca="1">INDIRECT("'数据-取费表'!Ak"&amp;$G$1)</f>
        <v>5.0000000000000001E-3</v>
      </c>
      <c r="G36" s="1380"/>
      <c r="H36" s="2690"/>
      <c r="I36" s="1394"/>
      <c r="J36" s="1395"/>
      <c r="K36" s="2535"/>
      <c r="L36" s="2690"/>
      <c r="M36" s="2690"/>
    </row>
    <row r="37" spans="1:18" ht="18" customHeight="1">
      <c r="A37" s="978" t="s">
        <v>437</v>
      </c>
      <c r="B37" s="298" t="s">
        <v>742</v>
      </c>
      <c r="C37" s="21">
        <f ca="1">ROUND(C13*F37,2)</f>
        <v>106.76</v>
      </c>
      <c r="D37" s="1340" t="s">
        <v>743</v>
      </c>
      <c r="E37" s="298" t="s">
        <v>744</v>
      </c>
      <c r="F37" s="326">
        <f ca="1">INDIRECT("'数据-取费表'!Al"&amp;$G$1)</f>
        <v>1E-3</v>
      </c>
      <c r="G37" s="1380"/>
      <c r="H37" s="2690">
        <f ca="1">C39/C5</f>
        <v>0.78043530255919635</v>
      </c>
      <c r="I37" s="1394"/>
      <c r="J37" s="1395"/>
      <c r="K37" s="2535"/>
      <c r="L37" s="2690"/>
      <c r="M37" s="2690"/>
    </row>
    <row r="38" spans="1:18" ht="18" customHeight="1" thickBot="1">
      <c r="A38" s="1085" t="s">
        <v>684</v>
      </c>
      <c r="B38" s="1086" t="s">
        <v>728</v>
      </c>
      <c r="C38" s="1087">
        <f ca="1">ROUND(C5*F38,2)</f>
        <v>167.24</v>
      </c>
      <c r="D38" s="1088" t="s">
        <v>748</v>
      </c>
      <c r="E38" s="1086" t="s">
        <v>744</v>
      </c>
      <c r="F38" s="1082">
        <f ca="1">INDIRECT("'数据-取费表'!Am"&amp;$G$1)</f>
        <v>0.01</v>
      </c>
      <c r="G38" s="1380"/>
      <c r="H38" s="2690"/>
      <c r="I38" s="1394"/>
      <c r="J38" s="1395"/>
      <c r="K38" s="2694"/>
      <c r="L38" s="2690"/>
      <c r="M38" s="2690"/>
    </row>
    <row r="39" spans="1:18" ht="24.6" customHeight="1" thickTop="1">
      <c r="A39" s="1075" t="s">
        <v>394</v>
      </c>
      <c r="B39" s="1090" t="s">
        <v>772</v>
      </c>
      <c r="C39" s="306">
        <f ca="1">C5-C30</f>
        <v>13052</v>
      </c>
      <c r="D39" s="1091" t="s">
        <v>773</v>
      </c>
      <c r="E39" s="1092"/>
      <c r="F39" s="1093"/>
      <c r="G39" s="1380"/>
      <c r="H39" s="2690"/>
      <c r="I39" s="1394"/>
      <c r="J39" s="1395"/>
      <c r="K39" s="2694"/>
      <c r="L39" s="2690"/>
      <c r="M39" s="2690"/>
    </row>
    <row r="40" spans="1:18" ht="18" customHeight="1">
      <c r="A40" s="295" t="s">
        <v>395</v>
      </c>
      <c r="B40" s="296" t="s">
        <v>774</v>
      </c>
      <c r="C40" s="297">
        <f ca="1">ROUND(C39*(1-((1+F42)/(1+F40))^F41)/(F40-F42),0)</f>
        <v>294267</v>
      </c>
      <c r="D40" s="320" t="s">
        <v>758</v>
      </c>
      <c r="E40" s="298" t="s">
        <v>759</v>
      </c>
      <c r="F40" s="308">
        <f ca="1">INDIRECT("'数据-取费表'!I"&amp;$G$1)</f>
        <v>5.5E-2</v>
      </c>
      <c r="G40" s="1380"/>
      <c r="H40" s="1457"/>
      <c r="I40" s="1394"/>
      <c r="J40" s="1395"/>
      <c r="K40" s="2694"/>
      <c r="L40" s="1457"/>
      <c r="M40" s="1457"/>
    </row>
    <row r="41" spans="1:18" ht="18" customHeight="1">
      <c r="A41" s="300"/>
      <c r="B41" s="301"/>
      <c r="C41" s="302"/>
      <c r="D41" s="328" t="s">
        <v>775</v>
      </c>
      <c r="E41" s="298" t="s">
        <v>763</v>
      </c>
      <c r="F41" s="329">
        <f ca="1">IF(INDIRECT("'数据-取费表'!af"&amp;$G$1)=0,INDIRECT("'数据-取费表'!ae"&amp;$G$1),INDIRECT("'数据-取费表'!af"&amp;$G$1))</f>
        <v>34.58</v>
      </c>
      <c r="G41" s="1380"/>
      <c r="H41" s="1187"/>
      <c r="I41" s="1394"/>
      <c r="J41" s="1395"/>
      <c r="K41" s="2535"/>
      <c r="L41" s="1187"/>
      <c r="M41" s="1187"/>
    </row>
    <row r="42" spans="1:18" ht="18" customHeight="1">
      <c r="A42" s="304"/>
      <c r="B42" s="305"/>
      <c r="C42" s="306"/>
      <c r="D42" s="323"/>
      <c r="E42" s="298" t="s">
        <v>766</v>
      </c>
      <c r="F42" s="308">
        <f ca="1">INDIRECT("'数据-取费表'!v"&amp;$G$1)</f>
        <v>0.03</v>
      </c>
      <c r="G42" s="1380"/>
      <c r="H42" s="1187"/>
      <c r="I42" s="1394"/>
      <c r="J42" s="1395"/>
      <c r="K42" s="2535"/>
      <c r="L42" s="1187"/>
      <c r="M42" s="1187"/>
    </row>
    <row r="43" spans="1:18" ht="18" customHeight="1" thickBot="1">
      <c r="A43" s="330" t="s">
        <v>396</v>
      </c>
      <c r="B43" s="331" t="s">
        <v>776</v>
      </c>
      <c r="C43" s="332">
        <f ca="1">ROUND(C40*10000/F43,0)</f>
        <v>35920</v>
      </c>
      <c r="D43" s="333" t="s">
        <v>777</v>
      </c>
      <c r="E43" s="334" t="s">
        <v>778</v>
      </c>
      <c r="F43" s="335">
        <f ca="1">INDIRECT("'数据-取费表'!k"&amp;$G$1)</f>
        <v>81922.19</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5" t="s">
        <v>808</v>
      </c>
      <c r="P45" s="1457"/>
      <c r="Q45" s="1457"/>
      <c r="R45" s="1457"/>
    </row>
    <row r="46" spans="1:18" s="1380" customFormat="1" ht="13.5" thickBot="1">
      <c r="A46" s="1400" t="s">
        <v>809</v>
      </c>
      <c r="C46" s="1401">
        <f ca="1">C68-C40</f>
        <v>-305088</v>
      </c>
      <c r="D46" s="1402" t="str">
        <f>C2</f>
        <v>万元</v>
      </c>
      <c r="E46" s="1396"/>
      <c r="F46" s="1396"/>
      <c r="I46" s="1403" t="s">
        <v>810</v>
      </c>
      <c r="J46" s="1404"/>
      <c r="K46" s="1405"/>
      <c r="L46" s="1406">
        <f ca="1">IF(M47="住宅",0,IF(L48&gt;J51,L60,J60))</f>
        <v>3315</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3401</v>
      </c>
      <c r="K47" s="1412" t="s">
        <v>816</v>
      </c>
      <c r="L47" s="1413">
        <f ca="1">INDIRECT("'数据-取费表'!d"&amp;$G$1)</f>
        <v>50</v>
      </c>
      <c r="M47" s="1376" t="str">
        <f>IF(ISNUMBER(FIND("住宅",C1)),"住宅","非住宅")</f>
        <v>非住宅</v>
      </c>
      <c r="O47" s="1414" t="s">
        <v>403</v>
      </c>
      <c r="P47" s="1415" t="s">
        <v>817</v>
      </c>
      <c r="Q47" s="1416">
        <f ca="1">C40+J29</f>
        <v>294267</v>
      </c>
      <c r="R47" s="1416" t="s">
        <v>818</v>
      </c>
    </row>
    <row r="48" spans="1:18" s="1380" customFormat="1" ht="28.5" thickBot="1">
      <c r="A48" s="1106" t="s">
        <v>438</v>
      </c>
      <c r="B48" s="296" t="s">
        <v>692</v>
      </c>
      <c r="C48" s="1355">
        <f ca="1">C49+C53+C55</f>
        <v>0</v>
      </c>
      <c r="D48" s="1108"/>
      <c r="E48" s="1109"/>
      <c r="F48" s="958"/>
      <c r="G48" s="718"/>
      <c r="H48" s="719"/>
      <c r="I48" s="1417" t="s">
        <v>819</v>
      </c>
      <c r="J48" s="1418" t="s">
        <v>3402</v>
      </c>
      <c r="K48" s="1419" t="s">
        <v>820</v>
      </c>
      <c r="L48" s="1420">
        <f ca="1">INDIRECT("'数据-取费表'!f"&amp;$G$1)</f>
        <v>34.58</v>
      </c>
      <c r="O48" s="1414" t="s">
        <v>404</v>
      </c>
      <c r="P48" s="1415" t="s">
        <v>821</v>
      </c>
      <c r="Q48" s="1416">
        <f ca="1">J60</f>
        <v>3315</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3508">
        <v>2014</v>
      </c>
      <c r="K49" s="1419" t="s">
        <v>824</v>
      </c>
      <c r="L49" s="1423"/>
      <c r="O49" s="1424" t="s">
        <v>405</v>
      </c>
      <c r="P49" s="1415" t="s">
        <v>825</v>
      </c>
      <c r="Q49" s="1416">
        <f ca="1">C29</f>
        <v>118626</v>
      </c>
      <c r="R49" s="1416" t="s">
        <v>818</v>
      </c>
    </row>
    <row r="50" spans="1:18" s="1380" customFormat="1" ht="13.5" thickBot="1">
      <c r="A50" s="972"/>
      <c r="B50" s="975"/>
      <c r="C50" s="1114"/>
      <c r="D50" s="949"/>
      <c r="E50" s="1052" t="s">
        <v>697</v>
      </c>
      <c r="F50" s="1053">
        <f ca="1">F7</f>
        <v>81922.19</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299">
        <f ca="1">F8</f>
        <v>365</v>
      </c>
      <c r="I51" s="1428" t="s">
        <v>829</v>
      </c>
      <c r="J51" s="1429">
        <f>IF(J49="",J50,J49+J50-YEAR('数据-取费表'!B2))</f>
        <v>51</v>
      </c>
      <c r="K51" s="1430" t="s">
        <v>830</v>
      </c>
      <c r="L51" s="1431">
        <f ca="1">ROUND(-PV(INDIRECT("'数据-取费表'!h"&amp;$G$1),J51,(C39-C13*C76),0),0)</f>
        <v>163864</v>
      </c>
      <c r="M51" s="1432"/>
      <c r="O51" s="1424" t="s">
        <v>407</v>
      </c>
      <c r="P51" s="1415" t="s">
        <v>831</v>
      </c>
      <c r="Q51" s="1427">
        <f>J52</f>
        <v>0.08</v>
      </c>
      <c r="R51" s="1416"/>
    </row>
    <row r="52" spans="1:18" s="1380" customFormat="1" ht="13.5" thickBot="1">
      <c r="A52" s="973"/>
      <c r="B52" s="975"/>
      <c r="C52" s="976"/>
      <c r="D52" s="949"/>
      <c r="E52" s="977" t="s">
        <v>699</v>
      </c>
      <c r="F52" s="1050"/>
      <c r="I52" s="1433" t="s">
        <v>832</v>
      </c>
      <c r="J52" s="1434">
        <v>0.08</v>
      </c>
      <c r="K52" s="1433" t="s">
        <v>833</v>
      </c>
      <c r="L52" s="1434"/>
      <c r="O52" s="1424" t="s">
        <v>408</v>
      </c>
      <c r="P52" s="1415" t="s">
        <v>834</v>
      </c>
      <c r="Q52" s="1416">
        <f ca="1">J53</f>
        <v>34.58</v>
      </c>
      <c r="R52" s="1416" t="s">
        <v>835</v>
      </c>
    </row>
    <row r="53" spans="1:18" s="1380" customFormat="1" ht="24.75" thickBot="1">
      <c r="A53" s="1148" t="s">
        <v>440</v>
      </c>
      <c r="B53" s="1369" t="s">
        <v>700</v>
      </c>
      <c r="C53" s="312">
        <f ca="1">ROUND(IF(F53="押一",C49/12*F11,IF(F53="押二",C49/12*2*F11,IF(F53="押三",C49/12*3*F11,C54*F11))),0)</f>
        <v>0</v>
      </c>
      <c r="D53" s="1362" t="s">
        <v>2116</v>
      </c>
      <c r="E53" s="309" t="s">
        <v>701</v>
      </c>
      <c r="F53" s="1112"/>
      <c r="I53" s="1435" t="s">
        <v>836</v>
      </c>
      <c r="J53" s="2164">
        <f ca="1">IF(M47="住宅",IF(D1="——",MAX(J51,L48),MAX(J51,L48-'数据-取费表'!B24)),IF(D1="——",MIN(J51,L48),MIN(J51,L48-'数据-取费表'!B24)))</f>
        <v>34.58</v>
      </c>
      <c r="K53" s="3774" t="s">
        <v>837</v>
      </c>
      <c r="L53" s="3775"/>
      <c r="O53" s="1414" t="s">
        <v>409</v>
      </c>
      <c r="P53" s="1415" t="s">
        <v>838</v>
      </c>
      <c r="Q53" s="1416">
        <f ca="1">Q47+Q48</f>
        <v>297582</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0.27400000000000002</v>
      </c>
      <c r="K55" s="1441" t="s">
        <v>841</v>
      </c>
      <c r="L55" s="1442"/>
      <c r="O55" s="1407" t="s">
        <v>811</v>
      </c>
      <c r="P55" s="1408" t="s">
        <v>812</v>
      </c>
      <c r="Q55" s="1409" t="s">
        <v>813</v>
      </c>
      <c r="R55" s="1409" t="s">
        <v>814</v>
      </c>
    </row>
    <row r="56" spans="1:18" s="1380" customFormat="1" ht="25.5" thickTop="1" thickBot="1">
      <c r="A56" s="953">
        <v>2</v>
      </c>
      <c r="B56" s="954" t="s">
        <v>704</v>
      </c>
      <c r="C56" s="228">
        <f ca="1">C13</f>
        <v>106763</v>
      </c>
      <c r="D56" s="1443"/>
      <c r="E56" s="1444"/>
      <c r="F56" s="1436"/>
      <c r="I56" s="1445" t="s">
        <v>842</v>
      </c>
      <c r="J56" s="1446" t="s">
        <v>3409</v>
      </c>
      <c r="K56" s="1417" t="s">
        <v>843</v>
      </c>
      <c r="L56" s="1420" t="str">
        <f ca="1">IF(L48&lt;J51,"——",L48-J53)</f>
        <v>——</v>
      </c>
      <c r="O56" s="1414" t="s">
        <v>403</v>
      </c>
      <c r="P56" s="1415" t="s">
        <v>817</v>
      </c>
      <c r="Q56" s="1416">
        <f ca="1">C40+J29</f>
        <v>294267</v>
      </c>
      <c r="R56" s="1416" t="s">
        <v>818</v>
      </c>
    </row>
    <row r="57" spans="1:18" s="1380" customFormat="1" ht="24.75" thickBot="1">
      <c r="A57" s="1447"/>
      <c r="B57" s="946" t="s">
        <v>767</v>
      </c>
      <c r="C57" s="234">
        <f ca="1">C29</f>
        <v>118626</v>
      </c>
      <c r="D57" s="1448"/>
      <c r="E57" s="1449"/>
      <c r="F57" s="1450"/>
      <c r="I57" s="1451" t="s">
        <v>844</v>
      </c>
      <c r="J57" s="1452">
        <f ca="1">IF(OR(M47="住宅",J51&lt;L48,J56="是"),"——",J51-L48)</f>
        <v>16.420000000000002</v>
      </c>
      <c r="K57" s="1417" t="s">
        <v>845</v>
      </c>
      <c r="L57" s="1420" t="str">
        <f ca="1">IF(L48&lt;J51,"——",IF(L55="比较法",L49,IF(L55="基准地价",L50,L51)))</f>
        <v>——</v>
      </c>
      <c r="O57" s="1414" t="s">
        <v>404</v>
      </c>
      <c r="P57" s="1415" t="s">
        <v>846</v>
      </c>
      <c r="Q57" s="1416">
        <f ca="1">L60</f>
        <v>0</v>
      </c>
      <c r="R57" s="1416" t="s">
        <v>847</v>
      </c>
    </row>
    <row r="58" spans="1:18" s="1380" customFormat="1" ht="24.75" thickBot="1">
      <c r="A58" s="311" t="s">
        <v>393</v>
      </c>
      <c r="B58" s="954" t="s">
        <v>714</v>
      </c>
      <c r="C58" s="312">
        <f ca="1">ROUND(C59+C64+C65+C66,0)</f>
        <v>706</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6</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47450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7">
        <f t="shared" ref="F60:F66" si="0">F32</f>
        <v>5.6000000000000001E-2</v>
      </c>
      <c r="I60" s="1454" t="s">
        <v>853</v>
      </c>
      <c r="J60" s="1455">
        <f ca="1">IF(OR(M47="住宅",J51&lt;L48,J56="是"),"0",ROUND(J59/(1+J52)^J53,0))</f>
        <v>3315</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3337</v>
      </c>
      <c r="E61" s="946" t="s">
        <v>783</v>
      </c>
      <c r="F61" s="318">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5.62</v>
      </c>
      <c r="D62" s="961" t="s">
        <v>786</v>
      </c>
      <c r="E62" s="946" t="s">
        <v>787</v>
      </c>
      <c r="F62" s="321">
        <f t="shared" si="0"/>
        <v>3</v>
      </c>
      <c r="I62" s="1458" t="s">
        <v>858</v>
      </c>
      <c r="J62" s="1459" t="s">
        <v>859</v>
      </c>
      <c r="K62" s="1459" t="s">
        <v>860</v>
      </c>
      <c r="L62" s="1459" t="s">
        <v>861</v>
      </c>
      <c r="M62" s="1460" t="s">
        <v>862</v>
      </c>
      <c r="O62" s="1414" t="s">
        <v>409</v>
      </c>
      <c r="P62" s="1415" t="s">
        <v>863</v>
      </c>
      <c r="Q62" s="1416">
        <f ca="1">Q56+Q57</f>
        <v>294267</v>
      </c>
      <c r="R62" s="1416" t="s">
        <v>410</v>
      </c>
    </row>
    <row r="63" spans="1:18" s="1380" customFormat="1" ht="13.5" thickBot="1">
      <c r="A63" s="322"/>
      <c r="B63" s="952"/>
      <c r="C63" s="26"/>
      <c r="D63" s="962"/>
      <c r="E63" s="946" t="s">
        <v>788</v>
      </c>
      <c r="F63" s="299">
        <f t="shared" ca="1" si="0"/>
        <v>18742.45</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593.13</v>
      </c>
      <c r="D64" s="960" t="s">
        <v>791</v>
      </c>
      <c r="E64" s="946" t="s">
        <v>783</v>
      </c>
      <c r="F64" s="324">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106.76</v>
      </c>
      <c r="D65" s="960" t="s">
        <v>743</v>
      </c>
      <c r="E65" s="946" t="s">
        <v>744</v>
      </c>
      <c r="F65" s="326">
        <f t="shared" ca="1" si="0"/>
        <v>1E-3</v>
      </c>
      <c r="I65" s="1458" t="s">
        <v>867</v>
      </c>
      <c r="J65" s="1459">
        <v>40</v>
      </c>
      <c r="K65" s="1459">
        <v>30</v>
      </c>
      <c r="L65" s="1459">
        <v>50</v>
      </c>
      <c r="M65" s="1461">
        <v>0.02</v>
      </c>
      <c r="O65" s="1414" t="s">
        <v>403</v>
      </c>
      <c r="P65" s="1415" t="s">
        <v>868</v>
      </c>
      <c r="Q65" s="1416">
        <f ca="1">C40+J29</f>
        <v>294267</v>
      </c>
      <c r="R65" s="1416" t="s">
        <v>818</v>
      </c>
    </row>
    <row r="66" spans="1:18" s="1380" customFormat="1" ht="16.5" thickBot="1">
      <c r="A66" s="978" t="s">
        <v>793</v>
      </c>
      <c r="B66" s="946" t="s">
        <v>728</v>
      </c>
      <c r="C66" s="21">
        <f ca="1">ROUND(C48*F66,2)</f>
        <v>0</v>
      </c>
      <c r="D66" s="960" t="s">
        <v>794</v>
      </c>
      <c r="E66" s="946" t="s">
        <v>712</v>
      </c>
      <c r="F66" s="308">
        <f t="shared" ca="1" si="0"/>
        <v>0.01</v>
      </c>
      <c r="O66" s="1414" t="s">
        <v>404</v>
      </c>
      <c r="P66" s="1415" t="s">
        <v>846</v>
      </c>
      <c r="Q66" s="1416">
        <f ca="1">L60</f>
        <v>0</v>
      </c>
      <c r="R66" s="1416" t="s">
        <v>869</v>
      </c>
    </row>
    <row r="67" spans="1:18" s="1380" customFormat="1" ht="16.5" thickBot="1">
      <c r="A67" s="953" t="s">
        <v>394</v>
      </c>
      <c r="B67" s="963" t="s">
        <v>752</v>
      </c>
      <c r="C67" s="312">
        <f ca="1">C48-C58</f>
        <v>-706</v>
      </c>
      <c r="D67" s="959" t="s">
        <v>753</v>
      </c>
      <c r="E67" s="964"/>
      <c r="F67" s="965"/>
      <c r="O67" s="1424" t="s">
        <v>405</v>
      </c>
      <c r="P67" s="1415" t="s">
        <v>850</v>
      </c>
      <c r="Q67" s="1462">
        <f ca="1">L51</f>
        <v>163864</v>
      </c>
      <c r="R67" s="1416" t="s">
        <v>870</v>
      </c>
    </row>
    <row r="68" spans="1:18" s="1380" customFormat="1" ht="16.5" thickBot="1">
      <c r="A68" s="943" t="s">
        <v>395</v>
      </c>
      <c r="B68" s="944" t="s">
        <v>774</v>
      </c>
      <c r="C68" s="297">
        <f ca="1">ROUND(C67*(1-((1+F70)/(1+F68))^F69)/(F68-F70),0)</f>
        <v>-10821</v>
      </c>
      <c r="D68" s="961" t="s">
        <v>758</v>
      </c>
      <c r="E68" s="946" t="s">
        <v>759</v>
      </c>
      <c r="F68" s="308">
        <f ca="1">F40</f>
        <v>5.5E-2</v>
      </c>
      <c r="O68" s="1424" t="s">
        <v>406</v>
      </c>
      <c r="P68" s="1463" t="s">
        <v>871</v>
      </c>
      <c r="Q68" s="1416">
        <f ca="1">ROUND(Q69-Q70*Q71,0)</f>
        <v>8248</v>
      </c>
      <c r="R68" s="1416" t="s">
        <v>414</v>
      </c>
    </row>
    <row r="69" spans="1:18" s="1380" customFormat="1" ht="13.5" thickBot="1">
      <c r="A69" s="947"/>
      <c r="B69" s="948"/>
      <c r="C69" s="302"/>
      <c r="D69" s="966" t="s">
        <v>762</v>
      </c>
      <c r="E69" s="946" t="s">
        <v>763</v>
      </c>
      <c r="F69" s="329">
        <f ca="1">F41</f>
        <v>34.58</v>
      </c>
      <c r="O69" s="1424" t="s">
        <v>411</v>
      </c>
      <c r="P69" s="1463" t="s">
        <v>872</v>
      </c>
      <c r="Q69" s="1416">
        <f ca="1">C39</f>
        <v>13052</v>
      </c>
      <c r="R69" s="1416" t="s">
        <v>818</v>
      </c>
    </row>
    <row r="70" spans="1:18" s="1380" customFormat="1" ht="13.5" thickBot="1">
      <c r="A70" s="950"/>
      <c r="B70" s="951"/>
      <c r="C70" s="306"/>
      <c r="D70" s="962"/>
      <c r="E70" s="946" t="s">
        <v>766</v>
      </c>
      <c r="F70" s="1050"/>
      <c r="O70" s="1424" t="s">
        <v>412</v>
      </c>
      <c r="P70" s="1463" t="s">
        <v>873</v>
      </c>
      <c r="Q70" s="1416">
        <f ca="1">C13</f>
        <v>106763</v>
      </c>
      <c r="R70" s="1416" t="s">
        <v>818</v>
      </c>
    </row>
    <row r="71" spans="1:18" s="1380" customFormat="1" ht="13.5" thickBot="1">
      <c r="A71" s="967" t="s">
        <v>396</v>
      </c>
      <c r="B71" s="968" t="s">
        <v>776</v>
      </c>
      <c r="C71" s="332">
        <f ca="1">ROUND(C68*10000/F71,0)</f>
        <v>-1321</v>
      </c>
      <c r="D71" s="969" t="s">
        <v>777</v>
      </c>
      <c r="E71" s="970" t="s">
        <v>778</v>
      </c>
      <c r="F71" s="335">
        <f ca="1">F43</f>
        <v>81922.19</v>
      </c>
      <c r="O71" s="1424" t="s">
        <v>413</v>
      </c>
      <c r="P71" s="1463" t="s">
        <v>874</v>
      </c>
      <c r="Q71" s="1427">
        <f ca="1">C76</f>
        <v>4.4999999999999998E-2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69"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6" t="s">
        <v>795</v>
      </c>
      <c r="C75" s="337">
        <f ca="1">ROUND(C13*C76,0)</f>
        <v>4804</v>
      </c>
      <c r="D75" s="1380"/>
      <c r="E75" s="1380"/>
      <c r="F75" s="1380"/>
      <c r="K75" s="1398"/>
      <c r="L75" s="1380"/>
      <c r="O75" s="1414" t="s">
        <v>409</v>
      </c>
      <c r="P75" s="1415" t="s">
        <v>838</v>
      </c>
      <c r="Q75" s="1416">
        <f ca="1">Q65+Q66</f>
        <v>294267</v>
      </c>
      <c r="R75" s="1416" t="s">
        <v>410</v>
      </c>
    </row>
    <row r="76" spans="1:18">
      <c r="B76" s="338" t="s">
        <v>796</v>
      </c>
      <c r="C76" s="339">
        <f ca="1">INDIRECT("'数据-取费表'!j"&amp;$G$1)</f>
        <v>4.4999999999999998E-2</v>
      </c>
      <c r="I76" s="1380"/>
      <c r="J76" s="1380"/>
      <c r="K76" s="1398"/>
      <c r="L76" s="1380"/>
    </row>
    <row r="77" spans="1:18">
      <c r="B77" s="340" t="s">
        <v>797</v>
      </c>
      <c r="C77" s="341"/>
      <c r="I77" s="1380"/>
      <c r="J77" s="1380"/>
      <c r="K77" s="1398"/>
      <c r="L77" s="1380"/>
    </row>
    <row r="78" spans="1:18">
      <c r="B78" s="266" t="s">
        <v>798</v>
      </c>
      <c r="C78" s="342"/>
    </row>
    <row r="79" spans="1:18">
      <c r="B79" s="336" t="s">
        <v>799</v>
      </c>
      <c r="C79" s="270">
        <f ca="1">1-C80</f>
        <v>0.63200000000000001</v>
      </c>
    </row>
    <row r="80" spans="1:18">
      <c r="B80" s="336" t="s">
        <v>800</v>
      </c>
      <c r="C80" s="270">
        <f ca="1">ROUND(C75/C39,3)</f>
        <v>0.36799999999999999</v>
      </c>
    </row>
    <row r="81" spans="2:3">
      <c r="B81" s="266" t="s">
        <v>801</v>
      </c>
      <c r="C81" s="234"/>
    </row>
    <row r="82" spans="2:3">
      <c r="B82" s="269" t="s">
        <v>802</v>
      </c>
      <c r="C82" s="271">
        <f ca="1">1-C83</f>
        <v>0.63700000000000001</v>
      </c>
    </row>
    <row r="83" spans="2:3">
      <c r="B83" s="269" t="s">
        <v>803</v>
      </c>
      <c r="C83" s="270">
        <f ca="1">ROUND(C13/C40,3)</f>
        <v>0.36299999999999999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4" customWidth="1"/>
    <col min="2" max="2" width="20.625" style="651" customWidth="1"/>
    <col min="3" max="3" width="11.875" style="65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464" customWidth="1"/>
    <col min="12" max="12" width="16.375" style="254" customWidth="1"/>
    <col min="13" max="13" width="13" style="254"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4"/>
  </cols>
  <sheetData>
    <row r="1" spans="1:37" s="289" customFormat="1" ht="21">
      <c r="A1" s="1371" t="s">
        <v>877</v>
      </c>
      <c r="B1" s="709"/>
      <c r="C1" s="1375"/>
      <c r="D1" s="1358" t="s">
        <v>43</v>
      </c>
      <c r="E1" s="1359" t="s">
        <v>678</v>
      </c>
      <c r="F1" s="1058">
        <f ca="1">J53</f>
        <v>0</v>
      </c>
      <c r="G1" s="1374">
        <f>MATCH(C1,'数据-取费表'!A6:A16,0)+5</f>
        <v>8</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5" t="e">
        <f ca="1">ROUND(D2/10000,4)</f>
        <v>#DIV/0!</v>
      </c>
      <c r="C2" s="1383" t="s">
        <v>879</v>
      </c>
      <c r="D2" s="1467" t="e">
        <f ca="1">C40+J29+L46</f>
        <v>#DIV/0!</v>
      </c>
      <c r="E2" s="1384" t="s">
        <v>880</v>
      </c>
      <c r="F2" s="1385"/>
      <c r="G2" s="2696"/>
      <c r="H2" s="2685"/>
      <c r="I2" s="2685"/>
      <c r="J2" s="2685"/>
      <c r="K2" s="2686"/>
      <c r="L2" s="2685"/>
      <c r="M2" s="2685"/>
    </row>
    <row r="3" spans="1:37" ht="18" customHeight="1" thickBot="1">
      <c r="A3" s="1386" t="s">
        <v>881</v>
      </c>
      <c r="B3" s="1387">
        <f ca="1">IF(ISERROR(D2/F43),0,ROUND(D2/F43,0))</f>
        <v>0</v>
      </c>
      <c r="C3" s="1383" t="s">
        <v>882</v>
      </c>
      <c r="D3" s="1383"/>
      <c r="E3" s="1384"/>
      <c r="F3" s="1385"/>
      <c r="G3" s="2696"/>
      <c r="H3" s="679" t="s">
        <v>876</v>
      </c>
      <c r="I3" s="1378"/>
      <c r="J3" s="1378"/>
      <c r="K3" s="1379"/>
      <c r="L3" s="1378"/>
      <c r="M3" s="1378"/>
    </row>
    <row r="4" spans="1:37" ht="18" customHeight="1">
      <c r="A4" s="291" t="s">
        <v>883</v>
      </c>
      <c r="B4" s="292" t="s">
        <v>884</v>
      </c>
      <c r="C4" s="292" t="s">
        <v>885</v>
      </c>
      <c r="D4" s="292" t="s">
        <v>886</v>
      </c>
      <c r="E4" s="293" t="s">
        <v>887</v>
      </c>
      <c r="F4" s="294"/>
      <c r="G4" s="1380"/>
      <c r="H4" s="291" t="s">
        <v>883</v>
      </c>
      <c r="I4" s="292" t="s">
        <v>884</v>
      </c>
      <c r="J4" s="292" t="s">
        <v>885</v>
      </c>
      <c r="K4" s="292" t="s">
        <v>886</v>
      </c>
      <c r="L4" s="293" t="s">
        <v>887</v>
      </c>
      <c r="M4" s="294"/>
    </row>
    <row r="5" spans="1:37" ht="18" customHeight="1">
      <c r="A5" s="295">
        <v>1</v>
      </c>
      <c r="B5" s="296" t="s">
        <v>888</v>
      </c>
      <c r="C5" s="1066">
        <f ca="1">C6+C10+C12</f>
        <v>0</v>
      </c>
      <c r="D5" s="1360" t="s">
        <v>889</v>
      </c>
      <c r="E5" s="1067"/>
      <c r="F5" s="1068"/>
      <c r="G5" s="1380"/>
      <c r="H5" s="295">
        <v>1</v>
      </c>
      <c r="I5" s="296" t="s">
        <v>888</v>
      </c>
      <c r="J5" s="1066">
        <f ca="1">J6+J10+J12</f>
        <v>0</v>
      </c>
      <c r="K5" s="1360" t="s">
        <v>889</v>
      </c>
      <c r="L5" s="1067"/>
      <c r="M5" s="1068"/>
    </row>
    <row r="6" spans="1:37" ht="18" customHeight="1">
      <c r="A6" s="1065" t="s">
        <v>398</v>
      </c>
      <c r="B6" s="3771" t="s">
        <v>694</v>
      </c>
      <c r="C6" s="1070">
        <f ca="1">ROUND(F6*F8*F7*(1-F9),0)</f>
        <v>0</v>
      </c>
      <c r="D6" s="151" t="s">
        <v>2106</v>
      </c>
      <c r="E6" s="298" t="s">
        <v>696</v>
      </c>
      <c r="F6" s="299">
        <f ca="1">INDIRECT("'数据-取费表'!u"&amp;$G$1)</f>
        <v>0</v>
      </c>
      <c r="G6" s="1380"/>
      <c r="H6" s="1065" t="s">
        <v>398</v>
      </c>
      <c r="I6" s="3771" t="s">
        <v>694</v>
      </c>
      <c r="J6" s="297">
        <f ca="1">ROUND(M6*M8*M7*(1-M9),0)</f>
        <v>0</v>
      </c>
      <c r="K6" s="1372" t="s">
        <v>2107</v>
      </c>
      <c r="L6" s="298" t="s">
        <v>696</v>
      </c>
      <c r="M6" s="299">
        <f ca="1">INDIRECT("'数据-取费表'!z"&amp;$G$1)</f>
        <v>0</v>
      </c>
    </row>
    <row r="7" spans="1:37" ht="18" customHeight="1">
      <c r="A7" s="1069"/>
      <c r="B7" s="3772"/>
      <c r="C7" s="1071"/>
      <c r="D7" s="303"/>
      <c r="E7" s="1072" t="s">
        <v>697</v>
      </c>
      <c r="F7" s="299">
        <f ca="1">IF(INDIRECT("'数据-取费表'!ah"&amp;$G$1)="",INDIRECT("'数据-取费表'!k"&amp;$G$1),INDIRECT("'数据-取费表'!ah"&amp;$G$1))</f>
        <v>0</v>
      </c>
      <c r="G7" s="1380"/>
      <c r="H7" s="300"/>
      <c r="I7" s="3772"/>
      <c r="J7" s="302"/>
      <c r="K7" s="303"/>
      <c r="L7" s="298" t="s">
        <v>697</v>
      </c>
      <c r="M7" s="299">
        <f ca="1">F7</f>
        <v>0</v>
      </c>
    </row>
    <row r="8" spans="1:37" ht="18" customHeight="1">
      <c r="A8" s="300"/>
      <c r="B8" s="3772"/>
      <c r="C8" s="302"/>
      <c r="D8" s="303"/>
      <c r="E8" s="298" t="s">
        <v>698</v>
      </c>
      <c r="F8" s="299">
        <f ca="1">INDIRECT("'数据-取费表'!ai"&amp;$G$1)</f>
        <v>0</v>
      </c>
      <c r="G8" s="1380"/>
      <c r="H8" s="300"/>
      <c r="I8" s="3772"/>
      <c r="J8" s="302"/>
      <c r="K8" s="303"/>
      <c r="L8" s="298" t="s">
        <v>698</v>
      </c>
      <c r="M8" s="299">
        <f ca="1">INDIRECT("'数据-取费表'!ai"&amp;$G$1)</f>
        <v>0</v>
      </c>
    </row>
    <row r="9" spans="1:37" ht="18" customHeight="1">
      <c r="A9" s="300"/>
      <c r="B9" s="3773"/>
      <c r="C9" s="302"/>
      <c r="D9" s="303"/>
      <c r="E9" s="298" t="s">
        <v>699</v>
      </c>
      <c r="F9" s="308">
        <f ca="1">INDIRECT("'数据-取费表'!w"&amp;$G$1)</f>
        <v>0</v>
      </c>
      <c r="G9" s="1380"/>
      <c r="H9" s="300"/>
      <c r="I9" s="3773"/>
      <c r="J9" s="302"/>
      <c r="K9" s="303"/>
      <c r="L9" s="309" t="s">
        <v>699</v>
      </c>
      <c r="M9" s="310">
        <f ca="1">INDIRECT("'数据-取费表'!ab"&amp;$G$1)</f>
        <v>0</v>
      </c>
    </row>
    <row r="10" spans="1:37" ht="18" customHeight="1">
      <c r="A10" s="1065" t="s">
        <v>402</v>
      </c>
      <c r="B10" s="1361" t="s">
        <v>700</v>
      </c>
      <c r="C10" s="312">
        <f ca="1">ROUND(IF(F10="押一",C6/12*F11,IF(F10="押二",C6/12*2*F11,IF(F10="押三",C6/12*3*F11,C11*F11))),0)</f>
        <v>0</v>
      </c>
      <c r="D10" s="1362" t="s">
        <v>2116</v>
      </c>
      <c r="E10" s="309" t="s">
        <v>701</v>
      </c>
      <c r="F10" s="1112"/>
      <c r="G10" s="1380"/>
      <c r="H10" s="1065" t="s">
        <v>402</v>
      </c>
      <c r="I10" s="1361" t="s">
        <v>700</v>
      </c>
      <c r="J10" s="297">
        <f ca="1">ROUND(IF(M10="押一",J6/12*M11,IF(M10="押二",J6/12*2*M11,IF(M10="押三",J6/12*3*M11,J11*M11))),0)</f>
        <v>0</v>
      </c>
      <c r="K10" s="1373" t="s">
        <v>2118</v>
      </c>
      <c r="L10" s="309" t="s">
        <v>701</v>
      </c>
      <c r="M10" s="1112"/>
    </row>
    <row r="11" spans="1:37" ht="18" customHeight="1">
      <c r="A11" s="304"/>
      <c r="B11" s="1363" t="s">
        <v>890</v>
      </c>
      <c r="C11" s="955"/>
      <c r="D11" s="303"/>
      <c r="E11" s="309" t="s">
        <v>702</v>
      </c>
      <c r="F11" s="310">
        <f ca="1">'数据-取费表'!B39</f>
        <v>1.4999999999999999E-2</v>
      </c>
      <c r="G11" s="1380"/>
      <c r="H11" s="1073"/>
      <c r="I11" s="1363" t="s">
        <v>891</v>
      </c>
      <c r="J11" s="955"/>
      <c r="K11" s="680"/>
      <c r="L11" s="309"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6">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8" t="s">
        <v>707</v>
      </c>
      <c r="C14" s="314">
        <f ca="1">ROUND(INDIRECT("'数据-取费表'!l"&amp;$G$1)*F43+'数据-取费表'!L14*INDIRECT("'数据-取费表'!S"&amp;$G$1),0)</f>
        <v>0</v>
      </c>
      <c r="D14" s="1341" t="s">
        <v>708</v>
      </c>
      <c r="E14" s="1338"/>
      <c r="F14" s="315"/>
      <c r="G14" s="1380"/>
      <c r="H14" s="978" t="s">
        <v>398</v>
      </c>
      <c r="I14" s="298" t="s">
        <v>709</v>
      </c>
      <c r="J14" s="21">
        <f ca="1">C29</f>
        <v>0</v>
      </c>
      <c r="K14" s="12"/>
      <c r="L14" s="803"/>
      <c r="M14" s="804"/>
    </row>
    <row r="15" spans="1:37" s="1393" customFormat="1" ht="18" customHeight="1" thickBot="1">
      <c r="A15" s="978" t="s">
        <v>399</v>
      </c>
      <c r="B15" s="298" t="s">
        <v>710</v>
      </c>
      <c r="C15" s="21">
        <f ca="1">ROUND(C14*F15,0)</f>
        <v>0</v>
      </c>
      <c r="D15" s="316" t="s">
        <v>711</v>
      </c>
      <c r="E15" s="316" t="s">
        <v>712</v>
      </c>
      <c r="F15" s="317">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8" t="s">
        <v>713</v>
      </c>
      <c r="C16" s="21">
        <f ca="1">ROUND(INDIRECT("'数据-取费表'!l"&amp;$G$1)*F43*F16,0)</f>
        <v>0</v>
      </c>
      <c r="D16" s="298" t="s">
        <v>711</v>
      </c>
      <c r="E16" s="298" t="s">
        <v>712</v>
      </c>
      <c r="F16" s="318">
        <f ca="1">IF(INDIRECT("'数据-取费表'!c"&amp;$G$1)="住宅",'数据-取费表'!B34,0)</f>
        <v>0</v>
      </c>
      <c r="G16" s="1380"/>
      <c r="H16" s="1075" t="s">
        <v>393</v>
      </c>
      <c r="I16" s="1076" t="s">
        <v>714</v>
      </c>
      <c r="J16" s="306">
        <f ca="1">ROUND(J17+J22+J23+J24,0)</f>
        <v>0</v>
      </c>
      <c r="K16" s="1083" t="s">
        <v>715</v>
      </c>
      <c r="L16" s="1084"/>
      <c r="M16" s="1068"/>
    </row>
    <row r="17" spans="1:37" s="1393" customFormat="1" ht="18" customHeight="1">
      <c r="A17" s="978" t="s">
        <v>681</v>
      </c>
      <c r="B17" s="298" t="s">
        <v>716</v>
      </c>
      <c r="C17" s="21">
        <f ca="1">ROUND(F17*(F43+INDIRECT("'数据-取费表'!S"&amp;$G$1)),0)</f>
        <v>0</v>
      </c>
      <c r="D17" s="298" t="s">
        <v>717</v>
      </c>
      <c r="E17" s="298" t="s">
        <v>718</v>
      </c>
      <c r="F17" s="23">
        <f>'数据-取费表'!B35</f>
        <v>200</v>
      </c>
      <c r="G17" s="1392"/>
      <c r="H17" s="978" t="s">
        <v>398</v>
      </c>
      <c r="I17" s="298"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8" t="s">
        <v>722</v>
      </c>
      <c r="C18" s="21">
        <f ca="1">ROUND(C14*F18,0)</f>
        <v>0</v>
      </c>
      <c r="D18" s="298" t="s">
        <v>711</v>
      </c>
      <c r="E18" s="298" t="s">
        <v>712</v>
      </c>
      <c r="F18" s="318">
        <f>'数据-取费表'!B36</f>
        <v>1.4999999999999999E-2</v>
      </c>
      <c r="G18" s="1392"/>
      <c r="H18" s="978" t="s">
        <v>397</v>
      </c>
      <c r="I18" s="298" t="s">
        <v>723</v>
      </c>
      <c r="J18" s="21">
        <f ca="1">ROUND(J6*M18/(1+'数据-取费表'!C42),0)</f>
        <v>0</v>
      </c>
      <c r="K18" s="1340" t="s">
        <v>724</v>
      </c>
      <c r="L18" s="298" t="s">
        <v>712</v>
      </c>
      <c r="M18" s="318">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8" t="s">
        <v>725</v>
      </c>
      <c r="C19" s="21">
        <f ca="1">SUM(C14:C18)</f>
        <v>0</v>
      </c>
      <c r="D19" s="127" t="s">
        <v>726</v>
      </c>
      <c r="E19" s="1356"/>
      <c r="F19" s="23"/>
      <c r="G19" s="1380"/>
      <c r="H19" s="978" t="s">
        <v>399</v>
      </c>
      <c r="I19" s="298" t="s">
        <v>727</v>
      </c>
      <c r="J19" s="21">
        <f ca="1">IF(K19="按租金收入计税",ROUND(J6*M19/(1+'数据-取费表'!C42),0),ROUND(C29*M19*0.7,0))</f>
        <v>0</v>
      </c>
      <c r="K19" s="1366" t="s">
        <v>3337</v>
      </c>
      <c r="L19" s="298" t="s">
        <v>712</v>
      </c>
      <c r="M19" s="318">
        <f>IF(K19="按租金收入计税",'数据-取费表'!B51,'数据-取费表'!B50)</f>
        <v>0.12</v>
      </c>
    </row>
    <row r="20" spans="1:37" s="1393" customFormat="1" ht="18" customHeight="1">
      <c r="A20" s="978" t="s">
        <v>402</v>
      </c>
      <c r="B20" s="298" t="s">
        <v>728</v>
      </c>
      <c r="C20" s="21">
        <f ca="1">ROUND(C19*F20,0)</f>
        <v>0</v>
      </c>
      <c r="D20" s="319" t="s">
        <v>729</v>
      </c>
      <c r="E20" s="298" t="s">
        <v>712</v>
      </c>
      <c r="F20" s="318">
        <f>'数据-取费表'!B37</f>
        <v>0.03</v>
      </c>
      <c r="G20" s="1392"/>
      <c r="H20" s="978" t="s">
        <v>680</v>
      </c>
      <c r="I20" s="151" t="s">
        <v>730</v>
      </c>
      <c r="J20" s="22">
        <f ca="1">ROUND(M20*M21,0)</f>
        <v>0</v>
      </c>
      <c r="K20" s="320" t="s">
        <v>731</v>
      </c>
      <c r="L20" s="298" t="s">
        <v>732</v>
      </c>
      <c r="M20" s="321">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8" t="s">
        <v>733</v>
      </c>
      <c r="C21" s="21" t="s">
        <v>0</v>
      </c>
      <c r="D21" s="319" t="s">
        <v>734</v>
      </c>
      <c r="E21" s="298" t="s">
        <v>735</v>
      </c>
      <c r="F21" s="318">
        <f>'数据-取费表'!B38</f>
        <v>2.5000000000000001E-2</v>
      </c>
      <c r="G21" s="1392"/>
      <c r="H21" s="322"/>
      <c r="I21" s="307"/>
      <c r="J21" s="26"/>
      <c r="K21" s="323"/>
      <c r="L21" s="298" t="s">
        <v>736</v>
      </c>
      <c r="M21" s="299">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8" t="s">
        <v>737</v>
      </c>
      <c r="C22" s="21"/>
      <c r="D22" s="127" t="str">
        <f>IF(F23&lt;=1,"单利计息。","复利计息。")&amp;"建造成本、管理费用、销售费用产生的利息。"</f>
        <v>复利计息。建造成本、管理费用、销售费用产生的利息。</v>
      </c>
      <c r="E22" s="1356"/>
      <c r="F22" s="23"/>
      <c r="G22" s="1380"/>
      <c r="H22" s="978" t="s">
        <v>402</v>
      </c>
      <c r="I22" s="298" t="s">
        <v>738</v>
      </c>
      <c r="J22" s="21">
        <f ca="1">ROUND(J14*M22,0)</f>
        <v>0</v>
      </c>
      <c r="K22" s="1340" t="s">
        <v>739</v>
      </c>
      <c r="L22" s="298" t="s">
        <v>712</v>
      </c>
      <c r="M22" s="324">
        <f ca="1">INDIRECT("'数据-取费表'!Ak"&amp;$G$1)</f>
        <v>0</v>
      </c>
    </row>
    <row r="23" spans="1:37" s="1393" customFormat="1" ht="18" customHeight="1">
      <c r="A23" s="978" t="s">
        <v>397</v>
      </c>
      <c r="B23" s="298" t="s">
        <v>740</v>
      </c>
      <c r="C23" s="21">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741</v>
      </c>
      <c r="F23" s="321">
        <f>'数据-取费表'!B20</f>
        <v>3</v>
      </c>
      <c r="G23" s="1392"/>
      <c r="H23" s="978" t="s">
        <v>437</v>
      </c>
      <c r="I23" s="298" t="s">
        <v>742</v>
      </c>
      <c r="J23" s="21">
        <f ca="1">ROUND(J13*M23,0)</f>
        <v>0</v>
      </c>
      <c r="K23" s="1340" t="s">
        <v>743</v>
      </c>
      <c r="L23" s="298" t="s">
        <v>744</v>
      </c>
      <c r="M23" s="326">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8" t="s">
        <v>746</v>
      </c>
      <c r="C24" s="21">
        <f ca="1">ROUND(IF('数据-取费表'!B22&lt;=1,F21*F24*F23/2,F21*(POWER((1+F24),F23/2)-1)),4)</f>
        <v>1.6000000000000001E-3</v>
      </c>
      <c r="D24" s="325" t="str">
        <f>IF(F23&lt;=1,"销售费用×利率×(建设周期÷2)","销售费用×((1+利率)^(建设周期÷2)-1)")</f>
        <v>销售费用×((1+利率)^(建设周期÷2)-1)</v>
      </c>
      <c r="E24" s="298" t="s">
        <v>747</v>
      </c>
      <c r="F24" s="327">
        <f ca="1">'数据-取费表'!B40</f>
        <v>4.1499999999999995E-2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8" t="s">
        <v>750</v>
      </c>
      <c r="C25" s="21"/>
      <c r="D25" s="127" t="s">
        <v>751</v>
      </c>
      <c r="E25" s="1356"/>
      <c r="F25" s="23"/>
      <c r="G25" s="1380"/>
      <c r="H25" s="1075" t="s">
        <v>394</v>
      </c>
      <c r="I25" s="1090" t="s">
        <v>752</v>
      </c>
      <c r="J25" s="306">
        <f ca="1">J5-J16</f>
        <v>0</v>
      </c>
      <c r="K25" s="1091" t="s">
        <v>753</v>
      </c>
      <c r="L25" s="1092"/>
      <c r="M25" s="1093"/>
    </row>
    <row r="26" spans="1:37" ht="18" customHeight="1">
      <c r="A26" s="978" t="s">
        <v>397</v>
      </c>
      <c r="B26" s="298" t="s">
        <v>754</v>
      </c>
      <c r="C26" s="21">
        <f ca="1">ROUND((C19+C20)*F26,0)</f>
        <v>0</v>
      </c>
      <c r="D26" s="319" t="s">
        <v>755</v>
      </c>
      <c r="E26" s="309" t="s">
        <v>756</v>
      </c>
      <c r="F26" s="308">
        <f ca="1">INDIRECT("'数据-取费表'!q"&amp;$G$1)</f>
        <v>0</v>
      </c>
      <c r="G26" s="1380"/>
      <c r="H26" s="295" t="s">
        <v>395</v>
      </c>
      <c r="I26" s="296" t="s">
        <v>757</v>
      </c>
      <c r="J26" s="297">
        <f ca="1">IF(J5&lt;&gt;0,ROUND(J25*(1-((1+M28)/(1+M26))^M27)/(M26-M28),0),0)</f>
        <v>0</v>
      </c>
      <c r="K26" s="320" t="s">
        <v>758</v>
      </c>
      <c r="L26" s="298" t="s">
        <v>759</v>
      </c>
      <c r="M26" s="308">
        <f ca="1">INDIRECT("'数据-取费表'!I"&amp;$G$1)</f>
        <v>0</v>
      </c>
    </row>
    <row r="27" spans="1:37" ht="18" customHeight="1">
      <c r="A27" s="978" t="s">
        <v>399</v>
      </c>
      <c r="B27" s="298" t="s">
        <v>760</v>
      </c>
      <c r="C27" s="21">
        <f ca="1">ROUND(F21*F26,4)</f>
        <v>0</v>
      </c>
      <c r="D27" s="319" t="s">
        <v>761</v>
      </c>
      <c r="E27" s="316"/>
      <c r="F27" s="317"/>
      <c r="G27" s="1380"/>
      <c r="H27" s="300"/>
      <c r="I27" s="301"/>
      <c r="J27" s="302"/>
      <c r="K27" s="328" t="s">
        <v>762</v>
      </c>
      <c r="L27" s="298" t="s">
        <v>763</v>
      </c>
      <c r="M27" s="329">
        <f ca="1">INDIRECT("'数据-取费表'!ag"&amp;$G$1)</f>
        <v>0</v>
      </c>
    </row>
    <row r="28" spans="1:37" s="1393" customFormat="1" ht="18" customHeight="1">
      <c r="A28" s="978" t="s">
        <v>400</v>
      </c>
      <c r="B28" s="298" t="s">
        <v>764</v>
      </c>
      <c r="C28" s="21">
        <f>ROUND(F28/(1+'数据-取费表'!C42),4)</f>
        <v>5.33E-2</v>
      </c>
      <c r="D28" s="319" t="s">
        <v>765</v>
      </c>
      <c r="E28" s="298" t="s">
        <v>712</v>
      </c>
      <c r="F28" s="318">
        <f>'数据-取费表'!B41</f>
        <v>5.6000000000000001E-2</v>
      </c>
      <c r="G28" s="1392"/>
      <c r="H28" s="304"/>
      <c r="I28" s="305"/>
      <c r="J28" s="306"/>
      <c r="K28" s="323"/>
      <c r="L28" s="298" t="s">
        <v>766</v>
      </c>
      <c r="M28" s="308">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0" t="s">
        <v>396</v>
      </c>
      <c r="I29" s="331" t="s">
        <v>768</v>
      </c>
      <c r="J29" s="332">
        <f ca="1">ROUND(J26/(1+F40)^F41,0)</f>
        <v>0</v>
      </c>
      <c r="K29" s="333" t="s">
        <v>769</v>
      </c>
      <c r="L29" s="334"/>
      <c r="M29" s="335">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6">
        <f ca="1">ROUND(C31+C36+C37+C38,0)</f>
        <v>0</v>
      </c>
      <c r="D30" s="1083" t="s">
        <v>715</v>
      </c>
      <c r="E30" s="1084"/>
      <c r="F30" s="1068"/>
      <c r="G30" s="1380"/>
      <c r="H30" s="2687"/>
      <c r="I30" s="1394"/>
      <c r="J30" s="1395"/>
      <c r="K30" s="2466"/>
      <c r="L30" s="2688"/>
      <c r="M30" s="2689"/>
    </row>
    <row r="31" spans="1:37" ht="18" customHeight="1">
      <c r="A31" s="978" t="s">
        <v>398</v>
      </c>
      <c r="B31" s="298"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798" t="s">
        <v>2304</v>
      </c>
      <c r="I31" s="1394"/>
      <c r="J31" s="1395"/>
      <c r="K31" s="2466"/>
      <c r="L31" s="2688"/>
      <c r="M31" s="2689"/>
    </row>
    <row r="32" spans="1:37" ht="18" customHeight="1">
      <c r="A32" s="978" t="s">
        <v>397</v>
      </c>
      <c r="B32" s="298" t="s">
        <v>723</v>
      </c>
      <c r="C32" s="21">
        <f ca="1">IF(项目基本情况!B11="自然人","——",ROUND(C6*F32/(1+'数据-取费表'!C42),0))</f>
        <v>0</v>
      </c>
      <c r="D32" s="1340" t="s">
        <v>724</v>
      </c>
      <c r="E32" s="298" t="s">
        <v>712</v>
      </c>
      <c r="F32" s="327">
        <f>'数据-取费表'!B41</f>
        <v>5.6000000000000001E-2</v>
      </c>
      <c r="G32" s="1380"/>
      <c r="H32" s="2687"/>
      <c r="I32" s="1394"/>
      <c r="J32" s="1395"/>
      <c r="K32" s="2466"/>
      <c r="L32" s="2688"/>
      <c r="M32" s="2689"/>
    </row>
    <row r="33" spans="1:18" ht="18" customHeight="1">
      <c r="A33" s="978" t="s">
        <v>399</v>
      </c>
      <c r="B33" s="298" t="s">
        <v>727</v>
      </c>
      <c r="C33" s="21">
        <f ca="1">IF(项目基本情况!B11="自然人","——",IF(D33="按租金收入计税",ROUND(C6*F33/(1+'数据-取费表'!C42),0),IF(D33="按房产原值计税",ROUND(C29*F33*0.7,0),INDIRECT("'数据-取费表'!Aj"&amp;$G$1))))</f>
        <v>0</v>
      </c>
      <c r="D33" s="1366" t="s">
        <v>3337</v>
      </c>
      <c r="E33" s="298" t="s">
        <v>712</v>
      </c>
      <c r="F33" s="318">
        <f>IF(D33="按票据","——",IF(D33="按租金收入计税",'数据-取费表'!B51,'数据-取费表'!B50))</f>
        <v>0.12</v>
      </c>
      <c r="G33" s="1380"/>
      <c r="H33" s="2690"/>
      <c r="I33" s="1394"/>
      <c r="J33" s="1395"/>
      <c r="K33" s="2691"/>
      <c r="L33" s="2690"/>
      <c r="M33" s="2690"/>
    </row>
    <row r="34" spans="1:18" ht="18" customHeight="1">
      <c r="A34" s="1065" t="s">
        <v>680</v>
      </c>
      <c r="B34" s="151" t="s">
        <v>730</v>
      </c>
      <c r="C34" s="22">
        <f ca="1">IF(项目基本情况!B11="自然人","——",ROUND(F34*F35,0))</f>
        <v>0</v>
      </c>
      <c r="D34" s="320" t="s">
        <v>731</v>
      </c>
      <c r="E34" s="298" t="s">
        <v>732</v>
      </c>
      <c r="F34" s="321">
        <f>'数据-取费表'!B52</f>
        <v>3</v>
      </c>
      <c r="G34" s="1380"/>
      <c r="H34" s="2687"/>
      <c r="I34" s="1394"/>
      <c r="J34" s="1395"/>
      <c r="K34" s="2692"/>
      <c r="L34" s="2693"/>
      <c r="M34" s="2693"/>
    </row>
    <row r="35" spans="1:18" ht="18" customHeight="1">
      <c r="A35" s="1099"/>
      <c r="B35" s="1097"/>
      <c r="C35" s="26"/>
      <c r="D35" s="323"/>
      <c r="E35" s="298" t="s">
        <v>736</v>
      </c>
      <c r="F35" s="299">
        <f ca="1">INDIRECT("'数据-取费表'!r"&amp;$G$1)</f>
        <v>0</v>
      </c>
      <c r="G35" s="1380"/>
      <c r="H35" s="2687"/>
      <c r="I35" s="1394"/>
      <c r="J35" s="1395"/>
      <c r="K35" s="2691"/>
      <c r="L35" s="2690"/>
      <c r="M35" s="2690"/>
    </row>
    <row r="36" spans="1:18" ht="18" customHeight="1">
      <c r="A36" s="1098" t="s">
        <v>402</v>
      </c>
      <c r="B36" s="298" t="s">
        <v>738</v>
      </c>
      <c r="C36" s="21">
        <f ca="1">ROUND(C29*F36,0)</f>
        <v>0</v>
      </c>
      <c r="D36" s="1340" t="s">
        <v>771</v>
      </c>
      <c r="E36" s="298" t="s">
        <v>712</v>
      </c>
      <c r="F36" s="324">
        <f ca="1">INDIRECT("'数据-取费表'!Ak"&amp;$G$1)</f>
        <v>0</v>
      </c>
      <c r="G36" s="1380"/>
      <c r="H36" s="2690"/>
      <c r="I36" s="1394"/>
      <c r="J36" s="1395"/>
      <c r="K36" s="2535"/>
      <c r="L36" s="2690"/>
      <c r="M36" s="2690"/>
    </row>
    <row r="37" spans="1:18" ht="18" customHeight="1">
      <c r="A37" s="978" t="s">
        <v>437</v>
      </c>
      <c r="B37" s="298" t="s">
        <v>742</v>
      </c>
      <c r="C37" s="21">
        <f ca="1">ROUND(C13*F37,0)</f>
        <v>0</v>
      </c>
      <c r="D37" s="1340" t="s">
        <v>743</v>
      </c>
      <c r="E37" s="298" t="s">
        <v>744</v>
      </c>
      <c r="F37" s="326">
        <f ca="1">INDIRECT("'数据-取费表'!Al"&amp;$G$1)</f>
        <v>0</v>
      </c>
      <c r="G37" s="1380"/>
      <c r="H37" s="2690"/>
      <c r="I37" s="1394"/>
      <c r="J37" s="1395"/>
      <c r="K37" s="2535"/>
      <c r="L37" s="2690"/>
      <c r="M37" s="2690"/>
    </row>
    <row r="38" spans="1:18" ht="18" customHeight="1" thickBot="1">
      <c r="A38" s="1085" t="s">
        <v>684</v>
      </c>
      <c r="B38" s="1086" t="s">
        <v>728</v>
      </c>
      <c r="C38" s="1087">
        <f ca="1">ROUND(C5*F38,0)</f>
        <v>0</v>
      </c>
      <c r="D38" s="1088" t="s">
        <v>748</v>
      </c>
      <c r="E38" s="1086" t="s">
        <v>744</v>
      </c>
      <c r="F38" s="1082">
        <f ca="1">INDIRECT("'数据-取费表'!Am"&amp;$G$1)</f>
        <v>0</v>
      </c>
      <c r="G38" s="1380"/>
      <c r="H38" s="2690"/>
      <c r="I38" s="1394"/>
      <c r="J38" s="1395"/>
      <c r="K38" s="2694"/>
      <c r="L38" s="2690"/>
      <c r="M38" s="2690"/>
    </row>
    <row r="39" spans="1:18" ht="24.6" customHeight="1" thickTop="1">
      <c r="A39" s="1075" t="s">
        <v>394</v>
      </c>
      <c r="B39" s="1090" t="s">
        <v>772</v>
      </c>
      <c r="C39" s="306">
        <f ca="1">C5-C30</f>
        <v>0</v>
      </c>
      <c r="D39" s="1091" t="s">
        <v>773</v>
      </c>
      <c r="E39" s="1092"/>
      <c r="F39" s="1093"/>
      <c r="G39" s="1380"/>
      <c r="H39" s="2690"/>
      <c r="I39" s="1394"/>
      <c r="J39" s="1395"/>
      <c r="K39" s="2694"/>
      <c r="L39" s="2690"/>
      <c r="M39" s="2690"/>
    </row>
    <row r="40" spans="1:18" ht="18" customHeight="1">
      <c r="A40" s="295" t="s">
        <v>395</v>
      </c>
      <c r="B40" s="296" t="s">
        <v>774</v>
      </c>
      <c r="C40" s="297" t="e">
        <f ca="1">ROUND(C39*(1-((1+F42)/(1+F40))^F41)/(F40-F42),0)</f>
        <v>#DIV/0!</v>
      </c>
      <c r="D40" s="320" t="s">
        <v>758</v>
      </c>
      <c r="E40" s="298" t="s">
        <v>759</v>
      </c>
      <c r="F40" s="308">
        <f ca="1">INDIRECT("'数据-取费表'!I"&amp;$G$1)</f>
        <v>0</v>
      </c>
      <c r="G40" s="1380"/>
      <c r="H40" s="1457"/>
      <c r="I40" s="1394"/>
      <c r="J40" s="1395"/>
      <c r="K40" s="2694"/>
      <c r="L40" s="1457"/>
      <c r="M40" s="1457"/>
    </row>
    <row r="41" spans="1:18" ht="18" customHeight="1">
      <c r="A41" s="300"/>
      <c r="B41" s="301"/>
      <c r="C41" s="302"/>
      <c r="D41" s="328" t="s">
        <v>775</v>
      </c>
      <c r="E41" s="298" t="s">
        <v>763</v>
      </c>
      <c r="F41" s="329">
        <f ca="1">IF(INDIRECT("'数据-取费表'!af"&amp;$G$1)=0,INDIRECT("'数据-取费表'!ae"&amp;$G$1),INDIRECT("'数据-取费表'!af"&amp;$G$1))</f>
        <v>0</v>
      </c>
      <c r="G41" s="1380"/>
      <c r="H41" s="1187"/>
      <c r="I41" s="1394"/>
      <c r="J41" s="1395"/>
      <c r="K41" s="2535"/>
      <c r="L41" s="1187"/>
      <c r="M41" s="1187"/>
    </row>
    <row r="42" spans="1:18" ht="18" customHeight="1">
      <c r="A42" s="304"/>
      <c r="B42" s="305"/>
      <c r="C42" s="306"/>
      <c r="D42" s="323"/>
      <c r="E42" s="298" t="s">
        <v>766</v>
      </c>
      <c r="F42" s="308">
        <f ca="1">INDIRECT("'数据-取费表'!v"&amp;$G$1)</f>
        <v>0</v>
      </c>
      <c r="G42" s="1380"/>
      <c r="H42" s="1187"/>
      <c r="I42" s="1394"/>
      <c r="J42" s="1395"/>
      <c r="K42" s="2535"/>
      <c r="L42" s="1187"/>
      <c r="M42" s="1187"/>
    </row>
    <row r="43" spans="1:18" ht="18" customHeight="1" thickBot="1">
      <c r="A43" s="330" t="s">
        <v>396</v>
      </c>
      <c r="B43" s="331" t="s">
        <v>776</v>
      </c>
      <c r="C43" s="332" t="e">
        <f ca="1">ROUND(C40/F43,0)</f>
        <v>#DIV/0!</v>
      </c>
      <c r="D43" s="333" t="s">
        <v>777</v>
      </c>
      <c r="E43" s="334" t="s">
        <v>778</v>
      </c>
      <c r="F43" s="335">
        <f ca="1">INDIRECT("'数据-取费表'!k"&amp;$G$1)</f>
        <v>0</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3421" t="s">
        <v>3353</v>
      </c>
      <c r="B45" s="1396"/>
      <c r="C45" s="1468" t="e">
        <f ca="1">ROUND((C68-C40)/10000,4)</f>
        <v>#DIV/0!</v>
      </c>
      <c r="D45" s="3422" t="s">
        <v>3354</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6"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299">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19" t="s">
        <v>700</v>
      </c>
      <c r="C53" s="312">
        <f ca="1">ROUND(IF(F53="押一",C49/12*F11,IF(F53="押二",C49/12*2*F11,IF(F53="押三",C49/12*3*F11,C54*F11))),0)</f>
        <v>0</v>
      </c>
      <c r="D53" s="1362" t="s">
        <v>2119</v>
      </c>
      <c r="E53" s="309" t="s">
        <v>701</v>
      </c>
      <c r="F53" s="1112"/>
      <c r="I53" s="1435" t="s">
        <v>836</v>
      </c>
      <c r="J53" s="2164">
        <f ca="1">IF(M47="住宅",IF(D1="——",MAX(J51,L48),MAX(J51,L48-'数据-取费表'!B24)),IF(D1="——",MIN(J51,L48),MIN(J51,L48-'数据-取费表'!B24)))</f>
        <v>0</v>
      </c>
      <c r="K53" s="3774" t="s">
        <v>837</v>
      </c>
      <c r="L53" s="3775"/>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8">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4">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1" t="s">
        <v>393</v>
      </c>
      <c r="B58" s="954" t="s">
        <v>714</v>
      </c>
      <c r="C58" s="312">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7">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3337</v>
      </c>
      <c r="E61" s="946" t="s">
        <v>783</v>
      </c>
      <c r="F61" s="318">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1">
        <f t="shared" si="0"/>
        <v>3</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2"/>
      <c r="B63" s="952"/>
      <c r="C63" s="26"/>
      <c r="D63" s="962"/>
      <c r="E63" s="946" t="s">
        <v>788</v>
      </c>
      <c r="F63" s="299">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4">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6">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8">
        <f t="shared" ca="1" si="0"/>
        <v>0</v>
      </c>
      <c r="O66" s="1414" t="s">
        <v>404</v>
      </c>
      <c r="P66" s="1415" t="s">
        <v>846</v>
      </c>
      <c r="Q66" s="1416" t="e">
        <f ca="1">L60</f>
        <v>#DIV/0!</v>
      </c>
      <c r="R66" s="1416" t="s">
        <v>869</v>
      </c>
    </row>
    <row r="67" spans="1:18" s="1380" customFormat="1" ht="16.5" thickBot="1">
      <c r="A67" s="953" t="s">
        <v>394</v>
      </c>
      <c r="B67" s="963" t="s">
        <v>752</v>
      </c>
      <c r="C67" s="312">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7" t="e">
        <f ca="1">ROUND(C67*(1-((1+F70)/(1+F68))^F69)/(F68-F70),0)</f>
        <v>#DIV/0!</v>
      </c>
      <c r="D68" s="961" t="s">
        <v>758</v>
      </c>
      <c r="E68" s="946" t="s">
        <v>759</v>
      </c>
      <c r="F68" s="308">
        <f ca="1">F40</f>
        <v>0</v>
      </c>
      <c r="O68" s="1424" t="s">
        <v>406</v>
      </c>
      <c r="P68" s="1463" t="s">
        <v>871</v>
      </c>
      <c r="Q68" s="1416">
        <f ca="1">ROUND(Q69-Q70*Q71,0)</f>
        <v>0</v>
      </c>
      <c r="R68" s="1416" t="s">
        <v>414</v>
      </c>
    </row>
    <row r="69" spans="1:18" s="1380" customFormat="1" ht="13.5" thickBot="1">
      <c r="A69" s="947"/>
      <c r="B69" s="948"/>
      <c r="C69" s="302"/>
      <c r="D69" s="966" t="s">
        <v>762</v>
      </c>
      <c r="E69" s="946" t="s">
        <v>763</v>
      </c>
      <c r="F69" s="329">
        <f ca="1">F41</f>
        <v>0</v>
      </c>
      <c r="O69" s="1424" t="s">
        <v>411</v>
      </c>
      <c r="P69" s="1463" t="s">
        <v>872</v>
      </c>
      <c r="Q69" s="1416">
        <f ca="1">C39</f>
        <v>0</v>
      </c>
      <c r="R69" s="1416" t="s">
        <v>818</v>
      </c>
    </row>
    <row r="70" spans="1:18" s="1380" customFormat="1" ht="13.5" thickBot="1">
      <c r="A70" s="950"/>
      <c r="B70" s="951"/>
      <c r="C70" s="306"/>
      <c r="D70" s="962"/>
      <c r="E70" s="946" t="s">
        <v>766</v>
      </c>
      <c r="F70" s="1050"/>
      <c r="O70" s="1424" t="s">
        <v>412</v>
      </c>
      <c r="P70" s="1463" t="s">
        <v>873</v>
      </c>
      <c r="Q70" s="1416">
        <f ca="1">C13</f>
        <v>0</v>
      </c>
      <c r="R70" s="1416" t="s">
        <v>818</v>
      </c>
    </row>
    <row r="71" spans="1:18" s="1380" customFormat="1" ht="13.5" thickBot="1">
      <c r="A71" s="967" t="s">
        <v>396</v>
      </c>
      <c r="B71" s="968" t="s">
        <v>776</v>
      </c>
      <c r="C71" s="332" t="e">
        <f ca="1">ROUND(C68/F71,0)</f>
        <v>#DIV/0!</v>
      </c>
      <c r="D71" s="969" t="s">
        <v>777</v>
      </c>
      <c r="E71" s="970" t="s">
        <v>778</v>
      </c>
      <c r="F71" s="335">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69"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6" t="s">
        <v>795</v>
      </c>
      <c r="C75" s="337">
        <f ca="1">ROUND(C13*C76,0)</f>
        <v>0</v>
      </c>
      <c r="D75" s="1380"/>
      <c r="E75" s="1380"/>
      <c r="F75" s="1380"/>
      <c r="K75" s="1398"/>
      <c r="L75" s="1380"/>
      <c r="O75" s="1414" t="s">
        <v>409</v>
      </c>
      <c r="P75" s="1415" t="s">
        <v>838</v>
      </c>
      <c r="Q75" s="1416" t="e">
        <f ca="1">Q65+Q66</f>
        <v>#DIV/0!</v>
      </c>
      <c r="R75" s="1416" t="s">
        <v>410</v>
      </c>
    </row>
    <row r="76" spans="1:18">
      <c r="B76" s="338" t="s">
        <v>796</v>
      </c>
      <c r="C76" s="339">
        <f ca="1">INDIRECT("'数据-取费表'!j"&amp;$G$1)</f>
        <v>0</v>
      </c>
      <c r="I76" s="1380"/>
      <c r="J76" s="1380"/>
      <c r="K76" s="1398"/>
      <c r="L76" s="1380"/>
    </row>
    <row r="77" spans="1:18">
      <c r="B77" s="340" t="s">
        <v>797</v>
      </c>
      <c r="C77" s="341"/>
      <c r="I77" s="1380"/>
      <c r="J77" s="1380"/>
      <c r="K77" s="1398"/>
      <c r="L77" s="1380"/>
    </row>
    <row r="78" spans="1:18">
      <c r="B78" s="266" t="s">
        <v>798</v>
      </c>
      <c r="C78" s="342"/>
    </row>
    <row r="79" spans="1:18">
      <c r="B79" s="336" t="s">
        <v>799</v>
      </c>
      <c r="C79" s="270" t="e">
        <f ca="1">1-C80</f>
        <v>#DIV/0!</v>
      </c>
    </row>
    <row r="80" spans="1:18">
      <c r="B80" s="336" t="s">
        <v>800</v>
      </c>
      <c r="C80" s="270" t="e">
        <f ca="1">ROUND(C75/C39,3)</f>
        <v>#DIV/0!</v>
      </c>
    </row>
    <row r="81" spans="2:3">
      <c r="B81" s="266" t="s">
        <v>801</v>
      </c>
      <c r="C81" s="234"/>
    </row>
    <row r="82" spans="2:3">
      <c r="B82" s="269" t="s">
        <v>802</v>
      </c>
      <c r="C82" s="271" t="e">
        <f ca="1">1-C83</f>
        <v>#DIV/0!</v>
      </c>
    </row>
    <row r="83" spans="2:3">
      <c r="B83" s="269" t="s">
        <v>803</v>
      </c>
      <c r="C83" s="27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2432</v>
      </c>
      <c r="B1" s="2822"/>
      <c r="C1" s="2834"/>
      <c r="D1" s="2834"/>
      <c r="E1" s="2823"/>
      <c r="F1" s="2824"/>
      <c r="G1" s="2825"/>
      <c r="J1" s="2828" t="s">
        <v>2311</v>
      </c>
      <c r="K1" s="2829"/>
      <c r="L1" s="2829"/>
      <c r="M1" s="2829"/>
      <c r="N1" s="2829"/>
      <c r="O1" s="2829"/>
      <c r="P1" s="2829"/>
      <c r="Q1" s="2829"/>
      <c r="R1" s="2830"/>
      <c r="S1" s="2831"/>
      <c r="T1" s="2831"/>
      <c r="U1" s="2831"/>
    </row>
    <row r="2" spans="1:22" s="2843" customFormat="1" ht="13.15" customHeight="1">
      <c r="A2" s="1381" t="s">
        <v>2312</v>
      </c>
      <c r="B2" s="2833" t="e">
        <f>IF(D2="——",C40,C40+E2)</f>
        <v>#DIV/0!</v>
      </c>
      <c r="C2" s="2834" t="s">
        <v>2313</v>
      </c>
      <c r="D2" s="3433" t="s">
        <v>3360</v>
      </c>
      <c r="E2" s="3434"/>
      <c r="F2" s="2836"/>
      <c r="G2" s="2837"/>
      <c r="H2" s="2838"/>
      <c r="I2" s="2839"/>
      <c r="J2" s="3782" t="s">
        <v>2314</v>
      </c>
      <c r="K2" s="3783"/>
      <c r="L2" s="2840" t="s">
        <v>2315</v>
      </c>
      <c r="M2" s="2840" t="s">
        <v>2316</v>
      </c>
      <c r="N2" s="2840" t="s">
        <v>2317</v>
      </c>
      <c r="O2" s="2840" t="s">
        <v>2318</v>
      </c>
      <c r="P2" s="2840" t="s">
        <v>2319</v>
      </c>
      <c r="Q2" s="2841" t="s">
        <v>2320</v>
      </c>
      <c r="R2" s="2842" t="s">
        <v>2321</v>
      </c>
      <c r="S2" s="2831"/>
      <c r="T2" s="2831"/>
      <c r="U2" s="2831"/>
      <c r="V2" s="2839"/>
    </row>
    <row r="3" spans="1:22" s="2843" customFormat="1" ht="13.15" customHeight="1">
      <c r="A3" s="2844" t="s">
        <v>2322</v>
      </c>
      <c r="B3" s="2845" t="e">
        <f>ROUND(B2*10000/B4,0)</f>
        <v>#DIV/0!</v>
      </c>
      <c r="C3" s="2834" t="s">
        <v>2323</v>
      </c>
      <c r="D3" s="2834"/>
      <c r="E3" s="2835"/>
      <c r="F3" s="2836"/>
      <c r="G3" s="2837"/>
      <c r="H3" s="2838"/>
      <c r="I3" s="2839"/>
      <c r="J3" s="3784" t="s">
        <v>2324</v>
      </c>
      <c r="K3" s="3785"/>
      <c r="L3" s="2846"/>
      <c r="M3" s="2846"/>
      <c r="N3" s="2846"/>
      <c r="O3" s="2846"/>
      <c r="P3" s="2846"/>
      <c r="Q3" s="2847"/>
      <c r="R3" s="2848">
        <f>SUM(L3:Q3)</f>
        <v>0</v>
      </c>
      <c r="S3" s="2831"/>
      <c r="T3" s="2831"/>
      <c r="U3" s="2831"/>
      <c r="V3" s="2839"/>
    </row>
    <row r="4" spans="1:22" s="2843" customFormat="1" ht="13.15" customHeight="1">
      <c r="A4" s="2849" t="s">
        <v>2325</v>
      </c>
      <c r="B4" s="2850"/>
      <c r="C4" s="2834"/>
      <c r="D4" s="2834"/>
      <c r="E4" s="2835"/>
      <c r="F4" s="2836"/>
      <c r="G4" s="2837"/>
      <c r="H4" s="2838"/>
      <c r="I4" s="2839"/>
      <c r="J4" s="3784" t="s">
        <v>2326</v>
      </c>
      <c r="K4" s="3785"/>
      <c r="L4" s="2851"/>
      <c r="M4" s="2851"/>
      <c r="N4" s="2851"/>
      <c r="O4" s="2851"/>
      <c r="P4" s="2851"/>
      <c r="Q4" s="2852"/>
      <c r="R4" s="2853">
        <f>SUM(L4:Q4)</f>
        <v>0</v>
      </c>
      <c r="S4" s="2831"/>
      <c r="T4" s="2831"/>
      <c r="U4" s="2831"/>
      <c r="V4" s="2839"/>
    </row>
    <row r="5" spans="1:22" s="2843" customFormat="1" ht="13.15" customHeight="1" thickBot="1">
      <c r="A5" s="2854" t="s">
        <v>2327</v>
      </c>
      <c r="B5" s="2855"/>
      <c r="C5" s="2834"/>
      <c r="D5" s="2856"/>
      <c r="E5" s="2836"/>
      <c r="F5" s="2836"/>
      <c r="G5" s="2837"/>
      <c r="H5" s="2838"/>
      <c r="I5" s="2839"/>
      <c r="J5" s="2857" t="s">
        <v>2328</v>
      </c>
      <c r="K5" s="2858"/>
      <c r="L5" s="2858"/>
      <c r="M5" s="2859"/>
      <c r="N5" s="2859"/>
      <c r="O5" s="2859"/>
      <c r="P5" s="2859"/>
      <c r="Q5" s="2859"/>
      <c r="R5" s="2842">
        <f>SUM(R14,R19,R24,R25,R27,R28)</f>
        <v>0</v>
      </c>
      <c r="S5" s="2831"/>
      <c r="T5" s="2831" t="s">
        <v>2329</v>
      </c>
      <c r="U5" s="2831" t="e">
        <f>ROUND(R5*10000/365/R3,1)</f>
        <v>#DIV/0!</v>
      </c>
      <c r="V5" s="2839"/>
    </row>
    <row r="6" spans="1:22" s="2843" customFormat="1" ht="13.15" customHeight="1" thickBot="1">
      <c r="A6" s="3790" t="s">
        <v>2330</v>
      </c>
      <c r="B6" s="3791"/>
      <c r="C6" s="3792"/>
      <c r="D6" s="2860"/>
      <c r="E6" s="2861"/>
      <c r="F6" s="2862"/>
      <c r="G6" s="2863"/>
      <c r="H6" s="2838"/>
      <c r="I6" s="2839"/>
      <c r="J6" s="3776">
        <v>1</v>
      </c>
      <c r="K6" s="3777" t="s">
        <v>2331</v>
      </c>
      <c r="L6" s="2864" t="s">
        <v>2332</v>
      </c>
      <c r="M6" s="2865" t="s">
        <v>2333</v>
      </c>
      <c r="N6" s="2865" t="s">
        <v>2334</v>
      </c>
      <c r="O6" s="2865" t="s">
        <v>2335</v>
      </c>
      <c r="P6" s="2865" t="s">
        <v>2336</v>
      </c>
      <c r="Q6" s="2865" t="s">
        <v>2337</v>
      </c>
      <c r="R6" s="2848" t="s">
        <v>2338</v>
      </c>
      <c r="S6" s="2831"/>
      <c r="T6" s="2831" t="s">
        <v>2339</v>
      </c>
      <c r="U6" s="2831"/>
      <c r="V6" s="2839"/>
    </row>
    <row r="7" spans="1:22" s="2843" customFormat="1" ht="13.15" customHeight="1">
      <c r="A7" s="2866" t="s">
        <v>2340</v>
      </c>
      <c r="B7" s="2867"/>
      <c r="C7" s="2868"/>
      <c r="D7" s="2869">
        <f>SUM(D9,D10,D11,D17,0)</f>
        <v>0</v>
      </c>
      <c r="E7" s="2870" t="e">
        <f>E9+E10+E11+E17</f>
        <v>#DIV/0!</v>
      </c>
      <c r="F7" s="2871"/>
      <c r="G7" s="2872"/>
      <c r="H7" s="2838"/>
      <c r="I7" s="2839"/>
      <c r="J7" s="3776"/>
      <c r="K7" s="3778"/>
      <c r="L7" s="2873" t="s">
        <v>2341</v>
      </c>
      <c r="M7" s="2874"/>
      <c r="N7" s="2850"/>
      <c r="O7" s="2875"/>
      <c r="P7" s="2875"/>
      <c r="Q7" s="2876">
        <v>365</v>
      </c>
      <c r="R7" s="2877">
        <f>ROUND(M7*N7*O7*P7*Q7/10000,0)</f>
        <v>0</v>
      </c>
      <c r="S7" s="2831"/>
      <c r="T7" s="2831" t="s">
        <v>2342</v>
      </c>
      <c r="U7" s="2831"/>
      <c r="V7" s="2839"/>
    </row>
    <row r="8" spans="1:22" s="2843" customFormat="1" ht="13.15" customHeight="1">
      <c r="A8" s="2878" t="s">
        <v>2343</v>
      </c>
      <c r="B8" s="3793" t="s">
        <v>2344</v>
      </c>
      <c r="C8" s="3794"/>
      <c r="D8" s="2879" t="s">
        <v>2345</v>
      </c>
      <c r="E8" s="2880" t="s">
        <v>2346</v>
      </c>
      <c r="F8" s="2881" t="s">
        <v>2347</v>
      </c>
      <c r="G8" s="2882"/>
      <c r="H8" s="2838"/>
      <c r="I8" s="2839"/>
      <c r="J8" s="3776"/>
      <c r="K8" s="3778"/>
      <c r="L8" s="2873" t="s">
        <v>2348</v>
      </c>
      <c r="M8" s="2874"/>
      <c r="N8" s="2850"/>
      <c r="O8" s="2875"/>
      <c r="P8" s="2875"/>
      <c r="Q8" s="2876">
        <v>365</v>
      </c>
      <c r="R8" s="2877">
        <f t="shared" ref="R8:R13" si="0">ROUND(M8*N8*O8*P8*Q8/10000,0)</f>
        <v>0</v>
      </c>
      <c r="S8" s="2831"/>
      <c r="T8" s="2831" t="s">
        <v>2349</v>
      </c>
      <c r="U8" s="2831"/>
      <c r="V8" s="2839"/>
    </row>
    <row r="9" spans="1:22" s="2843" customFormat="1" ht="13.15" customHeight="1">
      <c r="A9" s="2878">
        <v>1</v>
      </c>
      <c r="B9" s="3793" t="s">
        <v>2350</v>
      </c>
      <c r="C9" s="3794"/>
      <c r="D9" s="2879">
        <f>ROUND(D6*E9,0)</f>
        <v>0</v>
      </c>
      <c r="E9" s="2883"/>
      <c r="F9" s="2884" t="s">
        <v>2351</v>
      </c>
      <c r="G9" s="2863"/>
      <c r="H9" s="2838"/>
      <c r="I9" s="2839"/>
      <c r="J9" s="3776"/>
      <c r="K9" s="3778"/>
      <c r="L9" s="2873" t="s">
        <v>2352</v>
      </c>
      <c r="M9" s="2874"/>
      <c r="N9" s="2850"/>
      <c r="O9" s="2875"/>
      <c r="P9" s="2875"/>
      <c r="Q9" s="2876">
        <v>365</v>
      </c>
      <c r="R9" s="2877">
        <f t="shared" si="0"/>
        <v>0</v>
      </c>
      <c r="S9" s="2831"/>
      <c r="T9" s="2831"/>
      <c r="U9" s="2831"/>
      <c r="V9" s="2839"/>
    </row>
    <row r="10" spans="1:22" s="2843" customFormat="1" ht="13.15" customHeight="1">
      <c r="A10" s="2878">
        <v>2</v>
      </c>
      <c r="B10" s="3793" t="s">
        <v>2353</v>
      </c>
      <c r="C10" s="3794"/>
      <c r="D10" s="2879">
        <f>ROUND(D6*E10,0)</f>
        <v>0</v>
      </c>
      <c r="E10" s="2883"/>
      <c r="F10" s="2884" t="s">
        <v>2354</v>
      </c>
      <c r="G10" s="2863"/>
      <c r="H10" s="2838"/>
      <c r="I10" s="2839"/>
      <c r="J10" s="3776"/>
      <c r="K10" s="3778"/>
      <c r="L10" s="2873" t="s">
        <v>2355</v>
      </c>
      <c r="M10" s="2874"/>
      <c r="N10" s="2850"/>
      <c r="O10" s="2875"/>
      <c r="P10" s="2875"/>
      <c r="Q10" s="2876">
        <v>365</v>
      </c>
      <c r="R10" s="2877">
        <f t="shared" si="0"/>
        <v>0</v>
      </c>
      <c r="S10" s="2831"/>
      <c r="T10" s="2831"/>
      <c r="U10" s="2831"/>
      <c r="V10" s="2839"/>
    </row>
    <row r="11" spans="1:22" s="2843" customFormat="1" ht="13.15" customHeight="1">
      <c r="A11" s="2878">
        <v>3</v>
      </c>
      <c r="B11" s="3793" t="s">
        <v>2356</v>
      </c>
      <c r="C11" s="3794"/>
      <c r="D11" s="2879">
        <f>D12+D14+D15+D16</f>
        <v>0</v>
      </c>
      <c r="E11" s="2885" t="e">
        <f>D11/D6</f>
        <v>#DIV/0!</v>
      </c>
      <c r="F11" s="2881"/>
      <c r="G11" s="2882"/>
      <c r="H11" s="2838"/>
      <c r="I11" s="2839"/>
      <c r="J11" s="3776"/>
      <c r="K11" s="3778"/>
      <c r="L11" s="2873" t="s">
        <v>2357</v>
      </c>
      <c r="M11" s="2874"/>
      <c r="N11" s="2850"/>
      <c r="O11" s="2875"/>
      <c r="P11" s="2875"/>
      <c r="Q11" s="2876">
        <v>365</v>
      </c>
      <c r="R11" s="2877">
        <f t="shared" si="0"/>
        <v>0</v>
      </c>
      <c r="S11" s="2831"/>
      <c r="T11" s="2831"/>
      <c r="U11" s="2831"/>
      <c r="V11" s="2839"/>
    </row>
    <row r="12" spans="1:22" s="2843" customFormat="1" ht="13.15" customHeight="1">
      <c r="A12" s="2886" t="s">
        <v>2358</v>
      </c>
      <c r="B12" s="3786" t="s">
        <v>2359</v>
      </c>
      <c r="C12" s="3787"/>
      <c r="D12" s="2887">
        <f>ROUND(D13*1.2%*(1-30%),0)</f>
        <v>0</v>
      </c>
      <c r="E12" s="2888">
        <v>1.2E-2</v>
      </c>
      <c r="F12" s="2881" t="s">
        <v>2360</v>
      </c>
      <c r="G12" s="2882"/>
      <c r="H12" s="2838"/>
      <c r="I12" s="2839"/>
      <c r="J12" s="3776"/>
      <c r="K12" s="3778"/>
      <c r="L12" s="2873" t="s">
        <v>2361</v>
      </c>
      <c r="M12" s="2874"/>
      <c r="N12" s="2850"/>
      <c r="O12" s="2875"/>
      <c r="P12" s="2875"/>
      <c r="Q12" s="2876">
        <v>365</v>
      </c>
      <c r="R12" s="2877">
        <f t="shared" si="0"/>
        <v>0</v>
      </c>
      <c r="S12" s="2831"/>
      <c r="T12" s="2831"/>
      <c r="U12" s="2831"/>
      <c r="V12" s="2839"/>
    </row>
    <row r="13" spans="1:22" s="2843" customFormat="1" ht="13.15" customHeight="1">
      <c r="A13" s="2886"/>
      <c r="B13" s="2889"/>
      <c r="C13" s="2890" t="s">
        <v>2362</v>
      </c>
      <c r="D13" s="2891"/>
      <c r="E13" s="2892"/>
      <c r="F13" s="2881"/>
      <c r="G13" s="2882"/>
      <c r="H13" s="2838"/>
      <c r="I13" s="2839"/>
      <c r="J13" s="3776"/>
      <c r="K13" s="3778"/>
      <c r="L13" s="2873" t="s">
        <v>2363</v>
      </c>
      <c r="M13" s="2874"/>
      <c r="N13" s="2850"/>
      <c r="O13" s="2875"/>
      <c r="P13" s="2875"/>
      <c r="Q13" s="2876">
        <v>365</v>
      </c>
      <c r="R13" s="2877">
        <f t="shared" si="0"/>
        <v>0</v>
      </c>
      <c r="S13" s="2831"/>
      <c r="T13" s="2831"/>
      <c r="U13" s="2831"/>
      <c r="V13" s="2839"/>
    </row>
    <row r="14" spans="1:22" s="2843" customFormat="1" ht="13.15" customHeight="1">
      <c r="A14" s="2886" t="s">
        <v>2364</v>
      </c>
      <c r="B14" s="3786" t="s">
        <v>2365</v>
      </c>
      <c r="C14" s="3787"/>
      <c r="D14" s="2887">
        <f>ROUND(E14*B5/10000,0)</f>
        <v>0</v>
      </c>
      <c r="E14" s="2876"/>
      <c r="F14" s="2881" t="s">
        <v>2366</v>
      </c>
      <c r="G14" s="2882"/>
      <c r="H14" s="2838"/>
      <c r="I14" s="2839"/>
      <c r="J14" s="3776"/>
      <c r="K14" s="3779"/>
      <c r="L14" s="2893" t="s">
        <v>2367</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2368</v>
      </c>
      <c r="B15" s="3786" t="s">
        <v>2369</v>
      </c>
      <c r="C15" s="3787"/>
      <c r="D15" s="2887">
        <f>ROUND(D6*E15,0)</f>
        <v>0</v>
      </c>
      <c r="E15" s="2888">
        <v>5.5E-2</v>
      </c>
      <c r="F15" s="2881" t="s">
        <v>2370</v>
      </c>
      <c r="G15" s="2863"/>
      <c r="H15" s="2838"/>
      <c r="I15" s="2839"/>
      <c r="J15" s="3776">
        <v>2</v>
      </c>
      <c r="K15" s="3777" t="s">
        <v>2371</v>
      </c>
      <c r="L15" s="2873" t="s">
        <v>2372</v>
      </c>
      <c r="M15" s="2874" t="s">
        <v>2373</v>
      </c>
      <c r="N15" s="2874" t="s">
        <v>2374</v>
      </c>
      <c r="O15" s="2875" t="s">
        <v>2375</v>
      </c>
      <c r="P15" s="2875" t="s">
        <v>2337</v>
      </c>
      <c r="Q15" s="2850" t="s">
        <v>2376</v>
      </c>
      <c r="R15" s="2897" t="s">
        <v>2338</v>
      </c>
      <c r="S15" s="2831"/>
      <c r="T15" s="2831"/>
      <c r="U15" s="2831"/>
      <c r="V15" s="2839"/>
    </row>
    <row r="16" spans="1:22" s="2843" customFormat="1" ht="13.15" customHeight="1">
      <c r="A16" s="2886" t="s">
        <v>2377</v>
      </c>
      <c r="B16" s="3786" t="s">
        <v>2378</v>
      </c>
      <c r="C16" s="3787"/>
      <c r="D16" s="2898">
        <f>D6*E16</f>
        <v>0</v>
      </c>
      <c r="E16" s="2899"/>
      <c r="F16" s="2884" t="s">
        <v>2379</v>
      </c>
      <c r="G16" s="2863"/>
      <c r="H16" s="2838"/>
      <c r="I16" s="2839"/>
      <c r="J16" s="3776"/>
      <c r="K16" s="3778"/>
      <c r="L16" s="2873" t="s">
        <v>2380</v>
      </c>
      <c r="M16" s="2874"/>
      <c r="N16" s="2874"/>
      <c r="O16" s="2875"/>
      <c r="P16" s="2876">
        <v>365</v>
      </c>
      <c r="Q16" s="2850"/>
      <c r="R16" s="2897">
        <f>ROUND(M16*N16*O16*P16/10000,0)</f>
        <v>0</v>
      </c>
      <c r="S16" s="2831"/>
      <c r="T16" s="2831"/>
      <c r="U16" s="2831"/>
      <c r="V16" s="2839"/>
    </row>
    <row r="17" spans="1:22" s="2843" customFormat="1" ht="13.15" customHeight="1" thickBot="1">
      <c r="A17" s="2900">
        <v>4</v>
      </c>
      <c r="B17" s="3788" t="s">
        <v>2381</v>
      </c>
      <c r="C17" s="3789"/>
      <c r="D17" s="2901">
        <f>ROUND(D6*E17,0)</f>
        <v>0</v>
      </c>
      <c r="E17" s="2902"/>
      <c r="F17" s="2903" t="s">
        <v>2382</v>
      </c>
      <c r="G17" s="2863"/>
      <c r="H17" s="2838"/>
      <c r="I17" s="2839"/>
      <c r="J17" s="3776"/>
      <c r="K17" s="3778"/>
      <c r="L17" s="2873" t="s">
        <v>2383</v>
      </c>
      <c r="M17" s="2874"/>
      <c r="N17" s="2874"/>
      <c r="O17" s="2875"/>
      <c r="P17" s="2876">
        <v>365</v>
      </c>
      <c r="Q17" s="2850"/>
      <c r="R17" s="2897">
        <f>ROUND(M17*N17*O17*P17/10000,0)</f>
        <v>0</v>
      </c>
      <c r="S17" s="2831"/>
      <c r="T17" s="2831"/>
      <c r="U17" s="2831"/>
      <c r="V17" s="2839"/>
    </row>
    <row r="18" spans="1:22" s="2843" customFormat="1" ht="13.15" customHeight="1" thickBot="1">
      <c r="A18" s="2866" t="s">
        <v>2384</v>
      </c>
      <c r="B18" s="2867"/>
      <c r="C18" s="2867"/>
      <c r="D18" s="2904">
        <f>ROUND(D6*E18,0)</f>
        <v>0</v>
      </c>
      <c r="E18" s="2905"/>
      <c r="F18" s="2906" t="s">
        <v>2385</v>
      </c>
      <c r="G18" s="2863"/>
      <c r="H18" s="2838"/>
      <c r="I18" s="2839"/>
      <c r="J18" s="3776"/>
      <c r="K18" s="3778"/>
      <c r="L18" s="2873" t="s">
        <v>2386</v>
      </c>
      <c r="M18" s="2874"/>
      <c r="N18" s="2874"/>
      <c r="O18" s="2875"/>
      <c r="P18" s="2876">
        <v>365</v>
      </c>
      <c r="Q18" s="2850"/>
      <c r="R18" s="2897">
        <f>ROUND(M18*N18*O18*P18/10000,0)</f>
        <v>0</v>
      </c>
      <c r="S18" s="2831"/>
      <c r="T18" s="2831"/>
      <c r="U18" s="2831"/>
      <c r="V18" s="2839"/>
    </row>
    <row r="19" spans="1:22" s="2843" customFormat="1" ht="13.15" customHeight="1" thickBot="1">
      <c r="A19" s="2907" t="s">
        <v>2387</v>
      </c>
      <c r="B19" s="2861"/>
      <c r="C19" s="2861"/>
      <c r="D19" s="2861"/>
      <c r="E19" s="2861"/>
      <c r="F19" s="2862"/>
      <c r="G19" s="2882"/>
      <c r="H19" s="2838"/>
      <c r="I19" s="2839"/>
      <c r="J19" s="3776"/>
      <c r="K19" s="3779"/>
      <c r="L19" s="2893" t="s">
        <v>2367</v>
      </c>
      <c r="M19" s="2894"/>
      <c r="N19" s="2894">
        <f>SUM(N16:N18)</f>
        <v>0</v>
      </c>
      <c r="O19" s="2895"/>
      <c r="P19" s="2908" t="s">
        <v>2431</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76">
        <v>3</v>
      </c>
      <c r="K20" s="3777" t="s">
        <v>2388</v>
      </c>
      <c r="L20" s="2873" t="s">
        <v>2389</v>
      </c>
      <c r="M20" s="2874" t="s">
        <v>2390</v>
      </c>
      <c r="N20" s="2911" t="s">
        <v>2391</v>
      </c>
      <c r="O20" s="2875" t="s">
        <v>2392</v>
      </c>
      <c r="P20" s="2876" t="s">
        <v>2393</v>
      </c>
      <c r="Q20" s="2850" t="s">
        <v>2394</v>
      </c>
      <c r="R20" s="2897" t="s">
        <v>2395</v>
      </c>
      <c r="S20" s="2912"/>
      <c r="T20" s="2912"/>
      <c r="U20" s="2912"/>
      <c r="V20" s="2839"/>
    </row>
    <row r="21" spans="1:22" s="2843" customFormat="1" ht="13.15" customHeight="1">
      <c r="A21" s="2866"/>
      <c r="B21" s="2867"/>
      <c r="C21" s="2913" t="s">
        <v>2396</v>
      </c>
      <c r="D21" s="2914" t="s">
        <v>2397</v>
      </c>
      <c r="E21" s="2915" t="s">
        <v>2398</v>
      </c>
      <c r="F21" s="2910"/>
      <c r="G21" s="2882"/>
      <c r="H21" s="2838"/>
      <c r="I21" s="2839"/>
      <c r="J21" s="3776"/>
      <c r="K21" s="3778"/>
      <c r="L21" s="2873" t="s">
        <v>2399</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2400</v>
      </c>
      <c r="D22" s="2918" t="s">
        <v>2401</v>
      </c>
      <c r="E22" s="2919" t="s">
        <v>2402</v>
      </c>
      <c r="F22" s="2910"/>
      <c r="G22" s="2920"/>
      <c r="H22" s="2838"/>
      <c r="I22" s="2839"/>
      <c r="J22" s="3776"/>
      <c r="K22" s="3778"/>
      <c r="L22" s="2873" t="s">
        <v>2403</v>
      </c>
      <c r="M22" s="2874"/>
      <c r="N22" s="2874"/>
      <c r="O22" s="2875"/>
      <c r="P22" s="2876">
        <v>365</v>
      </c>
      <c r="Q22" s="2850"/>
      <c r="R22" s="2916">
        <f>ROUND(M22*N22*O22*P22/10000,0)</f>
        <v>0</v>
      </c>
      <c r="S22" s="2912"/>
      <c r="T22" s="2912"/>
      <c r="U22" s="2912"/>
      <c r="V22" s="2839"/>
    </row>
    <row r="23" spans="1:22" s="2843" customFormat="1" ht="13.15" customHeight="1">
      <c r="A23" s="2921">
        <v>1</v>
      </c>
      <c r="B23" s="2922" t="s">
        <v>2404</v>
      </c>
      <c r="C23" s="2923">
        <f>D6</f>
        <v>0</v>
      </c>
      <c r="D23" s="2924">
        <f>C23*(1+D24)</f>
        <v>0</v>
      </c>
      <c r="E23" s="2925">
        <f>D23*(1+E24)</f>
        <v>0</v>
      </c>
      <c r="F23" s="2926"/>
      <c r="G23" s="2927"/>
      <c r="H23" s="2838"/>
      <c r="I23" s="2839"/>
      <c r="J23" s="3776"/>
      <c r="K23" s="3778"/>
      <c r="L23" s="2873" t="s">
        <v>2405</v>
      </c>
      <c r="M23" s="2874"/>
      <c r="N23" s="2874"/>
      <c r="O23" s="2875"/>
      <c r="P23" s="2876">
        <v>365</v>
      </c>
      <c r="Q23" s="2850"/>
      <c r="R23" s="2916">
        <f>ROUND(M23*N23*O23*P23/10000,0)</f>
        <v>0</v>
      </c>
      <c r="S23" s="2831"/>
      <c r="T23" s="2831"/>
      <c r="U23" s="2831"/>
      <c r="V23" s="2839"/>
    </row>
    <row r="24" spans="1:22" s="2843" customFormat="1" ht="13.15" customHeight="1">
      <c r="A24" s="2928"/>
      <c r="B24" s="2929" t="s">
        <v>2406</v>
      </c>
      <c r="C24" s="2930"/>
      <c r="D24" s="2931"/>
      <c r="E24" s="2932"/>
      <c r="F24" s="2933"/>
      <c r="G24" s="2927"/>
      <c r="H24" s="2838"/>
      <c r="I24" s="2839"/>
      <c r="J24" s="3776"/>
      <c r="K24" s="3779"/>
      <c r="L24" s="2893" t="s">
        <v>2367</v>
      </c>
      <c r="M24" s="2894">
        <f>SUM(M21:M23)</f>
        <v>0</v>
      </c>
      <c r="N24" s="2894"/>
      <c r="O24" s="2895"/>
      <c r="P24" s="2908" t="s">
        <v>2431</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2407</v>
      </c>
      <c r="L25" s="2936"/>
      <c r="M25" s="2936"/>
      <c r="N25" s="2936"/>
      <c r="O25" s="2936"/>
      <c r="P25" s="2937"/>
      <c r="Q25" s="2938">
        <v>0</v>
      </c>
      <c r="R25" s="2909">
        <f>ROUND(R14*Q25,0)</f>
        <v>0</v>
      </c>
      <c r="S25" s="2831"/>
      <c r="T25" s="2831"/>
      <c r="U25" s="2831"/>
      <c r="V25" s="2939"/>
    </row>
    <row r="26" spans="1:22" s="2940" customFormat="1" ht="13.15" customHeight="1">
      <c r="A26" s="2921">
        <v>2</v>
      </c>
      <c r="B26" s="2922" t="s">
        <v>2408</v>
      </c>
      <c r="C26" s="2923">
        <f>D7</f>
        <v>0</v>
      </c>
      <c r="D26" s="2924">
        <f>D23*D27</f>
        <v>0</v>
      </c>
      <c r="E26" s="2925">
        <f>E23*E27</f>
        <v>0</v>
      </c>
      <c r="F26" s="2926"/>
      <c r="G26" s="2927"/>
      <c r="H26" s="2838"/>
      <c r="I26" s="2839"/>
      <c r="J26" s="3780">
        <v>5</v>
      </c>
      <c r="K26" s="2941" t="s">
        <v>2409</v>
      </c>
      <c r="L26" s="2942"/>
      <c r="M26" s="2943"/>
      <c r="N26" s="2944" t="s">
        <v>2410</v>
      </c>
      <c r="O26" s="2944" t="s">
        <v>2411</v>
      </c>
      <c r="P26" s="2945" t="s">
        <v>2412</v>
      </c>
      <c r="Q26" s="2945" t="s">
        <v>2413</v>
      </c>
      <c r="R26" s="2848" t="s">
        <v>2338</v>
      </c>
      <c r="S26" s="2946"/>
      <c r="T26" s="2946"/>
      <c r="U26" s="2946"/>
      <c r="V26" s="2939"/>
    </row>
    <row r="27" spans="1:22" s="2843" customFormat="1" ht="13.15" customHeight="1">
      <c r="A27" s="2928"/>
      <c r="B27" s="2929" t="s">
        <v>2414</v>
      </c>
      <c r="C27" s="2947" t="e">
        <f>E7</f>
        <v>#DIV/0!</v>
      </c>
      <c r="D27" s="2931"/>
      <c r="E27" s="2932"/>
      <c r="F27" s="2933"/>
      <c r="G27" s="2927"/>
      <c r="H27" s="2948"/>
      <c r="I27" s="2939"/>
      <c r="J27" s="3781"/>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2415</v>
      </c>
      <c r="F28" s="2933"/>
      <c r="G28" s="2920"/>
      <c r="H28" s="2948"/>
      <c r="I28" s="2939"/>
      <c r="J28" s="2954">
        <v>6</v>
      </c>
      <c r="K28" s="2955" t="s">
        <v>2416</v>
      </c>
      <c r="L28" s="2956" t="s">
        <v>2417</v>
      </c>
      <c r="M28" s="2957"/>
      <c r="N28" s="2956" t="s">
        <v>2418</v>
      </c>
      <c r="O28" s="2958"/>
      <c r="P28" s="2956" t="s">
        <v>2419</v>
      </c>
      <c r="Q28" s="2959">
        <v>1.4999999999999999E-2</v>
      </c>
      <c r="R28" s="2960"/>
      <c r="S28" s="2912"/>
      <c r="T28" s="2912"/>
      <c r="U28" s="2912"/>
      <c r="V28" s="2939"/>
    </row>
    <row r="29" spans="1:22" s="2940" customFormat="1" ht="13.15" customHeight="1">
      <c r="A29" s="2921">
        <v>3</v>
      </c>
      <c r="B29" s="2922" t="s">
        <v>2420</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2414</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2421</v>
      </c>
      <c r="K31" s="2829"/>
      <c r="L31" s="2829"/>
      <c r="M31" s="2829"/>
      <c r="N31" s="2829"/>
      <c r="O31" s="2829"/>
      <c r="P31" s="2829"/>
      <c r="Q31" s="2829"/>
      <c r="R31" s="2830"/>
      <c r="S31" s="2912"/>
      <c r="T31" s="2831"/>
      <c r="U31" s="2831"/>
      <c r="V31" s="2939"/>
    </row>
    <row r="32" spans="1:22" s="2940" customFormat="1" ht="13.15" customHeight="1">
      <c r="A32" s="2921">
        <v>4</v>
      </c>
      <c r="B32" s="2922" t="s">
        <v>2422</v>
      </c>
      <c r="C32" s="2923">
        <f>C23-C26-C29</f>
        <v>0</v>
      </c>
      <c r="D32" s="2924">
        <f>D23-D26-D29</f>
        <v>0</v>
      </c>
      <c r="E32" s="2925">
        <f>E23-E26-E29</f>
        <v>0</v>
      </c>
      <c r="F32" s="2926"/>
      <c r="G32" s="2920"/>
      <c r="H32" s="2838"/>
      <c r="I32" s="2839"/>
      <c r="J32" s="3782" t="s">
        <v>2314</v>
      </c>
      <c r="K32" s="3783"/>
      <c r="L32" s="2840" t="s">
        <v>2315</v>
      </c>
      <c r="M32" s="2840" t="s">
        <v>2316</v>
      </c>
      <c r="N32" s="2840" t="s">
        <v>2317</v>
      </c>
      <c r="O32" s="2840" t="s">
        <v>2318</v>
      </c>
      <c r="P32" s="2840" t="s">
        <v>2319</v>
      </c>
      <c r="Q32" s="2841" t="s">
        <v>2320</v>
      </c>
      <c r="R32" s="2963" t="s">
        <v>2321</v>
      </c>
      <c r="S32" s="2912"/>
      <c r="T32" s="2831"/>
      <c r="U32" s="2831"/>
      <c r="V32" s="2939"/>
    </row>
    <row r="33" spans="1:23" s="2843" customFormat="1" ht="13.15" customHeight="1">
      <c r="A33" s="2921"/>
      <c r="B33" s="2922"/>
      <c r="C33" s="2923"/>
      <c r="D33" s="2964"/>
      <c r="E33" s="2965"/>
      <c r="F33" s="2926"/>
      <c r="G33" s="2920"/>
      <c r="H33" s="2948"/>
      <c r="I33" s="2939"/>
      <c r="J33" s="3784" t="s">
        <v>2324</v>
      </c>
      <c r="K33" s="3785"/>
      <c r="L33" s="2846"/>
      <c r="M33" s="2846"/>
      <c r="N33" s="2846"/>
      <c r="O33" s="2846"/>
      <c r="P33" s="2846"/>
      <c r="Q33" s="2847"/>
      <c r="R33" s="2966">
        <f>SUM(L33:Q33)</f>
        <v>0</v>
      </c>
      <c r="S33" s="2912"/>
      <c r="T33" s="2831"/>
      <c r="U33" s="2831"/>
      <c r="V33" s="2839"/>
    </row>
    <row r="34" spans="1:23" s="2843" customFormat="1" ht="13.15" customHeight="1">
      <c r="A34" s="2921">
        <v>5</v>
      </c>
      <c r="B34" s="2922" t="s">
        <v>2423</v>
      </c>
      <c r="C34" s="2967"/>
      <c r="D34" s="2968"/>
      <c r="E34" s="2969"/>
      <c r="F34" s="2926"/>
      <c r="G34" s="2920"/>
      <c r="H34" s="2948"/>
      <c r="I34" s="2939"/>
      <c r="J34" s="3784" t="s">
        <v>2326</v>
      </c>
      <c r="K34" s="3785"/>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2424</v>
      </c>
      <c r="C35" s="2971"/>
      <c r="D35" s="2972"/>
      <c r="E35" s="2973"/>
      <c r="F35" s="2926"/>
      <c r="G35" s="2974"/>
      <c r="H35" s="2838"/>
      <c r="I35" s="2939"/>
      <c r="J35" s="2857" t="s">
        <v>2328</v>
      </c>
      <c r="K35" s="2858"/>
      <c r="L35" s="2858"/>
      <c r="M35" s="2859"/>
      <c r="N35" s="2859"/>
      <c r="O35" s="2859"/>
      <c r="P35" s="2859"/>
      <c r="Q35" s="2859"/>
      <c r="R35" s="2975">
        <f>R40+R41+R43</f>
        <v>0</v>
      </c>
      <c r="S35" s="2912"/>
      <c r="T35" s="2831" t="s">
        <v>2329</v>
      </c>
      <c r="U35" s="2831"/>
      <c r="V35" s="2839"/>
    </row>
    <row r="36" spans="1:23" s="2843" customFormat="1" ht="13.15" customHeight="1" thickBot="1">
      <c r="A36" s="2921">
        <v>7</v>
      </c>
      <c r="B36" s="2976" t="s">
        <v>2425</v>
      </c>
      <c r="C36" s="2977"/>
      <c r="D36" s="2978"/>
      <c r="E36" s="2979"/>
      <c r="F36" s="2980">
        <f>C36+D36+E36</f>
        <v>0</v>
      </c>
      <c r="G36" s="2920"/>
      <c r="H36" s="2838"/>
      <c r="I36" s="2839"/>
      <c r="J36" s="3776">
        <v>1</v>
      </c>
      <c r="K36" s="3777" t="s">
        <v>2426</v>
      </c>
      <c r="L36" s="2864"/>
      <c r="M36" s="2865"/>
      <c r="N36" s="2865"/>
      <c r="O36" s="2865"/>
      <c r="P36" s="2865"/>
      <c r="Q36" s="2865"/>
      <c r="R36" s="2848" t="s">
        <v>2338</v>
      </c>
      <c r="S36" s="2912"/>
      <c r="T36" s="2831" t="s">
        <v>2339</v>
      </c>
      <c r="U36" s="2831"/>
      <c r="V36" s="2839"/>
    </row>
    <row r="37" spans="1:23" s="2843" customFormat="1" ht="13.15" customHeight="1">
      <c r="A37" s="2921"/>
      <c r="B37" s="2922"/>
      <c r="C37" s="2922"/>
      <c r="D37" s="2922"/>
      <c r="E37" s="2922"/>
      <c r="F37" s="2926"/>
      <c r="G37" s="2920"/>
      <c r="H37" s="2838"/>
      <c r="I37" s="2839"/>
      <c r="J37" s="3776"/>
      <c r="K37" s="3778"/>
      <c r="L37" s="2873"/>
      <c r="M37" s="2874"/>
      <c r="N37" s="2850"/>
      <c r="O37" s="2875"/>
      <c r="P37" s="2875"/>
      <c r="Q37" s="2876"/>
      <c r="R37" s="2877"/>
      <c r="S37" s="2912"/>
      <c r="T37" s="2831" t="s">
        <v>2342</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76"/>
      <c r="K38" s="3778"/>
      <c r="L38" s="2873"/>
      <c r="M38" s="2874"/>
      <c r="N38" s="2850"/>
      <c r="O38" s="2875"/>
      <c r="P38" s="2875"/>
      <c r="Q38" s="2876"/>
      <c r="R38" s="2877"/>
      <c r="S38" s="2912"/>
      <c r="T38" s="2831" t="s">
        <v>2349</v>
      </c>
      <c r="U38" s="2831"/>
      <c r="V38" s="2839"/>
    </row>
    <row r="39" spans="1:23" s="2843" customFormat="1" ht="13.15" customHeight="1">
      <c r="A39" s="2921">
        <v>9</v>
      </c>
      <c r="B39" s="2922" t="s">
        <v>2427</v>
      </c>
      <c r="C39" s="2887" t="e">
        <f>C38</f>
        <v>#DIV/0!</v>
      </c>
      <c r="D39" s="2922">
        <f>D38/(1+D34)^C36</f>
        <v>0</v>
      </c>
      <c r="E39" s="2922">
        <f>E38/(1+E34)^(C36+D36)</f>
        <v>0</v>
      </c>
      <c r="F39" s="2926"/>
      <c r="G39" s="2981"/>
      <c r="H39" s="2838"/>
      <c r="I39" s="2839"/>
      <c r="J39" s="3776"/>
      <c r="K39" s="3778"/>
      <c r="L39" s="2873"/>
      <c r="M39" s="2874"/>
      <c r="N39" s="2850"/>
      <c r="O39" s="2875"/>
      <c r="P39" s="2875"/>
      <c r="Q39" s="2876"/>
      <c r="R39" s="2877"/>
      <c r="S39" s="2912"/>
      <c r="T39" s="2831"/>
      <c r="U39" s="2831"/>
      <c r="V39" s="2839"/>
    </row>
    <row r="40" spans="1:23" s="2843" customFormat="1" ht="13.15" customHeight="1">
      <c r="A40" s="2982">
        <v>10</v>
      </c>
      <c r="B40" s="2922" t="s">
        <v>2428</v>
      </c>
      <c r="C40" s="2983" t="e">
        <f>C39+D39+E39</f>
        <v>#DIV/0!</v>
      </c>
      <c r="D40" s="2984"/>
      <c r="E40" s="2984"/>
      <c r="F40" s="2985"/>
      <c r="G40" s="2920"/>
      <c r="H40" s="2838"/>
      <c r="I40" s="2839"/>
      <c r="J40" s="3776"/>
      <c r="K40" s="3779"/>
      <c r="L40" s="2893" t="s">
        <v>2367</v>
      </c>
      <c r="M40" s="2894"/>
      <c r="N40" s="2894"/>
      <c r="O40" s="2895"/>
      <c r="P40" s="2895"/>
      <c r="Q40" s="2896"/>
      <c r="R40" s="2842">
        <f>SUM(R37:R39)</f>
        <v>0</v>
      </c>
      <c r="S40" s="2912"/>
      <c r="T40" s="2831"/>
      <c r="U40" s="2831"/>
      <c r="V40" s="2839"/>
    </row>
    <row r="41" spans="1:23" s="2843" customFormat="1" ht="13.15" customHeight="1" thickBot="1">
      <c r="A41" s="2986">
        <v>11</v>
      </c>
      <c r="B41" s="2987" t="s">
        <v>2429</v>
      </c>
      <c r="C41" s="2987" t="e">
        <f>ROUND(C40*10000/B4,0)</f>
        <v>#DIV/0!</v>
      </c>
      <c r="D41" s="2988"/>
      <c r="E41" s="2988"/>
      <c r="F41" s="2989"/>
      <c r="G41" s="2990"/>
      <c r="H41" s="2838"/>
      <c r="I41" s="2839"/>
      <c r="J41" s="2934">
        <v>2</v>
      </c>
      <c r="K41" s="2935" t="s">
        <v>2407</v>
      </c>
      <c r="L41" s="2936"/>
      <c r="M41" s="2936"/>
      <c r="N41" s="2936"/>
      <c r="O41" s="2936"/>
      <c r="P41" s="2937"/>
      <c r="Q41" s="2938"/>
      <c r="R41" s="2909">
        <f>ROUND(R40*Q41,0)</f>
        <v>0</v>
      </c>
      <c r="S41" s="2912"/>
      <c r="T41" s="2831"/>
      <c r="U41" s="2946"/>
      <c r="V41" s="2839"/>
    </row>
    <row r="42" spans="1:23" s="2843" customFormat="1" ht="13.15" customHeight="1">
      <c r="G42" s="2990"/>
      <c r="H42" s="2838"/>
      <c r="I42" s="2839"/>
      <c r="J42" s="3780">
        <v>3</v>
      </c>
      <c r="K42" s="2941" t="s">
        <v>2409</v>
      </c>
      <c r="L42" s="2942"/>
      <c r="M42" s="2943"/>
      <c r="N42" s="2944" t="s">
        <v>2410</v>
      </c>
      <c r="O42" s="2944" t="s">
        <v>2411</v>
      </c>
      <c r="P42" s="2945" t="s">
        <v>2412</v>
      </c>
      <c r="Q42" s="2945" t="s">
        <v>2413</v>
      </c>
      <c r="R42" s="2848" t="s">
        <v>2338</v>
      </c>
      <c r="S42" s="2946"/>
      <c r="T42" s="2946"/>
      <c r="U42" s="2831"/>
      <c r="V42" s="2839"/>
    </row>
    <row r="43" spans="1:23" ht="13.15" customHeight="1">
      <c r="A43" s="2843"/>
      <c r="B43" s="2843"/>
      <c r="C43" s="2843"/>
      <c r="D43" s="2843"/>
      <c r="E43" s="2843"/>
      <c r="F43" s="2843"/>
      <c r="I43" s="2826"/>
      <c r="J43" s="3781"/>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2416</v>
      </c>
      <c r="L44" s="2994" t="s">
        <v>2417</v>
      </c>
      <c r="M44" s="2957"/>
      <c r="N44" s="2994" t="s">
        <v>2418</v>
      </c>
      <c r="O44" s="2957"/>
      <c r="P44" s="2994" t="s">
        <v>2419</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交通银行：</v>
      </c>
    </row>
    <row r="4" spans="1:1" ht="36">
      <c r="A4" s="1476" t="str">
        <f>"受贵公司委托，我公司对"&amp;项目基本情况!S1&amp;"进行了预评估。"</f>
        <v>受贵公司委托，我公司对北京市丰台区南四环西路186号一区1号楼-4至7层01房地产抵押价值进行了预评估。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估价对象为北京市丰台区南四环西路186号一区1号楼-4至7层01房地产，为所有。根据《不动产权证书》[]，估价对象（分摊）出让国有建设用地使用权面积为23586.72平方米，建筑面积为103096.2平方米。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一区1号楼-4至7层01房地产,为开发建设的工业项目，该项目尚在开发建设中。根据《不动产权证书》[]，估价对象（分摊）出让国有建设用地使用权面积为23586.72平方米，规划建筑面积为103096.2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2023年3月7日（评估专业人员实地查勘之日）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1" sqref="D21"/>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7"/>
      <c r="G1" s="1485"/>
      <c r="H1" s="1485"/>
      <c r="I1" s="1485"/>
      <c r="J1" s="1485"/>
      <c r="K1" s="1485"/>
      <c r="L1" s="1485"/>
      <c r="M1" s="1485"/>
      <c r="N1" s="1485"/>
      <c r="O1" s="1485"/>
      <c r="P1" s="1485"/>
      <c r="Q1" s="1485"/>
      <c r="R1" s="1485"/>
      <c r="S1" s="1485"/>
    </row>
    <row r="2" spans="1:22" ht="15.75">
      <c r="A2" s="1866" t="s">
        <v>1462</v>
      </c>
      <c r="B2" s="1867">
        <f ca="1">SUMIF(B6:B13,"&lt;&gt;#ref!",B6:B13)</f>
        <v>309257</v>
      </c>
      <c r="C2" s="1868" t="s">
        <v>1651</v>
      </c>
      <c r="D2" s="1869" t="s">
        <v>1652</v>
      </c>
      <c r="E2" s="2598">
        <f>SUM(E6:E13)</f>
        <v>103096.20000000001</v>
      </c>
      <c r="F2" s="2697"/>
      <c r="G2" s="1485"/>
      <c r="H2" s="1485"/>
      <c r="I2" s="1485"/>
      <c r="J2" s="1485"/>
      <c r="K2" s="1485"/>
      <c r="L2" s="1485"/>
      <c r="M2" s="1485"/>
      <c r="N2" s="1485"/>
      <c r="O2" s="1485"/>
      <c r="P2" s="1485"/>
      <c r="Q2" s="1485"/>
      <c r="R2" s="1485"/>
      <c r="S2" s="1485"/>
    </row>
    <row r="3" spans="1:22" ht="15.75">
      <c r="A3" s="1866" t="s">
        <v>686</v>
      </c>
      <c r="B3" s="2592">
        <f ca="1">ROUND(B2*10000/E2,0)</f>
        <v>29997</v>
      </c>
      <c r="C3" s="1868" t="s">
        <v>1659</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4" t="s">
        <v>1653</v>
      </c>
      <c r="B5" s="3795" t="s">
        <v>1654</v>
      </c>
      <c r="C5" s="3796"/>
      <c r="D5" s="2698"/>
      <c r="E5" s="1870" t="s">
        <v>1655</v>
      </c>
      <c r="F5" s="1871" t="s">
        <v>1656</v>
      </c>
      <c r="G5" s="1485"/>
      <c r="H5" s="1485"/>
      <c r="I5" s="1485"/>
      <c r="J5" s="1485"/>
      <c r="K5" s="1485"/>
      <c r="L5" s="1485"/>
      <c r="M5" s="1485"/>
      <c r="N5" s="1485"/>
      <c r="O5" s="1485"/>
      <c r="P5" s="1485"/>
      <c r="Q5" s="1485"/>
      <c r="R5" s="1485"/>
      <c r="S5" s="1485"/>
    </row>
    <row r="6" spans="1:22">
      <c r="A6" s="2595" t="str">
        <f>'数据-取费表'!AN6</f>
        <v>收益法</v>
      </c>
      <c r="B6" s="2593">
        <f ca="1">IF(F6="是",'数据-取费表'!AO6,0)</f>
        <v>297582</v>
      </c>
      <c r="C6" s="1868" t="s">
        <v>1651</v>
      </c>
      <c r="D6" s="2699"/>
      <c r="E6" s="2597">
        <f>IF(OR(A6=0,F6="否"),0,'数据-取费表'!K6+'数据-取费表'!S6)</f>
        <v>81922.19</v>
      </c>
      <c r="F6" s="1872" t="s">
        <v>1657</v>
      </c>
      <c r="G6" s="1485"/>
      <c r="H6" s="1485"/>
      <c r="I6" s="1485"/>
      <c r="J6" s="1485"/>
      <c r="K6" s="1485"/>
      <c r="L6" s="1485"/>
      <c r="M6" s="1485"/>
      <c r="N6" s="1485"/>
      <c r="O6" s="1485"/>
      <c r="P6" s="1485"/>
      <c r="Q6" s="1485"/>
      <c r="R6" s="1485"/>
      <c r="S6" s="1485"/>
    </row>
    <row r="7" spans="1:22">
      <c r="A7" s="2595" t="str">
        <f>'数据-取费表'!AN7</f>
        <v>收益法-车库</v>
      </c>
      <c r="B7" s="2593">
        <f ca="1">IF(F7="是",'数据-取费表'!AO7,0)</f>
        <v>11675</v>
      </c>
      <c r="C7" s="1868" t="s">
        <v>1651</v>
      </c>
      <c r="D7" s="2699"/>
      <c r="E7" s="2597">
        <f>IF(OR(A7=0,F7="否"),0,'数据-取费表'!K7+'数据-取费表'!S7)</f>
        <v>21174.010000000002</v>
      </c>
      <c r="F7" s="1872" t="s">
        <v>1657</v>
      </c>
      <c r="G7" s="1485"/>
      <c r="H7" s="1485"/>
      <c r="I7" s="1485"/>
      <c r="J7" s="1485"/>
      <c r="K7" s="1485"/>
      <c r="L7" s="1485"/>
      <c r="M7" s="1485"/>
      <c r="N7" s="1485"/>
      <c r="O7" s="1485"/>
      <c r="P7" s="1485"/>
      <c r="Q7" s="1485"/>
      <c r="R7" s="1485"/>
      <c r="S7" s="1485"/>
    </row>
    <row r="8" spans="1:22">
      <c r="A8" s="2595">
        <f>'数据-取费表'!AN8</f>
        <v>0</v>
      </c>
      <c r="B8" s="2593" t="e">
        <f ca="1">IF(F8="是",'数据-取费表'!AO8,0)</f>
        <v>#REF!</v>
      </c>
      <c r="C8" s="1868" t="s">
        <v>1651</v>
      </c>
      <c r="D8" s="2699"/>
      <c r="E8" s="2597">
        <f>IF(OR(A8=0,F8="否"),0,'数据-取费表'!K8+'数据-取费表'!S8)</f>
        <v>0</v>
      </c>
      <c r="F8" s="1872" t="s">
        <v>1657</v>
      </c>
      <c r="G8" s="1485"/>
      <c r="H8" s="1485"/>
      <c r="I8" s="1485"/>
      <c r="J8" s="1485"/>
      <c r="K8" s="1485"/>
      <c r="L8" s="1485"/>
      <c r="M8" s="1485"/>
      <c r="N8" s="1485"/>
      <c r="O8" s="1485"/>
      <c r="P8" s="1485"/>
      <c r="Q8" s="1485"/>
      <c r="R8" s="1485"/>
      <c r="S8" s="1485"/>
    </row>
    <row r="9" spans="1:22">
      <c r="A9" s="2595">
        <f>'数据-取费表'!AN9</f>
        <v>0</v>
      </c>
      <c r="B9" s="2593" t="e">
        <f ca="1">IF(F9="是",'数据-取费表'!AO9,0)</f>
        <v>#REF!</v>
      </c>
      <c r="C9" s="1868" t="s">
        <v>1651</v>
      </c>
      <c r="D9" s="2699"/>
      <c r="E9" s="2597">
        <f>IF(OR(A9=0,F9="否"),0,'数据-取费表'!K9+'数据-取费表'!S9)</f>
        <v>0</v>
      </c>
      <c r="F9" s="1872" t="s">
        <v>1657</v>
      </c>
      <c r="G9" s="1485"/>
      <c r="H9" s="1485"/>
      <c r="I9" s="1485"/>
      <c r="J9" s="1485"/>
      <c r="K9" s="1485"/>
      <c r="L9" s="1485"/>
      <c r="M9" s="1485"/>
      <c r="N9" s="1485"/>
      <c r="O9" s="1485"/>
      <c r="P9" s="1485"/>
      <c r="Q9" s="1485"/>
      <c r="R9" s="1485"/>
      <c r="S9" s="1485"/>
    </row>
    <row r="10" spans="1:22">
      <c r="A10" s="2595">
        <f>'数据-取费表'!AN10</f>
        <v>0</v>
      </c>
      <c r="B10" s="2593" t="e">
        <f ca="1">IF(F10="是",'数据-取费表'!AO10,0)</f>
        <v>#REF!</v>
      </c>
      <c r="C10" s="1868" t="s">
        <v>1651</v>
      </c>
      <c r="D10" s="2699"/>
      <c r="E10" s="2597">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5">
        <f>'数据-取费表'!AN11</f>
        <v>0</v>
      </c>
      <c r="B11" s="2593" t="e">
        <f ca="1">IF(F11="是",'数据-取费表'!AO11,0)</f>
        <v>#REF!</v>
      </c>
      <c r="C11" s="1868" t="s">
        <v>1651</v>
      </c>
      <c r="D11" s="2699"/>
      <c r="E11" s="2597">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5">
        <f>'数据-取费表'!AN12</f>
        <v>0</v>
      </c>
      <c r="B12" s="2593" t="e">
        <f ca="1">IF(F12="是",'数据-取费表'!AO12,0)</f>
        <v>#REF!</v>
      </c>
      <c r="C12" s="1868" t="s">
        <v>1651</v>
      </c>
      <c r="D12" s="2699"/>
      <c r="E12" s="2597">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6">
        <f>'数据-取费表'!AN13</f>
        <v>0</v>
      </c>
      <c r="B13" s="2593" t="e">
        <f ca="1">IF(F13="是",'数据-取费表'!AO13,0)</f>
        <v>#REF!</v>
      </c>
      <c r="C13" s="1873" t="s">
        <v>1651</v>
      </c>
      <c r="D13" s="2700"/>
      <c r="E13" s="2597">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3" customWidth="1"/>
    <col min="2" max="3" width="15.75" style="353" customWidth="1"/>
    <col min="4" max="4" width="12.25" style="353" customWidth="1"/>
    <col min="5" max="5" width="17.125" style="353" customWidth="1"/>
    <col min="6" max="6" width="12.25" style="353" customWidth="1"/>
    <col min="7" max="7" width="16.5" style="353" customWidth="1"/>
    <col min="8" max="8" width="12.25" style="353" customWidth="1"/>
    <col min="9" max="9" width="15.625" style="353" customWidth="1"/>
    <col min="10" max="10" width="12.25" style="353" customWidth="1"/>
    <col min="11" max="11" width="12.25" style="440" customWidth="1"/>
    <col min="12" max="12" width="12.25" style="441" customWidth="1"/>
    <col min="13" max="15" width="12.25" style="353" customWidth="1"/>
    <col min="16" max="16" width="4.75" style="191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1660</v>
      </c>
      <c r="B1" s="1874" t="s">
        <v>1661</v>
      </c>
      <c r="C1" s="1234" t="s">
        <v>1662</v>
      </c>
      <c r="D1" s="1221"/>
      <c r="E1" s="3416"/>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3" customFormat="1" ht="28.5" customHeight="1" thickTop="1">
      <c r="A2" s="1217" t="s">
        <v>685</v>
      </c>
      <c r="B2" s="3417"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3"/>
      <c r="M2" s="2704"/>
      <c r="N2" s="2704"/>
      <c r="O2" s="2704"/>
      <c r="P2" s="1881"/>
      <c r="Q2" s="1882"/>
      <c r="R2" s="1882"/>
      <c r="S2" s="1882"/>
      <c r="T2" s="1882"/>
      <c r="U2" s="1882"/>
      <c r="V2" s="1882"/>
      <c r="W2" s="1882"/>
      <c r="X2" s="1882"/>
      <c r="Y2" s="1882"/>
      <c r="Z2" s="1882"/>
      <c r="AA2" s="1882"/>
      <c r="AB2" s="1882"/>
      <c r="AC2" s="1883"/>
    </row>
    <row r="3" spans="1:29" s="343" customFormat="1" ht="28.5" customHeight="1" thickBot="1">
      <c r="A3" s="199" t="s">
        <v>686</v>
      </c>
      <c r="B3" s="349">
        <f>IF(C2="——",C49,ROUND(B2*10000/D3,0))</f>
        <v>0</v>
      </c>
      <c r="C3" s="350" t="s">
        <v>1665</v>
      </c>
      <c r="D3" s="349">
        <f>IF(D1="",'数据-汇总表'!E3,SUMIF('数据-汇总表'!$C19:$C33,D1,'数据-汇总表'!$E19:$E33))</f>
        <v>103096.20000000001</v>
      </c>
      <c r="E3" s="903"/>
      <c r="F3" s="1884"/>
      <c r="G3" s="903"/>
      <c r="H3" s="903"/>
      <c r="I3" s="903"/>
      <c r="J3" s="903"/>
      <c r="K3" s="1880"/>
      <c r="L3" s="2703"/>
      <c r="M3" s="2704"/>
      <c r="N3" s="2704"/>
      <c r="O3" s="2704"/>
      <c r="P3" s="1881"/>
      <c r="Q3" s="1882"/>
      <c r="R3" s="1882"/>
      <c r="S3" s="1882"/>
      <c r="T3" s="1882"/>
      <c r="U3" s="1882"/>
      <c r="V3" s="1882"/>
      <c r="W3" s="1882"/>
      <c r="X3" s="1882"/>
      <c r="Y3" s="1882"/>
      <c r="Z3" s="1882"/>
      <c r="AA3" s="1882"/>
      <c r="AB3" s="1882"/>
      <c r="AC3" s="1057"/>
    </row>
    <row r="4" spans="1:29" ht="15">
      <c r="A4" s="351" t="s">
        <v>1666</v>
      </c>
      <c r="B4" s="352"/>
      <c r="C4" s="3730" t="s">
        <v>1667</v>
      </c>
      <c r="D4" s="3742"/>
      <c r="E4" s="3743" t="s">
        <v>1668</v>
      </c>
      <c r="F4" s="3744"/>
      <c r="G4" s="3730" t="s">
        <v>1669</v>
      </c>
      <c r="H4" s="3742"/>
      <c r="I4" s="3730" t="s">
        <v>1670</v>
      </c>
      <c r="J4" s="3742"/>
      <c r="K4" s="1885" t="s">
        <v>1671</v>
      </c>
      <c r="L4" s="2705"/>
      <c r="M4" s="2706"/>
      <c r="N4" s="2706"/>
      <c r="O4" s="2706"/>
      <c r="P4" s="3745" t="s">
        <v>1672</v>
      </c>
      <c r="Q4" s="3746"/>
      <c r="R4" s="3751" t="s">
        <v>1668</v>
      </c>
      <c r="S4" s="3752"/>
      <c r="T4" s="3751" t="s">
        <v>1669</v>
      </c>
      <c r="U4" s="3752"/>
      <c r="V4" s="3738" t="s">
        <v>1670</v>
      </c>
      <c r="W4" s="3738"/>
      <c r="X4" s="1351"/>
      <c r="Y4" s="3751" t="s">
        <v>1672</v>
      </c>
      <c r="Z4" s="3752"/>
      <c r="AA4" s="3739" t="s">
        <v>1668</v>
      </c>
      <c r="AB4" s="3739" t="s">
        <v>1669</v>
      </c>
      <c r="AC4" s="3739" t="s">
        <v>1670</v>
      </c>
    </row>
    <row r="5" spans="1:29" ht="15">
      <c r="A5" s="354"/>
      <c r="B5" s="355"/>
      <c r="C5" s="3759" t="s">
        <v>1673</v>
      </c>
      <c r="D5" s="3760"/>
      <c r="E5" s="3766" t="s">
        <v>1674</v>
      </c>
      <c r="F5" s="3767"/>
      <c r="G5" s="3759" t="s">
        <v>1675</v>
      </c>
      <c r="H5" s="3760"/>
      <c r="I5" s="3759" t="s">
        <v>1676</v>
      </c>
      <c r="J5" s="3760"/>
      <c r="K5" s="1886"/>
      <c r="L5" s="2705"/>
      <c r="M5" s="2706"/>
      <c r="N5" s="2706"/>
      <c r="O5" s="2706"/>
      <c r="P5" s="3747"/>
      <c r="Q5" s="3748"/>
      <c r="R5" s="3753"/>
      <c r="S5" s="3754"/>
      <c r="T5" s="3753"/>
      <c r="U5" s="3754"/>
      <c r="V5" s="3738"/>
      <c r="W5" s="3738"/>
      <c r="X5" s="1351"/>
      <c r="Y5" s="3753"/>
      <c r="Z5" s="3754"/>
      <c r="AA5" s="3740"/>
      <c r="AB5" s="3740"/>
      <c r="AC5" s="3740"/>
    </row>
    <row r="6" spans="1:29" ht="15.75" thickBot="1">
      <c r="A6" s="356"/>
      <c r="B6" s="357"/>
      <c r="C6" s="3757" t="s">
        <v>1677</v>
      </c>
      <c r="D6" s="3758"/>
      <c r="E6" s="3764" t="s">
        <v>1677</v>
      </c>
      <c r="F6" s="3765"/>
      <c r="G6" s="3757" t="s">
        <v>1677</v>
      </c>
      <c r="H6" s="3758"/>
      <c r="I6" s="3757" t="s">
        <v>1677</v>
      </c>
      <c r="J6" s="3758"/>
      <c r="K6" s="1886" t="s">
        <v>1678</v>
      </c>
      <c r="L6" s="2705"/>
      <c r="M6" s="2706"/>
      <c r="N6" s="2706"/>
      <c r="O6" s="2706"/>
      <c r="P6" s="3749"/>
      <c r="Q6" s="3750"/>
      <c r="R6" s="3753"/>
      <c r="S6" s="3754"/>
      <c r="T6" s="3755"/>
      <c r="U6" s="3756"/>
      <c r="V6" s="3738"/>
      <c r="W6" s="3738"/>
      <c r="X6" s="1351"/>
      <c r="Y6" s="3755"/>
      <c r="Z6" s="3756"/>
      <c r="AA6" s="3741"/>
      <c r="AB6" s="3741"/>
      <c r="AC6" s="3741"/>
    </row>
    <row r="7" spans="1:29" s="106" customFormat="1" ht="15.75" thickBot="1">
      <c r="A7" s="358" t="s">
        <v>1679</v>
      </c>
      <c r="B7" s="359"/>
      <c r="C7" s="360">
        <f>'数据-取费表'!B2</f>
        <v>44992</v>
      </c>
      <c r="D7" s="361">
        <v>100</v>
      </c>
      <c r="E7" s="362"/>
      <c r="F7" s="363">
        <f>SUMIF(58:58,YEAR(E7)&amp;"-"&amp;MONTH(E7),59:59)</f>
        <v>0</v>
      </c>
      <c r="G7" s="362"/>
      <c r="H7" s="361">
        <f>SUMIF(58:58,YEAR(G7)&amp;"-"&amp;MONTH(G7),59:59)</f>
        <v>0</v>
      </c>
      <c r="I7" s="362"/>
      <c r="J7" s="361">
        <f>SUMIF(58:58,YEAR(I7)&amp;"-"&amp;MONTH(I7),59:59)</f>
        <v>0</v>
      </c>
      <c r="K7" s="1887"/>
      <c r="L7" s="2707"/>
      <c r="M7" s="2708"/>
      <c r="N7" s="2708"/>
      <c r="O7" s="2708"/>
      <c r="P7" s="3761" t="s">
        <v>1680</v>
      </c>
      <c r="Q7" s="3763"/>
      <c r="R7" s="697" t="s">
        <v>20</v>
      </c>
      <c r="S7" s="698">
        <f t="shared" ref="S7:S15" si="0">F7</f>
        <v>0</v>
      </c>
      <c r="T7" s="697" t="s">
        <v>20</v>
      </c>
      <c r="U7" s="698">
        <f t="shared" ref="U7:U15" si="1">H7</f>
        <v>0</v>
      </c>
      <c r="V7" s="697" t="s">
        <v>20</v>
      </c>
      <c r="W7" s="698">
        <f t="shared" ref="W7:W15" si="2">J7</f>
        <v>0</v>
      </c>
      <c r="X7" s="699"/>
      <c r="Y7" s="3761" t="s">
        <v>1680</v>
      </c>
      <c r="Z7" s="3762"/>
      <c r="AA7" s="700" t="e">
        <f>D7/F7</f>
        <v>#DIV/0!</v>
      </c>
      <c r="AB7" s="700" t="e">
        <f>D7/H7</f>
        <v>#DIV/0!</v>
      </c>
      <c r="AC7" s="700" t="e">
        <f>D7/J7</f>
        <v>#DIV/0!</v>
      </c>
    </row>
    <row r="8" spans="1:29" s="106" customFormat="1" ht="15.75" thickBot="1">
      <c r="A8" s="358" t="s">
        <v>1681</v>
      </c>
      <c r="B8" s="359"/>
      <c r="C8" s="364"/>
      <c r="D8" s="361">
        <v>100</v>
      </c>
      <c r="E8" s="1888"/>
      <c r="F8" s="363">
        <f>SUMIF(61:61,E8,62:62)-SUMIF(61:61,C8,62:62)+100</f>
        <v>100</v>
      </c>
      <c r="G8" s="364"/>
      <c r="H8" s="361">
        <f>SUMIF(61:61,G8,62:62)-SUMIF(61:61,C8,62:62)+100</f>
        <v>100</v>
      </c>
      <c r="I8" s="1888"/>
      <c r="J8" s="361">
        <f>SUMIF(61:61,I8,62:62)-SUMIF(61:61,C8,62:62)+100</f>
        <v>100</v>
      </c>
      <c r="K8" s="1887"/>
      <c r="L8" s="2707"/>
      <c r="M8" s="2708"/>
      <c r="N8" s="2708"/>
      <c r="O8" s="2708"/>
      <c r="P8" s="3761" t="s">
        <v>1683</v>
      </c>
      <c r="Q8" s="3762"/>
      <c r="R8" s="697" t="s">
        <v>20</v>
      </c>
      <c r="S8" s="698">
        <f t="shared" si="0"/>
        <v>100</v>
      </c>
      <c r="T8" s="697" t="s">
        <v>20</v>
      </c>
      <c r="U8" s="698">
        <f t="shared" si="1"/>
        <v>100</v>
      </c>
      <c r="V8" s="697" t="s">
        <v>20</v>
      </c>
      <c r="W8" s="698">
        <f t="shared" si="2"/>
        <v>100</v>
      </c>
      <c r="X8" s="699"/>
      <c r="Y8" s="3761" t="s">
        <v>1683</v>
      </c>
      <c r="Z8" s="3762"/>
      <c r="AA8" s="700">
        <f t="shared" ref="AA8:AA19" si="3">D8/F8</f>
        <v>1</v>
      </c>
      <c r="AB8" s="700">
        <f t="shared" ref="AB8:AB19" si="4">D8/H8</f>
        <v>1</v>
      </c>
      <c r="AC8" s="700">
        <f t="shared" ref="AC8:AC19" si="5">D8/J8</f>
        <v>1</v>
      </c>
    </row>
    <row r="9" spans="1:29" s="106" customFormat="1">
      <c r="A9" s="365" t="s">
        <v>1684</v>
      </c>
      <c r="B9" s="63" t="s">
        <v>1685</v>
      </c>
      <c r="C9" s="366"/>
      <c r="D9" s="122">
        <v>100</v>
      </c>
      <c r="E9" s="367"/>
      <c r="F9" s="368">
        <f>SUMIF(63:63,E9,64:64)-SUMIF(63:63,C9,64:64)+100</f>
        <v>100</v>
      </c>
      <c r="G9" s="369"/>
      <c r="H9" s="122">
        <f>SUMIF(63:63,G9,64:64)-SUMIF(63:63,C9,64:64)+100</f>
        <v>100</v>
      </c>
      <c r="I9" s="369"/>
      <c r="J9" s="122">
        <f>SUMIF(63:63,I9,64:64)-SUMIF(63:63,C9,64:64)+100</f>
        <v>100</v>
      </c>
      <c r="K9" s="1887"/>
      <c r="L9" s="2707"/>
      <c r="M9" s="2708"/>
      <c r="N9" s="2708"/>
      <c r="O9" s="2708"/>
      <c r="P9" s="3732"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700">
        <f t="shared" si="5"/>
        <v>1</v>
      </c>
    </row>
    <row r="10" spans="1:29" s="374" customFormat="1" ht="27">
      <c r="A10" s="370"/>
      <c r="B10" s="371" t="s">
        <v>1688</v>
      </c>
      <c r="C10" s="3424"/>
      <c r="D10" s="123">
        <v>100</v>
      </c>
      <c r="E10" s="3425"/>
      <c r="F10" s="372">
        <f>SUMIF(65:65,E10,66:66)-SUMIF(65:65,C10,66:66)+100</f>
        <v>100</v>
      </c>
      <c r="G10" s="3424"/>
      <c r="H10" s="123">
        <f>SUMIF(65:65,G10,66:66)-SUMIF(65:65,C10,66:66)+100</f>
        <v>100</v>
      </c>
      <c r="I10" s="3424"/>
      <c r="J10" s="123">
        <f>SUMIF(65:65,I10,66:66)-SUMIF(65:65,C10,66:66)+100</f>
        <v>100</v>
      </c>
      <c r="K10" s="1887"/>
      <c r="L10" s="2709"/>
      <c r="M10" s="2710"/>
      <c r="N10" s="2710"/>
      <c r="O10" s="2710"/>
      <c r="P10" s="3732"/>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375"/>
      <c r="B11" s="371" t="s">
        <v>1689</v>
      </c>
      <c r="C11" s="376"/>
      <c r="D11" s="123">
        <v>100</v>
      </c>
      <c r="E11" s="377"/>
      <c r="F11" s="372" t="e">
        <f>LOOKUP(E11,68:68,69:69)-LOOKUP(C11,68:68,69:69)+100</f>
        <v>#N/A</v>
      </c>
      <c r="G11" s="376"/>
      <c r="H11" s="123" t="e">
        <f>LOOKUP(G11,68:68,69:69)-LOOKUP(C11,68:68,69:69)+100</f>
        <v>#N/A</v>
      </c>
      <c r="I11" s="376"/>
      <c r="J11" s="123" t="e">
        <f>LOOKUP(I11,68:68,69:69)-LOOKUP(C11,68:68,69:69)+100</f>
        <v>#N/A</v>
      </c>
      <c r="K11" s="373"/>
      <c r="L11" s="2711"/>
      <c r="M11" s="2706"/>
      <c r="N11" s="2706"/>
      <c r="O11" s="2706"/>
      <c r="P11" s="3732"/>
      <c r="Q11" s="1339" t="str">
        <f t="shared" si="6"/>
        <v>容积率</v>
      </c>
      <c r="R11" s="697" t="s">
        <v>18</v>
      </c>
      <c r="S11" s="698" t="e">
        <f t="shared" si="0"/>
        <v>#N/A</v>
      </c>
      <c r="T11" s="697" t="s">
        <v>18</v>
      </c>
      <c r="U11" s="698" t="e">
        <f t="shared" si="1"/>
        <v>#N/A</v>
      </c>
      <c r="V11" s="697" t="s">
        <v>18</v>
      </c>
      <c r="W11" s="698" t="e">
        <f t="shared" si="2"/>
        <v>#N/A</v>
      </c>
      <c r="X11" s="699"/>
      <c r="Y11" s="3614"/>
      <c r="Z11" s="52" t="str">
        <f t="shared" si="7"/>
        <v>容积率</v>
      </c>
      <c r="AA11" s="700" t="e">
        <f t="shared" si="3"/>
        <v>#N/A</v>
      </c>
      <c r="AB11" s="700" t="e">
        <f t="shared" si="4"/>
        <v>#N/A</v>
      </c>
      <c r="AC11" s="700" t="e">
        <f t="shared" si="5"/>
        <v>#N/A</v>
      </c>
    </row>
    <row r="12" spans="1:29" s="106" customFormat="1" ht="15">
      <c r="A12" s="378"/>
      <c r="B12" s="1889">
        <v>111</v>
      </c>
      <c r="C12" s="379"/>
      <c r="D12" s="380">
        <v>100</v>
      </c>
      <c r="E12" s="379"/>
      <c r="F12" s="372">
        <f>SUMIF(70:70,E12,71:71)-SUMIF(70:70,C12,71:71)+100</f>
        <v>100</v>
      </c>
      <c r="G12" s="379"/>
      <c r="H12" s="123">
        <f>SUMIF(70:70,G12,71:71)-SUMIF(70:70,C12,71:71)+100</f>
        <v>100</v>
      </c>
      <c r="I12" s="379"/>
      <c r="J12" s="123">
        <f>SUMIF(70:70,I12,71:71)-SUMIF(70:70,C12,71:71)+100</f>
        <v>100</v>
      </c>
      <c r="K12" s="1890"/>
      <c r="L12" s="2707"/>
      <c r="M12" s="2708"/>
      <c r="N12" s="2708"/>
      <c r="O12" s="2708"/>
      <c r="P12" s="3732"/>
      <c r="Q12" s="1339">
        <f t="shared" si="6"/>
        <v>111</v>
      </c>
      <c r="R12" s="697" t="s">
        <v>18</v>
      </c>
      <c r="S12" s="698">
        <f t="shared" si="0"/>
        <v>100</v>
      </c>
      <c r="T12" s="697" t="s">
        <v>18</v>
      </c>
      <c r="U12" s="698">
        <f t="shared" si="1"/>
        <v>100</v>
      </c>
      <c r="V12" s="697" t="s">
        <v>18</v>
      </c>
      <c r="W12" s="698">
        <f t="shared" si="2"/>
        <v>100</v>
      </c>
      <c r="X12" s="699"/>
      <c r="Y12" s="3614"/>
      <c r="Z12" s="52">
        <f t="shared" si="7"/>
        <v>111</v>
      </c>
      <c r="AA12" s="700">
        <f>D12/F12</f>
        <v>1</v>
      </c>
      <c r="AB12" s="700">
        <f>D12/H12</f>
        <v>1</v>
      </c>
      <c r="AC12" s="700">
        <f>D12/J12</f>
        <v>1</v>
      </c>
    </row>
    <row r="13" spans="1:29" ht="15">
      <c r="A13" s="375"/>
      <c r="B13" s="1889">
        <v>111</v>
      </c>
      <c r="C13" s="381"/>
      <c r="D13" s="382">
        <v>100</v>
      </c>
      <c r="E13" s="381"/>
      <c r="F13" s="372">
        <f>SUMIF(72:72,E13,73:73)-SUMIF(72:72,C13,73:73)+100</f>
        <v>100</v>
      </c>
      <c r="G13" s="381"/>
      <c r="H13" s="382">
        <f>SUMIF(72:72,G13,73:73)-SUMIF(72:72,C13,73:73)+100</f>
        <v>100</v>
      </c>
      <c r="I13" s="381"/>
      <c r="J13" s="382">
        <f>SUMIF(72:72,I13,73:73)-SUMIF(72:72,C13,73:73)+100</f>
        <v>100</v>
      </c>
      <c r="K13" s="1890"/>
      <c r="L13" s="2712"/>
      <c r="M13" s="2706"/>
      <c r="N13" s="2706"/>
      <c r="O13" s="2706"/>
      <c r="P13" s="3732"/>
      <c r="Q13" s="1339">
        <f t="shared" si="6"/>
        <v>111</v>
      </c>
      <c r="R13" s="697" t="s">
        <v>18</v>
      </c>
      <c r="S13" s="698">
        <f t="shared" si="0"/>
        <v>100</v>
      </c>
      <c r="T13" s="697" t="s">
        <v>18</v>
      </c>
      <c r="U13" s="698">
        <f t="shared" si="1"/>
        <v>100</v>
      </c>
      <c r="V13" s="697" t="s">
        <v>18</v>
      </c>
      <c r="W13" s="698">
        <f t="shared" si="2"/>
        <v>100</v>
      </c>
      <c r="X13" s="699"/>
      <c r="Y13" s="3614"/>
      <c r="Z13" s="52">
        <f t="shared" si="7"/>
        <v>111</v>
      </c>
      <c r="AA13" s="700">
        <f t="shared" si="3"/>
        <v>1</v>
      </c>
      <c r="AB13" s="700">
        <f t="shared" si="4"/>
        <v>1</v>
      </c>
      <c r="AC13" s="700">
        <f t="shared" si="5"/>
        <v>1</v>
      </c>
    </row>
    <row r="14" spans="1:29" ht="15.75" thickBot="1">
      <c r="A14" s="383"/>
      <c r="B14" s="1891">
        <v>111</v>
      </c>
      <c r="C14" s="384"/>
      <c r="D14" s="385">
        <v>100</v>
      </c>
      <c r="E14" s="384"/>
      <c r="F14" s="386">
        <f>SUMIF(74:74,E14,75:75)-SUMIF(74:74,C14,75:75)+100</f>
        <v>100</v>
      </c>
      <c r="G14" s="384"/>
      <c r="H14" s="385">
        <f>SUMIF(74:74,G14,75:75)-SUMIF(74:74,C14,75:75)+100</f>
        <v>100</v>
      </c>
      <c r="I14" s="384"/>
      <c r="J14" s="385">
        <f>SUMIF(74:74,I14,75:75)-SUMIF(74:74,C14,75:75)+100</f>
        <v>100</v>
      </c>
      <c r="K14" s="1890"/>
      <c r="L14" s="2712"/>
      <c r="M14" s="2706"/>
      <c r="N14" s="2706"/>
      <c r="O14" s="2706"/>
      <c r="P14" s="3732"/>
      <c r="Q14" s="1339">
        <f t="shared" si="6"/>
        <v>111</v>
      </c>
      <c r="R14" s="697" t="s">
        <v>18</v>
      </c>
      <c r="S14" s="698">
        <f t="shared" si="0"/>
        <v>100</v>
      </c>
      <c r="T14" s="697" t="s">
        <v>18</v>
      </c>
      <c r="U14" s="698">
        <f t="shared" si="1"/>
        <v>100</v>
      </c>
      <c r="V14" s="697" t="s">
        <v>18</v>
      </c>
      <c r="W14" s="698">
        <f t="shared" si="2"/>
        <v>100</v>
      </c>
      <c r="X14" s="699"/>
      <c r="Y14" s="3614"/>
      <c r="Z14" s="52">
        <f t="shared" si="7"/>
        <v>111</v>
      </c>
      <c r="AA14" s="700">
        <f t="shared" si="3"/>
        <v>1</v>
      </c>
      <c r="AB14" s="700">
        <f t="shared" si="4"/>
        <v>1</v>
      </c>
      <c r="AC14" s="700">
        <f t="shared" si="5"/>
        <v>1</v>
      </c>
    </row>
    <row r="15" spans="1:29" ht="85.5">
      <c r="A15" s="387" t="s">
        <v>1690</v>
      </c>
      <c r="B15" s="61" t="s">
        <v>1257</v>
      </c>
      <c r="C15" s="1892"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712"/>
      <c r="M15" s="2706"/>
      <c r="N15" s="2706"/>
      <c r="O15" s="2706"/>
      <c r="P15" s="3803" t="s">
        <v>1691</v>
      </c>
      <c r="Q15" s="1348" t="str">
        <f t="shared" si="6"/>
        <v>居住社区成熟度</v>
      </c>
      <c r="R15" s="701" t="s">
        <v>18</v>
      </c>
      <c r="S15" s="702">
        <f t="shared" si="0"/>
        <v>100</v>
      </c>
      <c r="T15" s="701" t="s">
        <v>18</v>
      </c>
      <c r="U15" s="702">
        <f t="shared" si="1"/>
        <v>100</v>
      </c>
      <c r="V15" s="701" t="s">
        <v>18</v>
      </c>
      <c r="W15" s="702">
        <f t="shared" si="2"/>
        <v>100</v>
      </c>
      <c r="X15" s="1351"/>
      <c r="Y15" s="3734" t="s">
        <v>1691</v>
      </c>
      <c r="Z15" s="1352" t="str">
        <f t="shared" si="7"/>
        <v>居住社区成熟度</v>
      </c>
      <c r="AA15" s="1349">
        <f t="shared" si="3"/>
        <v>1</v>
      </c>
      <c r="AB15" s="1349">
        <f t="shared" si="4"/>
        <v>1</v>
      </c>
      <c r="AC15" s="1349">
        <f t="shared" si="5"/>
        <v>1</v>
      </c>
    </row>
    <row r="16" spans="1:29" ht="15">
      <c r="A16" s="375"/>
      <c r="B16" s="393"/>
      <c r="C16" s="394"/>
      <c r="D16" s="395"/>
      <c r="E16" s="1893"/>
      <c r="F16" s="395"/>
      <c r="G16" s="1894"/>
      <c r="H16" s="397"/>
      <c r="I16" s="1894"/>
      <c r="J16" s="395"/>
      <c r="K16" s="1895"/>
      <c r="L16" s="2712"/>
      <c r="M16" s="2706"/>
      <c r="N16" s="2706"/>
      <c r="O16" s="2706"/>
      <c r="P16" s="3804"/>
      <c r="Q16" s="1348"/>
      <c r="R16" s="701"/>
      <c r="S16" s="702"/>
      <c r="T16" s="701"/>
      <c r="U16" s="702"/>
      <c r="V16" s="701"/>
      <c r="W16" s="702"/>
      <c r="X16" s="1351"/>
      <c r="Y16" s="3735"/>
      <c r="Z16" s="1352"/>
      <c r="AA16" s="1349">
        <v>1</v>
      </c>
      <c r="AB16" s="1349">
        <v>1</v>
      </c>
      <c r="AC16" s="1349">
        <v>1</v>
      </c>
    </row>
    <row r="17" spans="1:29" ht="71.25">
      <c r="A17" s="375"/>
      <c r="B17" s="398" t="s">
        <v>1259</v>
      </c>
      <c r="C17" s="1896"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712"/>
      <c r="M17" s="2706"/>
      <c r="N17" s="2706"/>
      <c r="O17" s="2706"/>
      <c r="P17" s="3804"/>
      <c r="Q17" s="1348" t="str">
        <f>B17</f>
        <v>交通便捷度</v>
      </c>
      <c r="R17" s="701" t="s">
        <v>18</v>
      </c>
      <c r="S17" s="702">
        <f>F17</f>
        <v>100</v>
      </c>
      <c r="T17" s="701" t="s">
        <v>18</v>
      </c>
      <c r="U17" s="702">
        <f>H17</f>
        <v>100</v>
      </c>
      <c r="V17" s="701" t="s">
        <v>18</v>
      </c>
      <c r="W17" s="702">
        <f>J17</f>
        <v>100</v>
      </c>
      <c r="X17" s="1351"/>
      <c r="Y17" s="3735"/>
      <c r="Z17" s="1352" t="str">
        <f>Q17</f>
        <v>交通便捷度</v>
      </c>
      <c r="AA17" s="1349">
        <f t="shared" si="3"/>
        <v>1</v>
      </c>
      <c r="AB17" s="1349">
        <f t="shared" si="4"/>
        <v>1</v>
      </c>
      <c r="AC17" s="1349">
        <f t="shared" si="5"/>
        <v>1</v>
      </c>
    </row>
    <row r="18" spans="1:29" ht="15">
      <c r="A18" s="375"/>
      <c r="B18" s="403"/>
      <c r="C18" s="1897"/>
      <c r="D18" s="397"/>
      <c r="E18" s="1898"/>
      <c r="F18" s="397"/>
      <c r="G18" s="1899"/>
      <c r="H18" s="395"/>
      <c r="I18" s="1899"/>
      <c r="J18" s="395"/>
      <c r="K18" s="1895"/>
      <c r="L18" s="2712"/>
      <c r="M18" s="2706"/>
      <c r="N18" s="2706"/>
      <c r="O18" s="2706"/>
      <c r="P18" s="3804"/>
      <c r="Q18" s="1348"/>
      <c r="R18" s="701"/>
      <c r="S18" s="702"/>
      <c r="T18" s="701"/>
      <c r="U18" s="702"/>
      <c r="V18" s="701"/>
      <c r="W18" s="702"/>
      <c r="X18" s="1351"/>
      <c r="Y18" s="3735"/>
      <c r="Z18" s="1352"/>
      <c r="AA18" s="1349">
        <v>1</v>
      </c>
      <c r="AB18" s="1349">
        <v>1</v>
      </c>
      <c r="AC18" s="1349">
        <v>1</v>
      </c>
    </row>
    <row r="19" spans="1:29" ht="42.75">
      <c r="A19" s="375"/>
      <c r="B19" s="398" t="s">
        <v>1258</v>
      </c>
      <c r="C19" s="1896"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712"/>
      <c r="M19" s="2706"/>
      <c r="N19" s="2706"/>
      <c r="O19" s="2706"/>
      <c r="P19" s="3804"/>
      <c r="Q19" s="1348" t="str">
        <f>B19</f>
        <v>公共配套设施</v>
      </c>
      <c r="R19" s="701" t="s">
        <v>18</v>
      </c>
      <c r="S19" s="702">
        <f>F19</f>
        <v>100</v>
      </c>
      <c r="T19" s="701" t="s">
        <v>18</v>
      </c>
      <c r="U19" s="702">
        <f>H19</f>
        <v>100</v>
      </c>
      <c r="V19" s="701" t="s">
        <v>18</v>
      </c>
      <c r="W19" s="702">
        <f>J19</f>
        <v>100</v>
      </c>
      <c r="X19" s="1351"/>
      <c r="Y19" s="3735"/>
      <c r="Z19" s="1352" t="str">
        <f>Q19</f>
        <v>公共配套设施</v>
      </c>
      <c r="AA19" s="1349">
        <f t="shared" si="3"/>
        <v>1</v>
      </c>
      <c r="AB19" s="1349">
        <f t="shared" si="4"/>
        <v>1</v>
      </c>
      <c r="AC19" s="1349">
        <f t="shared" si="5"/>
        <v>1</v>
      </c>
    </row>
    <row r="20" spans="1:29" ht="15">
      <c r="A20" s="375"/>
      <c r="B20" s="403"/>
      <c r="C20" s="394"/>
      <c r="D20" s="395"/>
      <c r="E20" s="1893"/>
      <c r="F20" s="395"/>
      <c r="G20" s="1894"/>
      <c r="H20" s="395"/>
      <c r="I20" s="1894"/>
      <c r="J20" s="395"/>
      <c r="K20" s="1895"/>
      <c r="L20" s="2712"/>
      <c r="M20" s="2706"/>
      <c r="N20" s="2706"/>
      <c r="O20" s="2706"/>
      <c r="P20" s="3804"/>
      <c r="Q20" s="1348"/>
      <c r="R20" s="701"/>
      <c r="S20" s="702"/>
      <c r="T20" s="701"/>
      <c r="U20" s="702"/>
      <c r="V20" s="701"/>
      <c r="W20" s="702"/>
      <c r="X20" s="1351"/>
      <c r="Y20" s="3735"/>
      <c r="Z20" s="1352"/>
      <c r="AA20" s="1349">
        <v>1</v>
      </c>
      <c r="AB20" s="1349">
        <v>1</v>
      </c>
      <c r="AC20" s="1349">
        <v>1</v>
      </c>
    </row>
    <row r="21" spans="1:29" ht="28.5">
      <c r="A21" s="375"/>
      <c r="B21" s="1127" t="s">
        <v>1260</v>
      </c>
      <c r="C21" s="1896"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712"/>
      <c r="M21" s="2706"/>
      <c r="N21" s="2706"/>
      <c r="O21" s="2706"/>
      <c r="P21" s="3804"/>
      <c r="Q21" s="1348" t="str">
        <f>B21</f>
        <v>基础设施水平</v>
      </c>
      <c r="R21" s="701" t="s">
        <v>14</v>
      </c>
      <c r="S21" s="702">
        <f>F21</f>
        <v>100</v>
      </c>
      <c r="T21" s="701" t="s">
        <v>14</v>
      </c>
      <c r="U21" s="702">
        <f>H21</f>
        <v>100</v>
      </c>
      <c r="V21" s="701" t="s">
        <v>14</v>
      </c>
      <c r="W21" s="702">
        <f>J21</f>
        <v>100</v>
      </c>
      <c r="X21" s="1351"/>
      <c r="Y21" s="3735"/>
      <c r="Z21" s="1352" t="str">
        <f>Q21</f>
        <v>基础设施水平</v>
      </c>
      <c r="AA21" s="1349">
        <f t="shared" ref="AA21" si="8">D21/F21</f>
        <v>1</v>
      </c>
      <c r="AB21" s="1349">
        <f t="shared" ref="AB21" si="9">D21/H21</f>
        <v>1</v>
      </c>
      <c r="AC21" s="1349">
        <f t="shared" ref="AC21" si="10">D21/J21</f>
        <v>1</v>
      </c>
    </row>
    <row r="22" spans="1:29" ht="15">
      <c r="A22" s="375"/>
      <c r="B22" s="1127"/>
      <c r="C22" s="1897"/>
      <c r="D22" s="395"/>
      <c r="E22" s="394"/>
      <c r="F22" s="395"/>
      <c r="G22" s="1900"/>
      <c r="H22" s="395"/>
      <c r="I22" s="394"/>
      <c r="J22" s="395"/>
      <c r="K22" s="1901"/>
      <c r="L22" s="2712"/>
      <c r="M22" s="2706"/>
      <c r="N22" s="2706"/>
      <c r="O22" s="2706"/>
      <c r="P22" s="3804"/>
      <c r="Q22" s="1348"/>
      <c r="R22" s="701"/>
      <c r="S22" s="702"/>
      <c r="T22" s="701"/>
      <c r="U22" s="702"/>
      <c r="V22" s="701"/>
      <c r="W22" s="702"/>
      <c r="X22" s="1351"/>
      <c r="Y22" s="3735"/>
      <c r="Z22" s="1352"/>
      <c r="AA22" s="1349">
        <v>1</v>
      </c>
      <c r="AB22" s="1349">
        <v>1</v>
      </c>
      <c r="AC22" s="1349">
        <v>1</v>
      </c>
    </row>
    <row r="23" spans="1:29" ht="42.75">
      <c r="A23" s="375"/>
      <c r="B23" s="398" t="s">
        <v>1261</v>
      </c>
      <c r="C23" s="1896"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712"/>
      <c r="M23" s="2706"/>
      <c r="N23" s="2706"/>
      <c r="O23" s="2706"/>
      <c r="P23" s="3804"/>
      <c r="Q23" s="1348" t="str">
        <f>B23</f>
        <v>自然及人文环境</v>
      </c>
      <c r="R23" s="701" t="s">
        <v>18</v>
      </c>
      <c r="S23" s="702">
        <f>F23</f>
        <v>100</v>
      </c>
      <c r="T23" s="701" t="s">
        <v>18</v>
      </c>
      <c r="U23" s="702">
        <f>H23</f>
        <v>100</v>
      </c>
      <c r="V23" s="701" t="s">
        <v>18</v>
      </c>
      <c r="W23" s="702">
        <f>J23</f>
        <v>100</v>
      </c>
      <c r="X23" s="1351"/>
      <c r="Y23" s="3735"/>
      <c r="Z23" s="1352" t="str">
        <f>Q23</f>
        <v>自然及人文环境</v>
      </c>
      <c r="AA23" s="1349">
        <f>D23/F23</f>
        <v>1</v>
      </c>
      <c r="AB23" s="1349">
        <f>D23/H23</f>
        <v>1</v>
      </c>
      <c r="AC23" s="1349">
        <f>D23/J23</f>
        <v>1</v>
      </c>
    </row>
    <row r="24" spans="1:29" ht="15">
      <c r="A24" s="375"/>
      <c r="B24" s="403"/>
      <c r="C24" s="394"/>
      <c r="D24" s="395"/>
      <c r="E24" s="1893"/>
      <c r="F24" s="395"/>
      <c r="G24" s="1894"/>
      <c r="H24" s="395"/>
      <c r="I24" s="1894"/>
      <c r="J24" s="395"/>
      <c r="K24" s="1895"/>
      <c r="L24" s="2712"/>
      <c r="M24" s="2706"/>
      <c r="N24" s="2706"/>
      <c r="O24" s="2706"/>
      <c r="P24" s="3804"/>
      <c r="Q24" s="1348"/>
      <c r="R24" s="701"/>
      <c r="S24" s="702"/>
      <c r="T24" s="701"/>
      <c r="U24" s="702"/>
      <c r="V24" s="701"/>
      <c r="W24" s="702"/>
      <c r="X24" s="1351"/>
      <c r="Y24" s="3735"/>
      <c r="Z24" s="1352"/>
      <c r="AA24" s="1349">
        <v>1</v>
      </c>
      <c r="AB24" s="1349">
        <v>1</v>
      </c>
      <c r="AC24" s="1349">
        <v>1</v>
      </c>
    </row>
    <row r="25" spans="1:29" ht="15">
      <c r="A25" s="375"/>
      <c r="B25" s="371" t="s">
        <v>1692</v>
      </c>
      <c r="C25" s="407"/>
      <c r="D25" s="382">
        <v>100</v>
      </c>
      <c r="E25" s="1902"/>
      <c r="F25" s="382">
        <f>SUMIF(86:86,E25,87:87)-SUMIF(86:86,C25,87:87)+100</f>
        <v>100</v>
      </c>
      <c r="G25" s="1903"/>
      <c r="H25" s="382">
        <f>SUMIF(86:86,G25,87:87)-SUMIF(86:86,C25,87:87)+100</f>
        <v>100</v>
      </c>
      <c r="I25" s="1903"/>
      <c r="J25" s="382">
        <f>SUMIF(86:86,I25,87:87)-SUMIF(86:86,C25,87:87)+100</f>
        <v>100</v>
      </c>
      <c r="K25" s="373"/>
      <c r="L25" s="2712"/>
      <c r="M25" s="2706"/>
      <c r="N25" s="2706"/>
      <c r="O25" s="2706"/>
      <c r="P25" s="3804"/>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35"/>
      <c r="Z25" s="1352" t="str">
        <f>Q25</f>
        <v>楼层-1</v>
      </c>
      <c r="AA25" s="1349">
        <f t="shared" ref="AA25:AA46" si="15">D25/F25</f>
        <v>1</v>
      </c>
      <c r="AB25" s="1349">
        <f t="shared" ref="AB25:AB46" si="16">D25/H25</f>
        <v>1</v>
      </c>
      <c r="AC25" s="1349">
        <f t="shared" ref="AC25:AC46" si="17">D25/J25</f>
        <v>1</v>
      </c>
    </row>
    <row r="26" spans="1:29" ht="15">
      <c r="A26" s="375"/>
      <c r="B26" s="371" t="s">
        <v>1693</v>
      </c>
      <c r="C26" s="407"/>
      <c r="D26" s="382">
        <v>100</v>
      </c>
      <c r="E26" s="1902"/>
      <c r="F26" s="382">
        <f>SUMIF(88:88,E26,89:89)-SUMIF(88:88,C26,89:89)+100</f>
        <v>100</v>
      </c>
      <c r="G26" s="1903"/>
      <c r="H26" s="382">
        <f>SUMIF(88:88,G26,89:89)-SUMIF(88:88,C26,89:89)+100</f>
        <v>100</v>
      </c>
      <c r="I26" s="1903"/>
      <c r="J26" s="382">
        <f>SUMIF(88:88,I26,89:89)-SUMIF(88:88,C26,89:89)+100</f>
        <v>100</v>
      </c>
      <c r="K26" s="373"/>
      <c r="L26" s="2712"/>
      <c r="M26" s="2706"/>
      <c r="N26" s="2706"/>
      <c r="O26" s="2706"/>
      <c r="P26" s="3804"/>
      <c r="Q26" s="1348" t="str">
        <f t="shared" si="11"/>
        <v>朝向</v>
      </c>
      <c r="R26" s="701" t="s">
        <v>18</v>
      </c>
      <c r="S26" s="702">
        <f t="shared" si="12"/>
        <v>100</v>
      </c>
      <c r="T26" s="701" t="s">
        <v>18</v>
      </c>
      <c r="U26" s="702">
        <f t="shared" si="13"/>
        <v>100</v>
      </c>
      <c r="V26" s="701" t="s">
        <v>18</v>
      </c>
      <c r="W26" s="702">
        <f t="shared" si="14"/>
        <v>100</v>
      </c>
      <c r="X26" s="1351"/>
      <c r="Y26" s="3735"/>
      <c r="Z26" s="1352" t="str">
        <f>Q26</f>
        <v>朝向</v>
      </c>
      <c r="AA26" s="1349">
        <f t="shared" si="15"/>
        <v>1</v>
      </c>
      <c r="AB26" s="1349">
        <f t="shared" si="16"/>
        <v>1</v>
      </c>
      <c r="AC26" s="1349">
        <f t="shared" si="17"/>
        <v>1</v>
      </c>
    </row>
    <row r="27" spans="1:29" s="106" customFormat="1" ht="15">
      <c r="A27" s="378"/>
      <c r="B27" s="1129">
        <v>111</v>
      </c>
      <c r="C27" s="379"/>
      <c r="D27" s="409">
        <v>100</v>
      </c>
      <c r="E27" s="412"/>
      <c r="F27" s="409">
        <f>SUMIF(90:90,E27,91:91)-SUMIF(90:90,C27,91:91)+100</f>
        <v>100</v>
      </c>
      <c r="G27" s="410"/>
      <c r="H27" s="409">
        <f>SUMIF(90:90,G27,91:91)-SUMIF(90:90,C27,91:91)+100</f>
        <v>100</v>
      </c>
      <c r="I27" s="410"/>
      <c r="J27" s="409">
        <f>SUMIF(90:90,I27,91:91)-SUMIF(90:90,C27,91:91)+100</f>
        <v>100</v>
      </c>
      <c r="K27" s="1890"/>
      <c r="L27" s="2707"/>
      <c r="M27" s="2708"/>
      <c r="N27" s="2708"/>
      <c r="O27" s="2708"/>
      <c r="P27" s="3804"/>
      <c r="Q27" s="1339">
        <f t="shared" si="11"/>
        <v>111</v>
      </c>
      <c r="R27" s="697" t="s">
        <v>18</v>
      </c>
      <c r="S27" s="698">
        <f t="shared" si="12"/>
        <v>100</v>
      </c>
      <c r="T27" s="697" t="s">
        <v>18</v>
      </c>
      <c r="U27" s="698">
        <f t="shared" si="13"/>
        <v>100</v>
      </c>
      <c r="V27" s="697" t="s">
        <v>18</v>
      </c>
      <c r="W27" s="698">
        <f t="shared" si="14"/>
        <v>100</v>
      </c>
      <c r="X27" s="699"/>
      <c r="Y27" s="3735"/>
      <c r="Z27" s="52">
        <f>Q27</f>
        <v>111</v>
      </c>
      <c r="AA27" s="1349">
        <f t="shared" si="15"/>
        <v>1</v>
      </c>
      <c r="AB27" s="1349">
        <f t="shared" si="16"/>
        <v>1</v>
      </c>
      <c r="AC27" s="1349">
        <f t="shared" si="17"/>
        <v>1</v>
      </c>
    </row>
    <row r="28" spans="1:29" ht="15">
      <c r="A28" s="375"/>
      <c r="B28" s="1129">
        <v>111</v>
      </c>
      <c r="C28" s="381"/>
      <c r="D28" s="382">
        <v>100</v>
      </c>
      <c r="E28" s="381"/>
      <c r="F28" s="382">
        <f>SUMIF(92:92,E28,93:93)-SUMIF(92:92,C28,93:93)+100</f>
        <v>100</v>
      </c>
      <c r="G28" s="1904"/>
      <c r="H28" s="382">
        <f>SUMIF(92:92,G28,93:93)-SUMIF(92:92,C28,93:93)+100</f>
        <v>100</v>
      </c>
      <c r="I28" s="381"/>
      <c r="J28" s="382">
        <f>SUMIF(92:92,I28,93:93)-SUMIF(92:92,C28,93:93)+100</f>
        <v>100</v>
      </c>
      <c r="K28" s="1890"/>
      <c r="L28" s="2712"/>
      <c r="M28" s="2706"/>
      <c r="N28" s="2706"/>
      <c r="O28" s="2706"/>
      <c r="P28" s="3804"/>
      <c r="Q28" s="1348">
        <f t="shared" si="11"/>
        <v>111</v>
      </c>
      <c r="R28" s="701" t="s">
        <v>18</v>
      </c>
      <c r="S28" s="702">
        <f t="shared" si="12"/>
        <v>100</v>
      </c>
      <c r="T28" s="701" t="s">
        <v>18</v>
      </c>
      <c r="U28" s="702">
        <f t="shared" si="13"/>
        <v>100</v>
      </c>
      <c r="V28" s="701" t="s">
        <v>18</v>
      </c>
      <c r="W28" s="702">
        <f t="shared" si="14"/>
        <v>100</v>
      </c>
      <c r="X28" s="1351"/>
      <c r="Y28" s="3735"/>
      <c r="Z28" s="1352">
        <f t="shared" ref="Z28:Z46" si="18">Q28</f>
        <v>111</v>
      </c>
      <c r="AA28" s="1349">
        <f t="shared" si="15"/>
        <v>1</v>
      </c>
      <c r="AB28" s="1349">
        <f t="shared" si="16"/>
        <v>1</v>
      </c>
      <c r="AC28" s="1349">
        <f t="shared" si="17"/>
        <v>1</v>
      </c>
    </row>
    <row r="29" spans="1:29" ht="15">
      <c r="A29" s="375"/>
      <c r="B29" s="1129">
        <v>111</v>
      </c>
      <c r="C29" s="381"/>
      <c r="D29" s="382">
        <v>100</v>
      </c>
      <c r="E29" s="381"/>
      <c r="F29" s="382">
        <f>SUMIF(94:94,E29,95:95)-SUMIF(94:94,C29,95:95)+100</f>
        <v>100</v>
      </c>
      <c r="G29" s="1904"/>
      <c r="H29" s="382">
        <f>SUMIF(94:94,G29,95:95)-SUMIF(94:94,C29,95:95)+100</f>
        <v>100</v>
      </c>
      <c r="I29" s="381"/>
      <c r="J29" s="382">
        <f>SUMIF(94:94,I29,95:95)-SUMIF(94:94,C29,95:95)+100</f>
        <v>100</v>
      </c>
      <c r="K29" s="1890"/>
      <c r="L29" s="2712"/>
      <c r="M29" s="2706"/>
      <c r="N29" s="2706"/>
      <c r="O29" s="2706"/>
      <c r="P29" s="3804"/>
      <c r="Q29" s="1348">
        <f t="shared" si="11"/>
        <v>111</v>
      </c>
      <c r="R29" s="701" t="s">
        <v>18</v>
      </c>
      <c r="S29" s="702">
        <f t="shared" si="12"/>
        <v>100</v>
      </c>
      <c r="T29" s="701" t="s">
        <v>18</v>
      </c>
      <c r="U29" s="702">
        <f t="shared" si="13"/>
        <v>100</v>
      </c>
      <c r="V29" s="701" t="s">
        <v>18</v>
      </c>
      <c r="W29" s="702">
        <f t="shared" si="14"/>
        <v>100</v>
      </c>
      <c r="X29" s="1351"/>
      <c r="Y29" s="3735"/>
      <c r="Z29" s="1352">
        <f t="shared" si="18"/>
        <v>111</v>
      </c>
      <c r="AA29" s="1349">
        <f t="shared" si="15"/>
        <v>1</v>
      </c>
      <c r="AB29" s="1349">
        <f t="shared" si="16"/>
        <v>1</v>
      </c>
      <c r="AC29" s="1349">
        <f t="shared" si="17"/>
        <v>1</v>
      </c>
    </row>
    <row r="30" spans="1:29" ht="15">
      <c r="A30" s="375"/>
      <c r="B30" s="1129">
        <v>111</v>
      </c>
      <c r="C30" s="381"/>
      <c r="D30" s="382">
        <v>100</v>
      </c>
      <c r="E30" s="381"/>
      <c r="F30" s="382">
        <f>SUMIF(96:96,E30,97:97)-SUMIF(96:96,C30,97:97)+100</f>
        <v>100</v>
      </c>
      <c r="G30" s="1904"/>
      <c r="H30" s="382">
        <f>SUMIF(96:96,G30,97:97)-SUMIF(96:96,C30,97:97)+100</f>
        <v>100</v>
      </c>
      <c r="I30" s="381"/>
      <c r="J30" s="382">
        <f>SUMIF(96:96,I30,97:97)-SUMIF(96:96,C30,97:97)+100</f>
        <v>100</v>
      </c>
      <c r="K30" s="1890"/>
      <c r="L30" s="2712"/>
      <c r="M30" s="2706"/>
      <c r="N30" s="2706"/>
      <c r="O30" s="2706"/>
      <c r="P30" s="3804"/>
      <c r="Q30" s="1348">
        <f t="shared" si="11"/>
        <v>111</v>
      </c>
      <c r="R30" s="701" t="s">
        <v>18</v>
      </c>
      <c r="S30" s="702">
        <f t="shared" si="12"/>
        <v>100</v>
      </c>
      <c r="T30" s="701" t="s">
        <v>18</v>
      </c>
      <c r="U30" s="702">
        <f t="shared" si="13"/>
        <v>100</v>
      </c>
      <c r="V30" s="701" t="s">
        <v>18</v>
      </c>
      <c r="W30" s="702">
        <f t="shared" si="14"/>
        <v>100</v>
      </c>
      <c r="X30" s="1351"/>
      <c r="Y30" s="3735"/>
      <c r="Z30" s="1352">
        <f t="shared" si="18"/>
        <v>111</v>
      </c>
      <c r="AA30" s="1349">
        <f t="shared" si="15"/>
        <v>1</v>
      </c>
      <c r="AB30" s="1349">
        <f t="shared" si="16"/>
        <v>1</v>
      </c>
      <c r="AC30" s="1349">
        <f t="shared" si="17"/>
        <v>1</v>
      </c>
    </row>
    <row r="31" spans="1:29" ht="15.75" thickBot="1">
      <c r="A31" s="383"/>
      <c r="B31" s="1129">
        <v>111</v>
      </c>
      <c r="C31" s="384"/>
      <c r="D31" s="385">
        <v>100</v>
      </c>
      <c r="E31" s="384"/>
      <c r="F31" s="385">
        <f>SUMIF(98:98,E31,99:99)-SUMIF(98:98,C31,99:99)+100</f>
        <v>100</v>
      </c>
      <c r="G31" s="1905"/>
      <c r="H31" s="385">
        <f>SUMIF(98:98,G31,99:99)-SUMIF(98:98,C31,99:99)+100</f>
        <v>100</v>
      </c>
      <c r="I31" s="384"/>
      <c r="J31" s="385">
        <f>SUMIF(98:98,I31,99:99)-SUMIF(98:98,C31,99:99)+100</f>
        <v>100</v>
      </c>
      <c r="K31" s="1890"/>
      <c r="L31" s="2712"/>
      <c r="M31" s="2706"/>
      <c r="N31" s="2706"/>
      <c r="O31" s="2706"/>
      <c r="P31" s="3804"/>
      <c r="Q31" s="1348">
        <f t="shared" si="11"/>
        <v>111</v>
      </c>
      <c r="R31" s="701" t="s">
        <v>18</v>
      </c>
      <c r="S31" s="702">
        <f t="shared" si="12"/>
        <v>100</v>
      </c>
      <c r="T31" s="701" t="s">
        <v>18</v>
      </c>
      <c r="U31" s="702">
        <f t="shared" si="13"/>
        <v>100</v>
      </c>
      <c r="V31" s="701" t="s">
        <v>18</v>
      </c>
      <c r="W31" s="702">
        <f t="shared" si="14"/>
        <v>100</v>
      </c>
      <c r="X31" s="1351"/>
      <c r="Y31" s="3735"/>
      <c r="Z31" s="1352">
        <f t="shared" si="18"/>
        <v>111</v>
      </c>
      <c r="AA31" s="1349">
        <f t="shared" si="15"/>
        <v>1</v>
      </c>
      <c r="AB31" s="1349">
        <f t="shared" si="16"/>
        <v>1</v>
      </c>
      <c r="AC31" s="1349">
        <f t="shared" si="17"/>
        <v>1</v>
      </c>
    </row>
    <row r="32" spans="1:29" ht="15">
      <c r="A32" s="387" t="s">
        <v>1694</v>
      </c>
      <c r="B32" s="63" t="s">
        <v>1695</v>
      </c>
      <c r="C32" s="1906"/>
      <c r="D32" s="414">
        <v>100</v>
      </c>
      <c r="E32" s="1907"/>
      <c r="F32" s="408">
        <f>SUMIF(100:100,E32,101:101)-SUMIF(100:100,C32,101:101)+100</f>
        <v>100</v>
      </c>
      <c r="G32" s="1906"/>
      <c r="H32" s="414">
        <f>SUMIF(100:100,G32,101:101)-SUMIF(100:100,C32,101:101)+100</f>
        <v>100</v>
      </c>
      <c r="I32" s="1907"/>
      <c r="J32" s="382">
        <f>SUMIF(100:100,I32,101:101)-SUMIF(100:100,C32,101:101)+100</f>
        <v>100</v>
      </c>
      <c r="K32" s="373"/>
      <c r="L32" s="2712"/>
      <c r="M32" s="2706"/>
      <c r="N32" s="2706"/>
      <c r="O32" s="2706"/>
      <c r="P32" s="3799" t="s">
        <v>1696</v>
      </c>
      <c r="Q32" s="1348" t="str">
        <f t="shared" si="11"/>
        <v>建筑类型</v>
      </c>
      <c r="R32" s="701" t="s">
        <v>18</v>
      </c>
      <c r="S32" s="702">
        <f t="shared" si="12"/>
        <v>100</v>
      </c>
      <c r="T32" s="701" t="s">
        <v>18</v>
      </c>
      <c r="U32" s="702">
        <f t="shared" si="13"/>
        <v>100</v>
      </c>
      <c r="V32" s="701" t="s">
        <v>18</v>
      </c>
      <c r="W32" s="702">
        <f t="shared" si="14"/>
        <v>100</v>
      </c>
      <c r="X32" s="1351"/>
      <c r="Y32" s="3737" t="s">
        <v>1696</v>
      </c>
      <c r="Z32" s="1352" t="str">
        <f t="shared" si="18"/>
        <v>建筑类型</v>
      </c>
      <c r="AA32" s="1349">
        <f t="shared" si="15"/>
        <v>1</v>
      </c>
      <c r="AB32" s="1349">
        <f t="shared" si="16"/>
        <v>1</v>
      </c>
      <c r="AC32" s="1349">
        <f t="shared" si="17"/>
        <v>1</v>
      </c>
    </row>
    <row r="33" spans="1:29" s="418" customFormat="1" ht="15">
      <c r="A33" s="415"/>
      <c r="B33" s="371" t="s">
        <v>1697</v>
      </c>
      <c r="C33" s="416"/>
      <c r="D33" s="123">
        <v>100</v>
      </c>
      <c r="E33" s="377"/>
      <c r="F33" s="372" t="e">
        <f>LOOKUP(E33,103:103,104:104)-LOOKUP(C33,103:103,104:104)+100</f>
        <v>#N/A</v>
      </c>
      <c r="G33" s="376"/>
      <c r="H33" s="123" t="e">
        <f>LOOKUP(G33,103:103,104:104)-LOOKUP(C33,103:103,104:104)+100</f>
        <v>#N/A</v>
      </c>
      <c r="I33" s="377"/>
      <c r="J33" s="123" t="e">
        <f>LOOKUP(I33,103:103,104:104)-LOOKUP(C33,103:103,104:104)+100</f>
        <v>#N/A</v>
      </c>
      <c r="K33" s="1890"/>
      <c r="L33" s="2711"/>
      <c r="M33" s="2713"/>
      <c r="N33" s="2713"/>
      <c r="O33" s="2713"/>
      <c r="P33" s="3800"/>
      <c r="Q33" s="703" t="str">
        <f t="shared" si="11"/>
        <v>项目建筑规模</v>
      </c>
      <c r="R33" s="704" t="s">
        <v>18</v>
      </c>
      <c r="S33" s="705" t="e">
        <f t="shared" si="12"/>
        <v>#N/A</v>
      </c>
      <c r="T33" s="704" t="s">
        <v>18</v>
      </c>
      <c r="U33" s="705" t="e">
        <f t="shared" si="13"/>
        <v>#N/A</v>
      </c>
      <c r="V33" s="704" t="s">
        <v>18</v>
      </c>
      <c r="W33" s="705" t="e">
        <f t="shared" si="14"/>
        <v>#N/A</v>
      </c>
      <c r="X33" s="706"/>
      <c r="Y33" s="3737"/>
      <c r="Z33" s="707" t="str">
        <f t="shared" si="18"/>
        <v>项目建筑规模</v>
      </c>
      <c r="AA33" s="1349" t="e">
        <f t="shared" si="15"/>
        <v>#N/A</v>
      </c>
      <c r="AB33" s="1349" t="e">
        <f t="shared" si="16"/>
        <v>#N/A</v>
      </c>
      <c r="AC33" s="1349" t="e">
        <f t="shared" si="17"/>
        <v>#N/A</v>
      </c>
    </row>
    <row r="34" spans="1:29" ht="15">
      <c r="A34" s="419"/>
      <c r="B34" s="371" t="s">
        <v>1698</v>
      </c>
      <c r="C34" s="1908"/>
      <c r="D34" s="382">
        <v>100</v>
      </c>
      <c r="E34" s="1909"/>
      <c r="F34" s="408">
        <f>SUMIF(105:105,E34,106:106)-SUMIF(105:105,C34,106:106)+100</f>
        <v>100</v>
      </c>
      <c r="G34" s="1908"/>
      <c r="H34" s="382">
        <f>SUMIF(105:105,G34,106:106)-SUMIF(105:105,C34,106:106)+100</f>
        <v>100</v>
      </c>
      <c r="I34" s="1909"/>
      <c r="J34" s="382">
        <f>SUMIF(105:105,I34,106:106)-SUMIF(105:105,C34,106:106)+100</f>
        <v>100</v>
      </c>
      <c r="K34" s="373"/>
      <c r="L34" s="2712"/>
      <c r="M34" s="2706"/>
      <c r="N34" s="2706"/>
      <c r="O34" s="2706"/>
      <c r="P34" s="3800"/>
      <c r="Q34" s="1348" t="str">
        <f t="shared" si="11"/>
        <v>建筑结构</v>
      </c>
      <c r="R34" s="701" t="s">
        <v>18</v>
      </c>
      <c r="S34" s="702">
        <f t="shared" si="12"/>
        <v>100</v>
      </c>
      <c r="T34" s="701" t="s">
        <v>18</v>
      </c>
      <c r="U34" s="702">
        <f t="shared" si="13"/>
        <v>100</v>
      </c>
      <c r="V34" s="701" t="s">
        <v>18</v>
      </c>
      <c r="W34" s="702">
        <f t="shared" si="14"/>
        <v>100</v>
      </c>
      <c r="X34" s="1351"/>
      <c r="Y34" s="3737"/>
      <c r="Z34" s="1352" t="str">
        <f t="shared" si="18"/>
        <v>建筑结构</v>
      </c>
      <c r="AA34" s="1349">
        <f t="shared" si="15"/>
        <v>1</v>
      </c>
      <c r="AB34" s="1349">
        <f t="shared" si="16"/>
        <v>1</v>
      </c>
      <c r="AC34" s="1349">
        <f t="shared" si="17"/>
        <v>1</v>
      </c>
    </row>
    <row r="35" spans="1:29" ht="15">
      <c r="A35" s="419"/>
      <c r="B35" s="371" t="s">
        <v>1699</v>
      </c>
      <c r="C35" s="1902"/>
      <c r="D35" s="382">
        <v>100</v>
      </c>
      <c r="E35" s="1903"/>
      <c r="F35" s="408">
        <f>SUMIF(107:107,E35,108:108)-SUMIF(107:107,C35,108:108)+100</f>
        <v>100</v>
      </c>
      <c r="G35" s="1902"/>
      <c r="H35" s="382">
        <f>SUMIF(107:107,G35,108:108)-SUMIF(107:107,C35,108:108)+100</f>
        <v>100</v>
      </c>
      <c r="I35" s="1903"/>
      <c r="J35" s="382">
        <f>SUMIF(107:107,I35,108:108)-SUMIF(107:107,C35,108:108)+100</f>
        <v>100</v>
      </c>
      <c r="K35" s="373"/>
      <c r="L35" s="2712"/>
      <c r="M35" s="2706"/>
      <c r="N35" s="2706"/>
      <c r="O35" s="2706"/>
      <c r="P35" s="3800"/>
      <c r="Q35" s="1348" t="str">
        <f t="shared" si="11"/>
        <v>建筑品质</v>
      </c>
      <c r="R35" s="701" t="s">
        <v>18</v>
      </c>
      <c r="S35" s="702">
        <f t="shared" si="12"/>
        <v>100</v>
      </c>
      <c r="T35" s="701" t="s">
        <v>18</v>
      </c>
      <c r="U35" s="702">
        <f t="shared" si="13"/>
        <v>100</v>
      </c>
      <c r="V35" s="701" t="s">
        <v>18</v>
      </c>
      <c r="W35" s="702">
        <f t="shared" si="14"/>
        <v>100</v>
      </c>
      <c r="X35" s="1351"/>
      <c r="Y35" s="3737"/>
      <c r="Z35" s="1352" t="str">
        <f t="shared" si="18"/>
        <v>建筑品质</v>
      </c>
      <c r="AA35" s="1349">
        <f t="shared" si="15"/>
        <v>1</v>
      </c>
      <c r="AB35" s="1349">
        <f t="shared" si="16"/>
        <v>1</v>
      </c>
      <c r="AC35" s="1349">
        <f t="shared" si="17"/>
        <v>1</v>
      </c>
    </row>
    <row r="36" spans="1:29" ht="15">
      <c r="A36" s="419"/>
      <c r="B36" s="371" t="s">
        <v>1700</v>
      </c>
      <c r="C36" s="1902"/>
      <c r="D36" s="382">
        <v>100</v>
      </c>
      <c r="E36" s="1903"/>
      <c r="F36" s="408">
        <f>SUMIF(109:109,E36,110:110)-SUMIF(109:109,C36,110:110)+100</f>
        <v>100</v>
      </c>
      <c r="G36" s="1902"/>
      <c r="H36" s="382">
        <f>SUMIF(109:109,G36,110:110)-SUMIF(109:109,C36,110:110)+100</f>
        <v>100</v>
      </c>
      <c r="I36" s="1903"/>
      <c r="J36" s="382">
        <f>SUMIF(109:109,I36,110:110)-SUMIF(109:109,C36,110:110)+100</f>
        <v>100</v>
      </c>
      <c r="K36" s="373"/>
      <c r="L36" s="2712"/>
      <c r="M36" s="2706"/>
      <c r="N36" s="2706"/>
      <c r="O36" s="2706"/>
      <c r="P36" s="3800"/>
      <c r="Q36" s="1348" t="str">
        <f t="shared" si="11"/>
        <v>公共部分装修</v>
      </c>
      <c r="R36" s="701" t="s">
        <v>18</v>
      </c>
      <c r="S36" s="702">
        <f t="shared" si="12"/>
        <v>100</v>
      </c>
      <c r="T36" s="701" t="s">
        <v>18</v>
      </c>
      <c r="U36" s="702">
        <f t="shared" si="13"/>
        <v>100</v>
      </c>
      <c r="V36" s="701" t="s">
        <v>18</v>
      </c>
      <c r="W36" s="702">
        <f t="shared" si="14"/>
        <v>100</v>
      </c>
      <c r="X36" s="1351"/>
      <c r="Y36" s="3737"/>
      <c r="Z36" s="1352" t="str">
        <f t="shared" si="18"/>
        <v>公共部分装修</v>
      </c>
      <c r="AA36" s="1349">
        <f t="shared" si="15"/>
        <v>1</v>
      </c>
      <c r="AB36" s="1349">
        <f t="shared" si="16"/>
        <v>1</v>
      </c>
      <c r="AC36" s="1349">
        <f t="shared" si="17"/>
        <v>1</v>
      </c>
    </row>
    <row r="37" spans="1:29" s="106" customFormat="1" ht="15">
      <c r="A37" s="420"/>
      <c r="B37" s="371" t="s">
        <v>1701</v>
      </c>
      <c r="C37" s="421"/>
      <c r="D37" s="123">
        <v>100</v>
      </c>
      <c r="E37" s="421"/>
      <c r="F37" s="372" t="e">
        <f>LOOKUP(E37,112:112,113:113)-LOOKUP(C37,112:112,113:113)+100</f>
        <v>#N/A</v>
      </c>
      <c r="G37" s="423"/>
      <c r="H37" s="123" t="e">
        <f>LOOKUP(G37,112:112,113:113)-LOOKUP(C37,112:112,113:113)+100</f>
        <v>#N/A</v>
      </c>
      <c r="I37" s="422"/>
      <c r="J37" s="123" t="e">
        <f>LOOKUP(I37,112:112,113:113)-LOOKUP(C37,112:112,113:113)+100</f>
        <v>#N/A</v>
      </c>
      <c r="K37" s="373"/>
      <c r="L37" s="2707"/>
      <c r="M37" s="2708"/>
      <c r="N37" s="2708"/>
      <c r="O37" s="2708"/>
      <c r="P37" s="3800"/>
      <c r="Q37" s="1339" t="str">
        <f t="shared" si="11"/>
        <v>成新度</v>
      </c>
      <c r="R37" s="697" t="s">
        <v>18</v>
      </c>
      <c r="S37" s="698" t="e">
        <f t="shared" si="12"/>
        <v>#N/A</v>
      </c>
      <c r="T37" s="697" t="s">
        <v>18</v>
      </c>
      <c r="U37" s="698" t="e">
        <f t="shared" si="13"/>
        <v>#N/A</v>
      </c>
      <c r="V37" s="697" t="s">
        <v>18</v>
      </c>
      <c r="W37" s="698" t="e">
        <f t="shared" si="14"/>
        <v>#N/A</v>
      </c>
      <c r="X37" s="699"/>
      <c r="Y37" s="3737"/>
      <c r="Z37" s="52" t="str">
        <f t="shared" si="18"/>
        <v>成新度</v>
      </c>
      <c r="AA37" s="700" t="e">
        <f t="shared" si="15"/>
        <v>#N/A</v>
      </c>
      <c r="AB37" s="700" t="e">
        <f t="shared" si="16"/>
        <v>#N/A</v>
      </c>
      <c r="AC37" s="700" t="e">
        <f t="shared" si="17"/>
        <v>#N/A</v>
      </c>
    </row>
    <row r="38" spans="1:29" ht="15">
      <c r="A38" s="419"/>
      <c r="B38" s="371" t="s">
        <v>1702</v>
      </c>
      <c r="C38" s="1902"/>
      <c r="D38" s="382">
        <v>100</v>
      </c>
      <c r="E38" s="1903"/>
      <c r="F38" s="408">
        <f>SUMIF(114:114,E38,115:115)-SUMIF(114:114,C38,115:115)+100</f>
        <v>100</v>
      </c>
      <c r="G38" s="1902"/>
      <c r="H38" s="382">
        <f>SUMIF(114:114,G38,115:115)-SUMIF(114:114,C38,115:115)+100</f>
        <v>100</v>
      </c>
      <c r="I38" s="1903"/>
      <c r="J38" s="382">
        <f>SUMIF(114:114,I38,115:115)-SUMIF(114:114,C38,115:115)+100</f>
        <v>100</v>
      </c>
      <c r="K38" s="373"/>
      <c r="L38" s="2712"/>
      <c r="M38" s="2706"/>
      <c r="N38" s="2706"/>
      <c r="O38" s="2706"/>
      <c r="P38" s="3800" t="s">
        <v>1696</v>
      </c>
      <c r="Q38" s="1348" t="str">
        <f t="shared" si="11"/>
        <v>物业管理</v>
      </c>
      <c r="R38" s="701" t="s">
        <v>18</v>
      </c>
      <c r="S38" s="702">
        <f t="shared" si="12"/>
        <v>100</v>
      </c>
      <c r="T38" s="701" t="s">
        <v>18</v>
      </c>
      <c r="U38" s="702">
        <f t="shared" si="13"/>
        <v>100</v>
      </c>
      <c r="V38" s="701" t="s">
        <v>18</v>
      </c>
      <c r="W38" s="702">
        <f t="shared" si="14"/>
        <v>100</v>
      </c>
      <c r="X38" s="1351"/>
      <c r="Y38" s="3737" t="s">
        <v>1696</v>
      </c>
      <c r="Z38" s="1352" t="str">
        <f t="shared" si="18"/>
        <v>物业管理</v>
      </c>
      <c r="AA38" s="1349">
        <f t="shared" si="15"/>
        <v>1</v>
      </c>
      <c r="AB38" s="1349">
        <f t="shared" si="16"/>
        <v>1</v>
      </c>
      <c r="AC38" s="1349">
        <f t="shared" si="17"/>
        <v>1</v>
      </c>
    </row>
    <row r="39" spans="1:29" ht="15">
      <c r="A39" s="419"/>
      <c r="B39" s="371" t="s">
        <v>1703</v>
      </c>
      <c r="C39" s="1902"/>
      <c r="D39" s="382">
        <v>100</v>
      </c>
      <c r="E39" s="1903"/>
      <c r="F39" s="408">
        <f>SUMIF(116:116,E39,117:117)-SUMIF(116:116,C39,117:117)+100</f>
        <v>100</v>
      </c>
      <c r="G39" s="1902"/>
      <c r="H39" s="382">
        <f>SUMIF(116:116,G39,117:117)-SUMIF(116:116,C39,117:117)+100</f>
        <v>100</v>
      </c>
      <c r="I39" s="1903"/>
      <c r="J39" s="382">
        <f>SUMIF(116:116,I39,117:117)-SUMIF(116:116,C39,117:117)+100</f>
        <v>100</v>
      </c>
      <c r="K39" s="373"/>
      <c r="L39" s="2712"/>
      <c r="M39" s="2706"/>
      <c r="N39" s="2706"/>
      <c r="O39" s="2706"/>
      <c r="P39" s="3800"/>
      <c r="Q39" s="1348" t="str">
        <f t="shared" si="11"/>
        <v>市政基础设施</v>
      </c>
      <c r="R39" s="701" t="s">
        <v>18</v>
      </c>
      <c r="S39" s="702">
        <f t="shared" si="12"/>
        <v>100</v>
      </c>
      <c r="T39" s="701" t="s">
        <v>18</v>
      </c>
      <c r="U39" s="702">
        <f t="shared" si="13"/>
        <v>100</v>
      </c>
      <c r="V39" s="701" t="s">
        <v>18</v>
      </c>
      <c r="W39" s="702">
        <f t="shared" si="14"/>
        <v>100</v>
      </c>
      <c r="X39" s="1351"/>
      <c r="Y39" s="3737"/>
      <c r="Z39" s="1352" t="str">
        <f t="shared" si="18"/>
        <v>市政基础设施</v>
      </c>
      <c r="AA39" s="1349">
        <f t="shared" si="15"/>
        <v>1</v>
      </c>
      <c r="AB39" s="1349">
        <f t="shared" si="16"/>
        <v>1</v>
      </c>
      <c r="AC39" s="1349">
        <f t="shared" si="17"/>
        <v>1</v>
      </c>
    </row>
    <row r="40" spans="1:29" ht="15">
      <c r="A40" s="419"/>
      <c r="B40" s="371" t="s">
        <v>1704</v>
      </c>
      <c r="C40" s="1902"/>
      <c r="D40" s="382">
        <v>100</v>
      </c>
      <c r="E40" s="1903"/>
      <c r="F40" s="408">
        <f>SUMIF(118:118,E40,119:119)-SUMIF(118:118,C40,119:119)+100</f>
        <v>100</v>
      </c>
      <c r="G40" s="1902"/>
      <c r="H40" s="382">
        <f>SUMIF(118:118,G40,119:119)-SUMIF(118:118,C40,119:119)+100</f>
        <v>100</v>
      </c>
      <c r="I40" s="1903"/>
      <c r="J40" s="382">
        <f>SUMIF(118:118,I40,119:119)-SUMIF(118:118,C40,119:119)+100</f>
        <v>100</v>
      </c>
      <c r="K40" s="373"/>
      <c r="L40" s="2712"/>
      <c r="M40" s="2706"/>
      <c r="N40" s="2706"/>
      <c r="O40" s="2706"/>
      <c r="P40" s="3800"/>
      <c r="Q40" s="1348" t="str">
        <f t="shared" si="11"/>
        <v>房型</v>
      </c>
      <c r="R40" s="701" t="s">
        <v>18</v>
      </c>
      <c r="S40" s="702">
        <f t="shared" si="12"/>
        <v>100</v>
      </c>
      <c r="T40" s="701" t="s">
        <v>18</v>
      </c>
      <c r="U40" s="702">
        <f t="shared" si="13"/>
        <v>100</v>
      </c>
      <c r="V40" s="701" t="s">
        <v>18</v>
      </c>
      <c r="W40" s="702">
        <f t="shared" si="14"/>
        <v>100</v>
      </c>
      <c r="X40" s="1351"/>
      <c r="Y40" s="3737"/>
      <c r="Z40" s="1352" t="str">
        <f t="shared" si="18"/>
        <v>房型</v>
      </c>
      <c r="AA40" s="1349">
        <f t="shared" si="15"/>
        <v>1</v>
      </c>
      <c r="AB40" s="1349">
        <f t="shared" si="16"/>
        <v>1</v>
      </c>
      <c r="AC40" s="1349">
        <f t="shared" si="17"/>
        <v>1</v>
      </c>
    </row>
    <row r="41" spans="1:29" s="418" customFormat="1" ht="28.5">
      <c r="A41" s="415"/>
      <c r="B41" s="371" t="s">
        <v>1705</v>
      </c>
      <c r="C41" s="416"/>
      <c r="D41" s="123">
        <v>100</v>
      </c>
      <c r="E41" s="377"/>
      <c r="F41" s="372">
        <f>SUMIF(120:120,E41,121:121)-SUMIF(120:120,C41,121:121)+100</f>
        <v>100</v>
      </c>
      <c r="G41" s="376"/>
      <c r="H41" s="123">
        <f>SUMIF(120:120,G41,121:121)-SUMIF(120:120,C41,121:121)+100</f>
        <v>100</v>
      </c>
      <c r="I41" s="424"/>
      <c r="J41" s="382">
        <f>SUMIF(120:120,I41,121:121)-SUMIF(120:120,C41,121:121)+100</f>
        <v>100</v>
      </c>
      <c r="K41" s="1890"/>
      <c r="L41" s="2711"/>
      <c r="M41" s="2713"/>
      <c r="N41" s="2713"/>
      <c r="O41" s="2713"/>
      <c r="P41" s="3800"/>
      <c r="Q41" s="703" t="str">
        <f t="shared" si="11"/>
        <v>单套/主力户型建筑面积</v>
      </c>
      <c r="R41" s="704" t="s">
        <v>18</v>
      </c>
      <c r="S41" s="705">
        <f t="shared" si="12"/>
        <v>100</v>
      </c>
      <c r="T41" s="704" t="s">
        <v>18</v>
      </c>
      <c r="U41" s="705">
        <f t="shared" si="13"/>
        <v>100</v>
      </c>
      <c r="V41" s="704" t="s">
        <v>18</v>
      </c>
      <c r="W41" s="705">
        <f t="shared" si="14"/>
        <v>100</v>
      </c>
      <c r="X41" s="706"/>
      <c r="Y41" s="3737"/>
      <c r="Z41" s="707" t="str">
        <f t="shared" si="18"/>
        <v>单套/主力户型建筑面积</v>
      </c>
      <c r="AA41" s="1349">
        <f t="shared" si="15"/>
        <v>1</v>
      </c>
      <c r="AB41" s="1349">
        <f t="shared" si="16"/>
        <v>1</v>
      </c>
      <c r="AC41" s="1349">
        <f t="shared" si="17"/>
        <v>1</v>
      </c>
    </row>
    <row r="42" spans="1:29" ht="15">
      <c r="A42" s="419"/>
      <c r="B42" s="371" t="s">
        <v>1706</v>
      </c>
      <c r="C42" s="1902"/>
      <c r="D42" s="382">
        <v>100</v>
      </c>
      <c r="E42" s="1903"/>
      <c r="F42" s="408">
        <f>SUMIF(122:122,E42,123:123)-SUMIF(122:122,C42,123:123)+100</f>
        <v>100</v>
      </c>
      <c r="G42" s="1902"/>
      <c r="H42" s="382">
        <f>SUMIF(122:122,G42,123:123)-SUMIF(122:122,C42,123:123)+100</f>
        <v>100</v>
      </c>
      <c r="I42" s="1903"/>
      <c r="J42" s="382">
        <f>SUMIF(122:122,I42,123:123)-SUMIF(122:122,C42,123:123)+100</f>
        <v>100</v>
      </c>
      <c r="K42" s="373"/>
      <c r="L42" s="2712"/>
      <c r="M42" s="2706"/>
      <c r="N42" s="2706"/>
      <c r="O42" s="2706"/>
      <c r="P42" s="3800"/>
      <c r="Q42" s="1348" t="str">
        <f t="shared" si="11"/>
        <v>内部装修</v>
      </c>
      <c r="R42" s="701" t="s">
        <v>18</v>
      </c>
      <c r="S42" s="702">
        <f t="shared" si="12"/>
        <v>100</v>
      </c>
      <c r="T42" s="701" t="s">
        <v>18</v>
      </c>
      <c r="U42" s="702">
        <f t="shared" si="13"/>
        <v>100</v>
      </c>
      <c r="V42" s="701" t="s">
        <v>18</v>
      </c>
      <c r="W42" s="702">
        <f t="shared" si="14"/>
        <v>100</v>
      </c>
      <c r="X42" s="1351"/>
      <c r="Y42" s="3737"/>
      <c r="Z42" s="1352" t="str">
        <f t="shared" si="18"/>
        <v>内部装修</v>
      </c>
      <c r="AA42" s="1349">
        <f t="shared" si="15"/>
        <v>1</v>
      </c>
      <c r="AB42" s="1349">
        <f t="shared" si="16"/>
        <v>1</v>
      </c>
      <c r="AC42" s="1349">
        <f t="shared" si="17"/>
        <v>1</v>
      </c>
    </row>
    <row r="43" spans="1:29" ht="15">
      <c r="A43" s="419"/>
      <c r="B43" s="371" t="s">
        <v>1707</v>
      </c>
      <c r="C43" s="1902"/>
      <c r="D43" s="382">
        <v>100</v>
      </c>
      <c r="E43" s="1903"/>
      <c r="F43" s="408">
        <f>SUMIF(124:124,E43,125:125)-SUMIF(124:124,C43,125:125)+100</f>
        <v>100</v>
      </c>
      <c r="G43" s="1902"/>
      <c r="H43" s="382">
        <f>SUMIF(124:124,G43,125:125)-SUMIF(124:124,C43,125:125)+100</f>
        <v>100</v>
      </c>
      <c r="I43" s="1903"/>
      <c r="J43" s="382">
        <f>SUMIF(124:124,I43,125:125)-SUMIF(124:124,C43,125:125)+100</f>
        <v>100</v>
      </c>
      <c r="K43" s="373"/>
      <c r="L43" s="2712"/>
      <c r="M43" s="2706"/>
      <c r="N43" s="2706"/>
      <c r="O43" s="2706"/>
      <c r="P43" s="3800"/>
      <c r="Q43" s="1348" t="str">
        <f t="shared" si="11"/>
        <v>内部装修维护情况</v>
      </c>
      <c r="R43" s="701" t="s">
        <v>18</v>
      </c>
      <c r="S43" s="702">
        <f t="shared" si="12"/>
        <v>100</v>
      </c>
      <c r="T43" s="701" t="s">
        <v>18</v>
      </c>
      <c r="U43" s="702">
        <f t="shared" si="13"/>
        <v>100</v>
      </c>
      <c r="V43" s="701" t="s">
        <v>18</v>
      </c>
      <c r="W43" s="702">
        <f t="shared" si="14"/>
        <v>100</v>
      </c>
      <c r="X43" s="1351"/>
      <c r="Y43" s="3737"/>
      <c r="Z43" s="1352" t="str">
        <f t="shared" si="18"/>
        <v>内部装修维护情况</v>
      </c>
      <c r="AA43" s="1349">
        <f t="shared" si="15"/>
        <v>1</v>
      </c>
      <c r="AB43" s="1349">
        <f t="shared" si="16"/>
        <v>1</v>
      </c>
      <c r="AC43" s="1349">
        <f t="shared" si="17"/>
        <v>1</v>
      </c>
    </row>
    <row r="44" spans="1:29" s="106" customFormat="1" ht="15">
      <c r="A44" s="420"/>
      <c r="B44" s="1129">
        <v>111</v>
      </c>
      <c r="C44" s="416"/>
      <c r="D44" s="123">
        <v>100</v>
      </c>
      <c r="E44" s="416"/>
      <c r="F44" s="372">
        <f>SUMIF(126:126,E44,127:127)-SUMIF(126:126,C44,127:127)+100</f>
        <v>100</v>
      </c>
      <c r="G44" s="416"/>
      <c r="H44" s="123">
        <f>SUMIF(126:126,G44,127:127)-SUMIF(126:126,C44,127:127)+100</f>
        <v>100</v>
      </c>
      <c r="I44" s="416"/>
      <c r="J44" s="123">
        <f>SUMIF(126:126,I44,127:127)-SUMIF(126:126,C44,127:127)+100</f>
        <v>100</v>
      </c>
      <c r="K44" s="1890"/>
      <c r="L44" s="2707"/>
      <c r="M44" s="2708"/>
      <c r="N44" s="2708"/>
      <c r="O44" s="2708"/>
      <c r="P44" s="3800"/>
      <c r="Q44" s="1339">
        <f t="shared" si="11"/>
        <v>111</v>
      </c>
      <c r="R44" s="697" t="s">
        <v>18</v>
      </c>
      <c r="S44" s="698">
        <f t="shared" si="12"/>
        <v>100</v>
      </c>
      <c r="T44" s="697" t="s">
        <v>18</v>
      </c>
      <c r="U44" s="698">
        <f t="shared" si="13"/>
        <v>100</v>
      </c>
      <c r="V44" s="697" t="s">
        <v>18</v>
      </c>
      <c r="W44" s="698">
        <f t="shared" si="14"/>
        <v>100</v>
      </c>
      <c r="X44" s="699"/>
      <c r="Y44" s="3737"/>
      <c r="Z44" s="52">
        <f t="shared" si="18"/>
        <v>111</v>
      </c>
      <c r="AA44" s="700">
        <f t="shared" si="15"/>
        <v>1</v>
      </c>
      <c r="AB44" s="700">
        <f t="shared" si="16"/>
        <v>1</v>
      </c>
      <c r="AC44" s="700">
        <f t="shared" si="17"/>
        <v>1</v>
      </c>
    </row>
    <row r="45" spans="1:29" ht="15">
      <c r="A45" s="419"/>
      <c r="B45" s="112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0"/>
      <c r="L45" s="2712"/>
      <c r="M45" s="2706"/>
      <c r="N45" s="2706"/>
      <c r="O45" s="2706"/>
      <c r="P45" s="3800"/>
      <c r="Q45" s="1348">
        <f t="shared" si="11"/>
        <v>111</v>
      </c>
      <c r="R45" s="701" t="s">
        <v>18</v>
      </c>
      <c r="S45" s="702">
        <f t="shared" si="12"/>
        <v>100</v>
      </c>
      <c r="T45" s="701" t="s">
        <v>18</v>
      </c>
      <c r="U45" s="702">
        <f t="shared" si="13"/>
        <v>100</v>
      </c>
      <c r="V45" s="701" t="s">
        <v>18</v>
      </c>
      <c r="W45" s="702">
        <f t="shared" si="14"/>
        <v>100</v>
      </c>
      <c r="X45" s="1351"/>
      <c r="Y45" s="3737"/>
      <c r="Z45" s="1352">
        <f t="shared" si="18"/>
        <v>111</v>
      </c>
      <c r="AA45" s="1349">
        <f t="shared" si="15"/>
        <v>1</v>
      </c>
      <c r="AB45" s="1349">
        <f t="shared" si="16"/>
        <v>1</v>
      </c>
      <c r="AC45" s="1349">
        <f t="shared" si="17"/>
        <v>1</v>
      </c>
    </row>
    <row r="46" spans="1:29" ht="15.75" thickBot="1">
      <c r="A46" s="425"/>
      <c r="B46" s="1891">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0"/>
      <c r="L46" s="2712"/>
      <c r="M46" s="2706"/>
      <c r="N46" s="2706"/>
      <c r="O46" s="2706"/>
      <c r="P46" s="3801"/>
      <c r="Q46" s="1348">
        <f t="shared" si="11"/>
        <v>111</v>
      </c>
      <c r="R46" s="701" t="s">
        <v>17</v>
      </c>
      <c r="S46" s="702">
        <f t="shared" si="12"/>
        <v>100</v>
      </c>
      <c r="T46" s="701" t="s">
        <v>17</v>
      </c>
      <c r="U46" s="702">
        <f t="shared" si="13"/>
        <v>100</v>
      </c>
      <c r="V46" s="701" t="s">
        <v>17</v>
      </c>
      <c r="W46" s="702">
        <f t="shared" si="14"/>
        <v>100</v>
      </c>
      <c r="X46" s="1351"/>
      <c r="Y46" s="3802"/>
      <c r="Z46" s="1352">
        <f t="shared" si="18"/>
        <v>111</v>
      </c>
      <c r="AA46" s="1349">
        <f t="shared" si="15"/>
        <v>1</v>
      </c>
      <c r="AB46" s="1349">
        <f t="shared" si="16"/>
        <v>1</v>
      </c>
      <c r="AC46" s="1349">
        <f t="shared" si="17"/>
        <v>1</v>
      </c>
    </row>
    <row r="47" spans="1:29" ht="15">
      <c r="A47" s="426" t="s">
        <v>1708</v>
      </c>
      <c r="B47" s="427"/>
      <c r="C47" s="1150" t="s">
        <v>16</v>
      </c>
      <c r="D47" s="1151"/>
      <c r="E47" s="1152"/>
      <c r="F47" s="1153"/>
      <c r="G47" s="1154"/>
      <c r="H47" s="1155"/>
      <c r="I47" s="1152"/>
      <c r="J47" s="1155"/>
      <c r="K47" s="1910"/>
      <c r="L47" s="2714"/>
      <c r="M47" s="2715"/>
      <c r="N47" s="2706"/>
      <c r="O47" s="2715"/>
      <c r="P47" s="3733" t="str">
        <f>A47</f>
        <v>成交单价（元/平方米）</v>
      </c>
      <c r="Q47" s="3733"/>
      <c r="R47" s="3798">
        <f>E47</f>
        <v>0</v>
      </c>
      <c r="S47" s="3798"/>
      <c r="T47" s="3798">
        <f>G47</f>
        <v>0</v>
      </c>
      <c r="U47" s="3798"/>
      <c r="V47" s="3798">
        <f>I47</f>
        <v>0</v>
      </c>
      <c r="W47" s="3798"/>
      <c r="X47" s="686"/>
      <c r="Y47" s="708"/>
      <c r="Z47" s="686"/>
      <c r="AA47" s="686"/>
      <c r="AB47" s="686"/>
      <c r="AC47" s="686"/>
    </row>
    <row r="48" spans="1:29" ht="15.75" thickBot="1">
      <c r="A48" s="433" t="s">
        <v>1709</v>
      </c>
      <c r="B48" s="434"/>
      <c r="C48" s="1156" t="e">
        <f>R49</f>
        <v>#DIV/0!</v>
      </c>
      <c r="D48" s="2313" t="s">
        <v>2138</v>
      </c>
      <c r="E48" s="1157" t="e">
        <f>R48</f>
        <v>#DIV/0!</v>
      </c>
      <c r="F48" s="2314"/>
      <c r="G48" s="1156" t="e">
        <f>T48</f>
        <v>#DIV/0!</v>
      </c>
      <c r="H48" s="2314"/>
      <c r="I48" s="1157" t="e">
        <f>V48</f>
        <v>#DIV/0!</v>
      </c>
      <c r="J48" s="2314"/>
      <c r="K48" s="2315">
        <f>F48+H48+J48</f>
        <v>0</v>
      </c>
      <c r="L48" s="2714"/>
      <c r="M48" s="2715"/>
      <c r="N48" s="2715"/>
      <c r="O48" s="2715"/>
      <c r="P48" s="3733" t="str">
        <f>A48</f>
        <v>比较价值（元/平方米）</v>
      </c>
      <c r="Q48" s="3733"/>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686"/>
      <c r="Y48" s="686"/>
      <c r="Z48" s="686"/>
      <c r="AA48" s="686"/>
      <c r="AB48" s="686"/>
      <c r="AC48" s="686"/>
    </row>
    <row r="49" spans="1:29" ht="15.75" thickBot="1">
      <c r="A49" s="437" t="s">
        <v>1710</v>
      </c>
      <c r="B49" s="438"/>
      <c r="C49" s="1158" t="e">
        <f>R49</f>
        <v>#DIV/0!</v>
      </c>
      <c r="D49" s="1159"/>
      <c r="E49" s="1159"/>
      <c r="F49" s="1159"/>
      <c r="G49" s="1159"/>
      <c r="H49" s="1159"/>
      <c r="I49" s="1159"/>
      <c r="J49" s="1159"/>
      <c r="K49" s="1911"/>
      <c r="L49" s="2714"/>
      <c r="M49" s="2715"/>
      <c r="N49" s="2715"/>
      <c r="O49" s="2715"/>
      <c r="P49" s="3727" t="str">
        <f>A49</f>
        <v>估价对象XX用房的比较价值（楼面单价，元/平方米）</v>
      </c>
      <c r="Q49" s="3728"/>
      <c r="R49" s="3797" t="e">
        <f>IF(F1="售价",ROUND(IF(D48="简单平均",AVERAGE(R48:V48),R48*F48+T48*H48+V48*J48),0),ROUND(IF(D48="简单平均",AVERAGE(R48:V48),R48*F48+T48*H48+V48*J48),1))</f>
        <v>#DIV/0!</v>
      </c>
      <c r="S49" s="3797"/>
      <c r="T49" s="3797"/>
      <c r="U49" s="3797"/>
      <c r="V49" s="3797"/>
      <c r="W49" s="3797"/>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2" t="s">
        <v>1711</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720"/>
      <c r="L52" s="2716"/>
      <c r="M52" s="2715"/>
      <c r="N52" s="2715"/>
      <c r="O52" s="2715"/>
    </row>
    <row r="53" spans="1:29" ht="13.5" customHeight="1">
      <c r="A53" s="2715"/>
      <c r="B53" s="2715"/>
      <c r="C53" s="442" t="s">
        <v>1712</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720"/>
      <c r="L53" s="2716"/>
      <c r="M53" s="2715"/>
      <c r="N53" s="2715"/>
      <c r="O53" s="2715"/>
    </row>
    <row r="54" spans="1:29" s="447" customFormat="1" ht="13.5" customHeight="1">
      <c r="A54" s="2718"/>
      <c r="B54" s="2718"/>
      <c r="C54" s="442" t="s">
        <v>1713</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723"/>
      <c r="L54" s="2717"/>
      <c r="M54" s="2718"/>
      <c r="N54" s="2718"/>
      <c r="O54" s="2718"/>
      <c r="P54" s="1913"/>
    </row>
    <row r="55" spans="1:29" s="447" customFormat="1">
      <c r="A55" s="2718"/>
      <c r="B55" s="2721"/>
      <c r="C55" s="2722"/>
      <c r="D55" s="2718"/>
      <c r="E55" s="2718"/>
      <c r="F55" s="2718"/>
      <c r="G55" s="2718"/>
      <c r="H55" s="2718"/>
      <c r="I55" s="2718"/>
      <c r="J55" s="2718"/>
      <c r="K55" s="2723"/>
      <c r="L55" s="2717"/>
      <c r="M55" s="2718"/>
      <c r="N55" s="2718"/>
      <c r="O55" s="2718"/>
      <c r="P55" s="1913"/>
    </row>
    <row r="56" spans="1:29">
      <c r="A56" s="2715"/>
      <c r="B56" s="2721"/>
      <c r="C56" s="2722"/>
      <c r="D56" s="2715"/>
      <c r="E56" s="2715"/>
      <c r="F56" s="2715"/>
      <c r="G56" s="2715"/>
      <c r="H56" s="2715"/>
      <c r="I56" s="2715"/>
      <c r="J56" s="2715"/>
      <c r="K56" s="2720"/>
      <c r="L56" s="2716"/>
      <c r="M56" s="2715"/>
      <c r="N56" s="2715"/>
      <c r="O56" s="2715"/>
    </row>
    <row r="57" spans="1:29" ht="21.75" thickBot="1">
      <c r="A57" s="690" t="s">
        <v>1714</v>
      </c>
      <c r="B57" s="686"/>
      <c r="C57" s="691"/>
      <c r="D57" s="691"/>
      <c r="E57" s="691"/>
      <c r="F57" s="692"/>
      <c r="G57" s="692"/>
      <c r="H57" s="691"/>
      <c r="I57" s="691"/>
      <c r="J57" s="691"/>
      <c r="K57" s="937"/>
      <c r="L57" s="938"/>
      <c r="M57" s="936"/>
      <c r="N57" s="936"/>
      <c r="O57" s="936"/>
      <c r="P57" s="1914"/>
      <c r="Q57" s="449"/>
    </row>
    <row r="58" spans="1:29" s="453" customFormat="1" ht="15">
      <c r="A58" s="450" t="s">
        <v>1715</v>
      </c>
      <c r="B58" s="451"/>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6" customFormat="1" ht="15">
      <c r="A59" s="454"/>
      <c r="B59" s="1915"/>
      <c r="C59" s="1179">
        <v>100</v>
      </c>
      <c r="D59" s="456"/>
      <c r="E59" s="457"/>
      <c r="F59" s="457"/>
      <c r="G59" s="457"/>
      <c r="H59" s="457"/>
      <c r="I59" s="457"/>
      <c r="J59" s="457"/>
      <c r="K59" s="457"/>
      <c r="L59" s="457"/>
      <c r="M59" s="458"/>
      <c r="N59" s="457"/>
      <c r="O59" s="458"/>
      <c r="P59" s="1916"/>
    </row>
    <row r="60" spans="1:29" s="106" customFormat="1" ht="15.75" thickBot="1">
      <c r="A60" s="460" t="s">
        <v>1716</v>
      </c>
      <c r="B60" s="461"/>
      <c r="C60" s="462"/>
      <c r="D60" s="463"/>
      <c r="E60" s="463"/>
      <c r="F60" s="463"/>
      <c r="G60" s="463"/>
      <c r="H60" s="463"/>
      <c r="I60" s="463"/>
      <c r="J60" s="463"/>
      <c r="K60" s="463"/>
      <c r="L60" s="463"/>
      <c r="M60" s="464"/>
      <c r="N60" s="463"/>
      <c r="O60" s="464"/>
      <c r="P60" s="1916"/>
      <c r="Q60" s="449"/>
    </row>
    <row r="61" spans="1:29" s="106" customFormat="1" ht="15">
      <c r="A61" s="466" t="s">
        <v>1717</v>
      </c>
      <c r="B61" s="455"/>
      <c r="C61" s="467" t="s">
        <v>1718</v>
      </c>
      <c r="D61" s="468"/>
      <c r="E61" s="468"/>
      <c r="F61" s="468"/>
      <c r="G61" s="468"/>
      <c r="H61" s="468"/>
      <c r="I61" s="468"/>
      <c r="J61" s="468"/>
      <c r="K61" s="468"/>
      <c r="L61" s="469"/>
      <c r="M61" s="470"/>
      <c r="N61" s="928"/>
      <c r="O61" s="928"/>
      <c r="P61" s="1917"/>
      <c r="Q61" s="449"/>
    </row>
    <row r="62" spans="1:29" s="106" customFormat="1" ht="15.75" thickBot="1">
      <c r="A62" s="466"/>
      <c r="B62" s="455"/>
      <c r="C62" s="456">
        <v>100</v>
      </c>
      <c r="D62" s="457"/>
      <c r="E62" s="457"/>
      <c r="F62" s="457"/>
      <c r="G62" s="457"/>
      <c r="H62" s="457"/>
      <c r="I62" s="457"/>
      <c r="J62" s="457"/>
      <c r="K62" s="457"/>
      <c r="L62" s="457"/>
      <c r="M62" s="459"/>
      <c r="N62" s="928"/>
      <c r="O62" s="928"/>
      <c r="P62" s="1916"/>
      <c r="Q62" s="449"/>
    </row>
    <row r="63" spans="1:29">
      <c r="A63" s="472" t="s">
        <v>1719</v>
      </c>
      <c r="B63" s="473" t="s">
        <v>1685</v>
      </c>
      <c r="C63" s="474">
        <f>C9</f>
        <v>0</v>
      </c>
      <c r="D63" s="475"/>
      <c r="E63" s="475"/>
      <c r="F63" s="475"/>
      <c r="G63" s="475"/>
      <c r="H63" s="475"/>
      <c r="I63" s="475"/>
      <c r="J63" s="475"/>
      <c r="K63" s="476"/>
      <c r="L63" s="477"/>
      <c r="M63" s="478"/>
      <c r="N63" s="929"/>
      <c r="O63" s="929"/>
      <c r="P63" s="1918"/>
      <c r="Q63" s="449"/>
    </row>
    <row r="64" spans="1:29" ht="15.75" thickBot="1">
      <c r="A64" s="479"/>
      <c r="B64" s="480"/>
      <c r="C64" s="481">
        <v>100</v>
      </c>
      <c r="D64" s="481"/>
      <c r="E64" s="481"/>
      <c r="F64" s="481"/>
      <c r="G64" s="481"/>
      <c r="H64" s="481"/>
      <c r="I64" s="481"/>
      <c r="J64" s="481"/>
      <c r="K64" s="481"/>
      <c r="L64" s="481"/>
      <c r="M64" s="482"/>
      <c r="N64" s="930"/>
      <c r="O64" s="930"/>
      <c r="P64" s="1918"/>
      <c r="Q64" s="449"/>
    </row>
    <row r="65" spans="1:17" ht="27.75" thickTop="1">
      <c r="A65" s="479"/>
      <c r="B65" s="483" t="s">
        <v>1688</v>
      </c>
      <c r="C65" s="528"/>
      <c r="D65" s="528"/>
      <c r="E65" s="528"/>
      <c r="F65" s="528"/>
      <c r="G65" s="528"/>
      <c r="H65" s="528"/>
      <c r="I65" s="528"/>
      <c r="J65" s="528"/>
      <c r="K65" s="528"/>
      <c r="L65" s="528"/>
      <c r="M65" s="528"/>
      <c r="N65" s="930"/>
      <c r="O65" s="930"/>
      <c r="P65" s="1918"/>
      <c r="Q65" s="449"/>
    </row>
    <row r="66" spans="1:17" ht="15.75" thickBot="1">
      <c r="A66" s="479"/>
      <c r="B66" s="488"/>
      <c r="C66" s="481"/>
      <c r="D66" s="481"/>
      <c r="E66" s="481"/>
      <c r="F66" s="481"/>
      <c r="G66" s="481"/>
      <c r="H66" s="481"/>
      <c r="I66" s="481"/>
      <c r="J66" s="481"/>
      <c r="K66" s="481"/>
      <c r="L66" s="481"/>
      <c r="M66" s="482"/>
      <c r="N66" s="930"/>
      <c r="O66" s="930"/>
      <c r="P66" s="1918"/>
      <c r="Q66" s="449"/>
    </row>
    <row r="67" spans="1:17" ht="15.75" thickTop="1">
      <c r="A67" s="479"/>
      <c r="B67" s="491" t="s">
        <v>1689</v>
      </c>
      <c r="C67" s="492" t="str">
        <f>C68&amp;"（含）"&amp;"-"&amp;D68</f>
        <v>（含）-</v>
      </c>
      <c r="D67" s="492" t="str">
        <f t="shared" ref="D67:L67" si="20">D68&amp;"（含）"&amp;"-"&amp;E68</f>
        <v>（含）-</v>
      </c>
      <c r="E67" s="492" t="str">
        <f t="shared" si="20"/>
        <v>（含）-</v>
      </c>
      <c r="F67" s="492" t="str">
        <f t="shared" si="20"/>
        <v>（含）-</v>
      </c>
      <c r="G67" s="492" t="str">
        <f t="shared" si="20"/>
        <v>（含）-</v>
      </c>
      <c r="H67" s="492" t="str">
        <f t="shared" si="20"/>
        <v>（含）-</v>
      </c>
      <c r="I67" s="492" t="str">
        <f t="shared" si="20"/>
        <v>（含）-</v>
      </c>
      <c r="J67" s="492" t="str">
        <f t="shared" si="20"/>
        <v>（含）-</v>
      </c>
      <c r="K67" s="492" t="str">
        <f>K68&amp;"（含）"&amp;"-"&amp;L68</f>
        <v>（含）-</v>
      </c>
      <c r="L67" s="492" t="str">
        <f t="shared" si="20"/>
        <v>（含）-</v>
      </c>
      <c r="M67" s="395" t="str">
        <f>M68&amp;"（含）"&amp;"-"&amp;P68</f>
        <v>（含）-</v>
      </c>
      <c r="N67" s="930"/>
      <c r="O67" s="930"/>
      <c r="P67" s="1918"/>
      <c r="Q67" s="449"/>
    </row>
    <row r="68" spans="1:17" ht="15">
      <c r="A68" s="479"/>
      <c r="B68" s="493"/>
      <c r="C68" s="494"/>
      <c r="D68" s="494"/>
      <c r="E68" s="494"/>
      <c r="F68" s="494"/>
      <c r="G68" s="494"/>
      <c r="H68" s="494"/>
      <c r="I68" s="494"/>
      <c r="J68" s="494"/>
      <c r="K68" s="495"/>
      <c r="L68" s="496"/>
      <c r="M68" s="497"/>
      <c r="N68" s="929"/>
      <c r="O68" s="929"/>
      <c r="P68" s="1918"/>
      <c r="Q68" s="449"/>
    </row>
    <row r="69" spans="1:17" ht="15.75" thickBot="1">
      <c r="A69" s="479"/>
      <c r="B69" s="480"/>
      <c r="C69" s="489">
        <v>100</v>
      </c>
      <c r="D69" s="489">
        <f t="shared" ref="D69:M69" si="21">C69-$K11</f>
        <v>100</v>
      </c>
      <c r="E69" s="489">
        <f t="shared" si="21"/>
        <v>100</v>
      </c>
      <c r="F69" s="489">
        <f t="shared" si="21"/>
        <v>100</v>
      </c>
      <c r="G69" s="489">
        <f t="shared" si="21"/>
        <v>100</v>
      </c>
      <c r="H69" s="489">
        <f t="shared" si="21"/>
        <v>100</v>
      </c>
      <c r="I69" s="489">
        <f t="shared" si="21"/>
        <v>100</v>
      </c>
      <c r="J69" s="489">
        <f t="shared" si="21"/>
        <v>100</v>
      </c>
      <c r="K69" s="489">
        <f t="shared" si="21"/>
        <v>100</v>
      </c>
      <c r="L69" s="489">
        <f t="shared" si="21"/>
        <v>100</v>
      </c>
      <c r="M69" s="490">
        <f t="shared" si="21"/>
        <v>100</v>
      </c>
      <c r="N69" s="930"/>
      <c r="O69" s="930"/>
      <c r="P69" s="1918"/>
      <c r="Q69" s="449"/>
    </row>
    <row r="70" spans="1:17" s="418" customFormat="1" ht="15.75" thickTop="1">
      <c r="A70" s="498"/>
      <c r="B70" s="483">
        <f>B12</f>
        <v>111</v>
      </c>
      <c r="C70" s="499"/>
      <c r="D70" s="499"/>
      <c r="E70" s="499"/>
      <c r="F70" s="499"/>
      <c r="G70" s="499"/>
      <c r="H70" s="500"/>
      <c r="I70" s="500"/>
      <c r="J70" s="500"/>
      <c r="K70" s="500"/>
      <c r="L70" s="501"/>
      <c r="M70" s="502"/>
      <c r="N70" s="931"/>
      <c r="O70" s="931"/>
      <c r="P70" s="1919"/>
      <c r="Q70" s="504"/>
    </row>
    <row r="71" spans="1:17" s="418" customFormat="1" ht="15.75" thickBot="1">
      <c r="A71" s="498"/>
      <c r="B71" s="488"/>
      <c r="C71" s="505"/>
      <c r="D71" s="481"/>
      <c r="E71" s="481"/>
      <c r="F71" s="481"/>
      <c r="G71" s="481"/>
      <c r="H71" s="481"/>
      <c r="I71" s="481"/>
      <c r="J71" s="481"/>
      <c r="K71" s="481"/>
      <c r="L71" s="481"/>
      <c r="M71" s="482"/>
      <c r="N71" s="930"/>
      <c r="O71" s="930"/>
      <c r="P71" s="1919"/>
      <c r="Q71" s="504"/>
    </row>
    <row r="72" spans="1:17" s="418" customFormat="1" ht="15.75" thickTop="1">
      <c r="A72" s="498"/>
      <c r="B72" s="483">
        <f>B13</f>
        <v>111</v>
      </c>
      <c r="C72" s="499"/>
      <c r="D72" s="499"/>
      <c r="E72" s="499"/>
      <c r="F72" s="499"/>
      <c r="G72" s="499"/>
      <c r="H72" s="500"/>
      <c r="I72" s="500"/>
      <c r="J72" s="500"/>
      <c r="K72" s="500"/>
      <c r="L72" s="501"/>
      <c r="M72" s="502"/>
      <c r="N72" s="931"/>
      <c r="O72" s="931"/>
      <c r="P72" s="1920"/>
      <c r="Q72" s="506"/>
    </row>
    <row r="73" spans="1:17" s="418" customFormat="1" ht="15.75" thickBot="1">
      <c r="A73" s="498"/>
      <c r="B73" s="488"/>
      <c r="C73" s="505"/>
      <c r="D73" s="505"/>
      <c r="E73" s="505"/>
      <c r="F73" s="505"/>
      <c r="G73" s="505"/>
      <c r="H73" s="507"/>
      <c r="I73" s="507"/>
      <c r="J73" s="507"/>
      <c r="K73" s="507"/>
      <c r="L73" s="507"/>
      <c r="M73" s="508"/>
      <c r="N73" s="931"/>
      <c r="O73" s="931"/>
      <c r="P73" s="1919"/>
      <c r="Q73" s="504"/>
    </row>
    <row r="74" spans="1:17" s="418" customFormat="1" ht="15.75" thickTop="1">
      <c r="A74" s="498"/>
      <c r="B74" s="491">
        <f>B14</f>
        <v>111</v>
      </c>
      <c r="C74" s="499"/>
      <c r="D74" s="499"/>
      <c r="E74" s="499"/>
      <c r="F74" s="499"/>
      <c r="G74" s="468"/>
      <c r="H74" s="509"/>
      <c r="I74" s="509"/>
      <c r="J74" s="509"/>
      <c r="K74" s="509"/>
      <c r="L74" s="510"/>
      <c r="M74" s="511"/>
      <c r="N74" s="931"/>
      <c r="O74" s="931"/>
      <c r="P74" s="1921"/>
      <c r="Q74" s="504"/>
    </row>
    <row r="75" spans="1:17" s="418" customFormat="1" ht="15.75" thickBot="1">
      <c r="A75" s="513"/>
      <c r="B75" s="514"/>
      <c r="C75" s="515"/>
      <c r="D75" s="515"/>
      <c r="E75" s="515"/>
      <c r="F75" s="515"/>
      <c r="G75" s="515"/>
      <c r="H75" s="516"/>
      <c r="I75" s="516"/>
      <c r="J75" s="516"/>
      <c r="K75" s="516"/>
      <c r="L75" s="516"/>
      <c r="M75" s="517"/>
      <c r="N75" s="931"/>
      <c r="O75" s="931"/>
      <c r="P75" s="1919"/>
      <c r="Q75" s="504"/>
    </row>
    <row r="76" spans="1:17">
      <c r="A76" s="472" t="s">
        <v>1690</v>
      </c>
      <c r="B76" s="473" t="s">
        <v>1720</v>
      </c>
      <c r="C76" s="518" t="s">
        <v>1721</v>
      </c>
      <c r="D76" s="518" t="s">
        <v>1722</v>
      </c>
      <c r="E76" s="518" t="s">
        <v>1723</v>
      </c>
      <c r="F76" s="518" t="s">
        <v>1724</v>
      </c>
      <c r="G76" s="518" t="s">
        <v>1725</v>
      </c>
      <c r="H76" s="474"/>
      <c r="I76" s="474"/>
      <c r="J76" s="474"/>
      <c r="K76" s="519"/>
      <c r="L76" s="520"/>
      <c r="M76" s="521"/>
      <c r="N76" s="929"/>
      <c r="O76" s="929"/>
      <c r="P76" s="1922"/>
      <c r="Q76" s="449"/>
    </row>
    <row r="77" spans="1:17" ht="15.75" thickBot="1">
      <c r="A77" s="479"/>
      <c r="B77" s="488"/>
      <c r="C77" s="489">
        <v>100</v>
      </c>
      <c r="D77" s="489">
        <f>C77-$K15</f>
        <v>100</v>
      </c>
      <c r="E77" s="489">
        <f>D77-$K15</f>
        <v>100</v>
      </c>
      <c r="F77" s="489">
        <f>E77-$K15</f>
        <v>100</v>
      </c>
      <c r="G77" s="489">
        <f>F77-$K15</f>
        <v>100</v>
      </c>
      <c r="H77" s="489"/>
      <c r="I77" s="489"/>
      <c r="J77" s="489"/>
      <c r="K77" s="489"/>
      <c r="L77" s="489"/>
      <c r="M77" s="490"/>
      <c r="N77" s="930"/>
      <c r="O77" s="930"/>
      <c r="P77" s="1918"/>
      <c r="Q77" s="449"/>
    </row>
    <row r="78" spans="1:17" ht="15.75" thickTop="1">
      <c r="A78" s="479"/>
      <c r="B78" s="483" t="s">
        <v>1726</v>
      </c>
      <c r="C78" s="523" t="s">
        <v>1721</v>
      </c>
      <c r="D78" s="523" t="s">
        <v>1722</v>
      </c>
      <c r="E78" s="523" t="s">
        <v>1723</v>
      </c>
      <c r="F78" s="523" t="s">
        <v>1724</v>
      </c>
      <c r="G78" s="523" t="s">
        <v>1725</v>
      </c>
      <c r="H78" s="484"/>
      <c r="I78" s="484"/>
      <c r="J78" s="484"/>
      <c r="K78" s="485"/>
      <c r="L78" s="486"/>
      <c r="M78" s="487"/>
      <c r="N78" s="929"/>
      <c r="O78" s="929"/>
      <c r="P78" s="1918"/>
      <c r="Q78" s="449"/>
    </row>
    <row r="79" spans="1:17" ht="15.75" thickBot="1">
      <c r="A79" s="479"/>
      <c r="B79" s="488"/>
      <c r="C79" s="489">
        <v>100</v>
      </c>
      <c r="D79" s="489">
        <f>C79-$K17</f>
        <v>100</v>
      </c>
      <c r="E79" s="489">
        <f>D79-$K17</f>
        <v>100</v>
      </c>
      <c r="F79" s="489">
        <f>E79-$K17</f>
        <v>100</v>
      </c>
      <c r="G79" s="489">
        <f>F79-$K17</f>
        <v>100</v>
      </c>
      <c r="H79" s="489"/>
      <c r="I79" s="489"/>
      <c r="J79" s="489"/>
      <c r="K79" s="489"/>
      <c r="L79" s="489"/>
      <c r="M79" s="490"/>
      <c r="N79" s="930"/>
      <c r="O79" s="930"/>
      <c r="P79" s="1918"/>
      <c r="Q79" s="449"/>
    </row>
    <row r="80" spans="1:17" ht="15.75" thickTop="1">
      <c r="A80" s="479"/>
      <c r="B80" s="483" t="s">
        <v>1727</v>
      </c>
      <c r="C80" s="523" t="s">
        <v>1721</v>
      </c>
      <c r="D80" s="523" t="s">
        <v>1722</v>
      </c>
      <c r="E80" s="523" t="s">
        <v>1723</v>
      </c>
      <c r="F80" s="523" t="s">
        <v>1724</v>
      </c>
      <c r="G80" s="523" t="s">
        <v>1725</v>
      </c>
      <c r="H80" s="484"/>
      <c r="I80" s="484"/>
      <c r="J80" s="484"/>
      <c r="K80" s="485"/>
      <c r="L80" s="486"/>
      <c r="M80" s="487"/>
      <c r="N80" s="929"/>
      <c r="O80" s="929"/>
      <c r="P80" s="1918"/>
      <c r="Q80" s="449"/>
    </row>
    <row r="81" spans="1:17" ht="15.75" thickBot="1">
      <c r="A81" s="479"/>
      <c r="B81" s="488"/>
      <c r="C81" s="489">
        <v>100</v>
      </c>
      <c r="D81" s="489">
        <f>C81-$K19</f>
        <v>100</v>
      </c>
      <c r="E81" s="489">
        <f>D81-$K19</f>
        <v>100</v>
      </c>
      <c r="F81" s="489">
        <f>E81-$K19</f>
        <v>100</v>
      </c>
      <c r="G81" s="489">
        <f>F81-$K19</f>
        <v>100</v>
      </c>
      <c r="H81" s="489"/>
      <c r="I81" s="489"/>
      <c r="J81" s="489"/>
      <c r="K81" s="489"/>
      <c r="L81" s="489"/>
      <c r="M81" s="490"/>
      <c r="N81" s="930"/>
      <c r="O81" s="930"/>
      <c r="P81" s="1918"/>
      <c r="Q81" s="449"/>
    </row>
    <row r="82" spans="1:17" ht="15.75" thickTop="1">
      <c r="A82" s="479"/>
      <c r="B82" s="491" t="s">
        <v>1260</v>
      </c>
      <c r="C82" s="484" t="s">
        <v>1728</v>
      </c>
      <c r="D82" s="484" t="s">
        <v>1729</v>
      </c>
      <c r="E82" s="484" t="s">
        <v>1730</v>
      </c>
      <c r="F82" s="484" t="s">
        <v>1731</v>
      </c>
      <c r="G82" s="484" t="s">
        <v>1732</v>
      </c>
      <c r="H82" s="484"/>
      <c r="I82" s="484"/>
      <c r="J82" s="484"/>
      <c r="K82" s="484"/>
      <c r="L82" s="484"/>
      <c r="M82" s="1125"/>
      <c r="N82" s="930"/>
      <c r="O82" s="930"/>
      <c r="P82" s="1918"/>
      <c r="Q82" s="449"/>
    </row>
    <row r="83" spans="1:17" ht="15.75" thickBot="1">
      <c r="A83" s="479"/>
      <c r="B83" s="491"/>
      <c r="C83" s="604">
        <v>100</v>
      </c>
      <c r="D83" s="604">
        <f>C83-$K21</f>
        <v>100</v>
      </c>
      <c r="E83" s="604">
        <f t="shared" ref="E83:G83" si="22">D83-$K21</f>
        <v>100</v>
      </c>
      <c r="F83" s="604">
        <f t="shared" si="22"/>
        <v>100</v>
      </c>
      <c r="G83" s="604">
        <f t="shared" si="22"/>
        <v>100</v>
      </c>
      <c r="H83" s="604"/>
      <c r="I83" s="604"/>
      <c r="J83" s="604"/>
      <c r="K83" s="604"/>
      <c r="L83" s="604"/>
      <c r="M83" s="397"/>
      <c r="N83" s="930"/>
      <c r="O83" s="930"/>
      <c r="P83" s="1918"/>
      <c r="Q83" s="449"/>
    </row>
    <row r="84" spans="1:17" ht="15.75" thickTop="1">
      <c r="A84" s="479"/>
      <c r="B84" s="483" t="s">
        <v>1733</v>
      </c>
      <c r="C84" s="523" t="s">
        <v>1721</v>
      </c>
      <c r="D84" s="523" t="s">
        <v>1722</v>
      </c>
      <c r="E84" s="523" t="s">
        <v>1723</v>
      </c>
      <c r="F84" s="523" t="s">
        <v>1724</v>
      </c>
      <c r="G84" s="523" t="s">
        <v>1725</v>
      </c>
      <c r="H84" s="484"/>
      <c r="I84" s="484"/>
      <c r="J84" s="484"/>
      <c r="K84" s="485"/>
      <c r="L84" s="486"/>
      <c r="M84" s="487"/>
      <c r="N84" s="929"/>
      <c r="O84" s="929"/>
      <c r="P84" s="1918"/>
      <c r="Q84" s="449"/>
    </row>
    <row r="85" spans="1:17" ht="15.75" thickBot="1">
      <c r="A85" s="479"/>
      <c r="B85" s="488"/>
      <c r="C85" s="489">
        <v>100</v>
      </c>
      <c r="D85" s="489">
        <f>C85-$K23</f>
        <v>100</v>
      </c>
      <c r="E85" s="489">
        <f>D85-$K23</f>
        <v>100</v>
      </c>
      <c r="F85" s="489">
        <f>E85-$K23</f>
        <v>100</v>
      </c>
      <c r="G85" s="489">
        <f>F85-$K23</f>
        <v>100</v>
      </c>
      <c r="H85" s="489"/>
      <c r="I85" s="489"/>
      <c r="J85" s="489"/>
      <c r="K85" s="489"/>
      <c r="L85" s="489"/>
      <c r="M85" s="490"/>
      <c r="N85" s="930"/>
      <c r="O85" s="930"/>
      <c r="P85" s="1918"/>
      <c r="Q85" s="449"/>
    </row>
    <row r="86" spans="1:17" s="106" customFormat="1" ht="15.75" thickTop="1">
      <c r="A86" s="524"/>
      <c r="B86" s="483" t="s">
        <v>1734</v>
      </c>
      <c r="C86" s="499"/>
      <c r="D86" s="499"/>
      <c r="E86" s="499"/>
      <c r="F86" s="499"/>
      <c r="G86" s="499"/>
      <c r="H86" s="499"/>
      <c r="I86" s="499"/>
      <c r="J86" s="499"/>
      <c r="K86" s="499"/>
      <c r="L86" s="525"/>
      <c r="M86" s="526"/>
      <c r="N86" s="928"/>
      <c r="O86" s="928"/>
      <c r="P86" s="1918"/>
      <c r="Q86" s="449"/>
    </row>
    <row r="87" spans="1:17" s="106" customFormat="1" ht="15.75" thickBot="1">
      <c r="A87" s="524"/>
      <c r="B87" s="488"/>
      <c r="C87" s="527">
        <v>100</v>
      </c>
      <c r="D87" s="489">
        <f t="shared" ref="D87:M87" si="23">$C$87-($C$86-D86)*$K$25</f>
        <v>100</v>
      </c>
      <c r="E87" s="489">
        <f t="shared" si="23"/>
        <v>100</v>
      </c>
      <c r="F87" s="489">
        <f t="shared" si="23"/>
        <v>100</v>
      </c>
      <c r="G87" s="489">
        <f t="shared" si="23"/>
        <v>100</v>
      </c>
      <c r="H87" s="489">
        <f t="shared" si="23"/>
        <v>100</v>
      </c>
      <c r="I87" s="489">
        <f t="shared" si="23"/>
        <v>100</v>
      </c>
      <c r="J87" s="489">
        <f t="shared" si="23"/>
        <v>100</v>
      </c>
      <c r="K87" s="489">
        <f t="shared" si="23"/>
        <v>100</v>
      </c>
      <c r="L87" s="489">
        <f t="shared" si="23"/>
        <v>100</v>
      </c>
      <c r="M87" s="489">
        <f t="shared" si="23"/>
        <v>100</v>
      </c>
      <c r="N87" s="930"/>
      <c r="O87" s="930"/>
      <c r="P87" s="1918"/>
      <c r="Q87" s="449"/>
    </row>
    <row r="88" spans="1:17" s="106" customFormat="1" ht="15.75" thickTop="1">
      <c r="A88" s="524"/>
      <c r="B88" s="483" t="s">
        <v>1735</v>
      </c>
      <c r="C88" s="499"/>
      <c r="D88" s="499"/>
      <c r="E88" s="499"/>
      <c r="F88" s="1923"/>
      <c r="G88" s="499"/>
      <c r="H88" s="499"/>
      <c r="I88" s="499"/>
      <c r="J88" s="499"/>
      <c r="K88" s="499"/>
      <c r="L88" s="499"/>
      <c r="M88" s="526"/>
      <c r="N88" s="928"/>
      <c r="O88" s="928"/>
      <c r="P88" s="1918"/>
      <c r="Q88" s="449"/>
    </row>
    <row r="89" spans="1:17" s="106" customFormat="1" ht="15.75" thickBot="1">
      <c r="A89" s="524"/>
      <c r="B89" s="488"/>
      <c r="C89" s="527">
        <v>100</v>
      </c>
      <c r="D89" s="489">
        <f t="shared" ref="D89:M89" si="24">C89-$K26</f>
        <v>100</v>
      </c>
      <c r="E89" s="489">
        <f t="shared" si="24"/>
        <v>100</v>
      </c>
      <c r="F89" s="489">
        <f t="shared" si="24"/>
        <v>100</v>
      </c>
      <c r="G89" s="489">
        <f t="shared" si="24"/>
        <v>100</v>
      </c>
      <c r="H89" s="489">
        <f t="shared" si="24"/>
        <v>100</v>
      </c>
      <c r="I89" s="489">
        <f t="shared" si="24"/>
        <v>100</v>
      </c>
      <c r="J89" s="489">
        <f t="shared" si="24"/>
        <v>100</v>
      </c>
      <c r="K89" s="489">
        <f t="shared" si="24"/>
        <v>100</v>
      </c>
      <c r="L89" s="489">
        <f t="shared" si="24"/>
        <v>100</v>
      </c>
      <c r="M89" s="489">
        <f t="shared" si="24"/>
        <v>100</v>
      </c>
      <c r="N89" s="930"/>
      <c r="O89" s="930"/>
      <c r="P89" s="1918"/>
      <c r="Q89" s="449"/>
    </row>
    <row r="90" spans="1:17" s="418" customFormat="1" ht="15.75" thickTop="1">
      <c r="A90" s="498"/>
      <c r="B90" s="483">
        <f>B27</f>
        <v>111</v>
      </c>
      <c r="C90" s="499"/>
      <c r="D90" s="499"/>
      <c r="E90" s="499"/>
      <c r="F90" s="499"/>
      <c r="G90" s="499"/>
      <c r="H90" s="500"/>
      <c r="I90" s="500"/>
      <c r="J90" s="500"/>
      <c r="K90" s="500"/>
      <c r="L90" s="501"/>
      <c r="M90" s="502"/>
      <c r="N90" s="931"/>
      <c r="O90" s="931"/>
      <c r="P90" s="1919"/>
      <c r="Q90" s="504"/>
    </row>
    <row r="91" spans="1:17" s="418" customFormat="1" ht="15.75" thickBot="1">
      <c r="A91" s="498"/>
      <c r="B91" s="488"/>
      <c r="C91" s="505"/>
      <c r="D91" s="505"/>
      <c r="E91" s="505"/>
      <c r="F91" s="505"/>
      <c r="G91" s="505"/>
      <c r="H91" s="507"/>
      <c r="I91" s="507"/>
      <c r="J91" s="507"/>
      <c r="K91" s="507"/>
      <c r="L91" s="507"/>
      <c r="M91" s="508"/>
      <c r="N91" s="931"/>
      <c r="O91" s="931"/>
      <c r="P91" s="1919"/>
      <c r="Q91" s="504"/>
    </row>
    <row r="92" spans="1:17" ht="15.75" thickTop="1">
      <c r="A92" s="479"/>
      <c r="B92" s="483">
        <f>B28</f>
        <v>111</v>
      </c>
      <c r="C92" s="499"/>
      <c r="D92" s="499"/>
      <c r="E92" s="499"/>
      <c r="F92" s="499"/>
      <c r="G92" s="528"/>
      <c r="H92" s="528"/>
      <c r="I92" s="528"/>
      <c r="J92" s="528"/>
      <c r="K92" s="529"/>
      <c r="L92" s="530"/>
      <c r="M92" s="531"/>
      <c r="N92" s="929"/>
      <c r="O92" s="929"/>
      <c r="P92" s="1918"/>
      <c r="Q92" s="449"/>
    </row>
    <row r="93" spans="1:17" ht="15.75" thickBot="1">
      <c r="A93" s="479"/>
      <c r="B93" s="488"/>
      <c r="C93" s="505"/>
      <c r="D93" s="481"/>
      <c r="E93" s="481"/>
      <c r="F93" s="481"/>
      <c r="G93" s="481"/>
      <c r="H93" s="481"/>
      <c r="I93" s="481"/>
      <c r="J93" s="481"/>
      <c r="K93" s="481"/>
      <c r="L93" s="481"/>
      <c r="M93" s="482"/>
      <c r="N93" s="930"/>
      <c r="O93" s="930"/>
      <c r="P93" s="1918"/>
      <c r="Q93" s="449"/>
    </row>
    <row r="94" spans="1:17" ht="15.75" thickTop="1">
      <c r="A94" s="479"/>
      <c r="B94" s="483">
        <f>B29</f>
        <v>111</v>
      </c>
      <c r="C94" s="499"/>
      <c r="D94" s="499"/>
      <c r="E94" s="499"/>
      <c r="F94" s="499"/>
      <c r="G94" s="528"/>
      <c r="H94" s="528"/>
      <c r="I94" s="528"/>
      <c r="J94" s="528"/>
      <c r="K94" s="529"/>
      <c r="L94" s="530"/>
      <c r="M94" s="531"/>
      <c r="N94" s="929"/>
      <c r="O94" s="929"/>
      <c r="P94" s="1918"/>
      <c r="Q94" s="449"/>
    </row>
    <row r="95" spans="1:17" ht="15.75" thickBot="1">
      <c r="A95" s="479"/>
      <c r="B95" s="488"/>
      <c r="C95" s="505"/>
      <c r="D95" s="505"/>
      <c r="E95" s="505"/>
      <c r="F95" s="505"/>
      <c r="G95" s="481"/>
      <c r="H95" s="481"/>
      <c r="I95" s="481"/>
      <c r="J95" s="481"/>
      <c r="K95" s="481"/>
      <c r="L95" s="481"/>
      <c r="M95" s="482"/>
      <c r="N95" s="930"/>
      <c r="O95" s="930"/>
      <c r="P95" s="1918"/>
      <c r="Q95" s="449"/>
    </row>
    <row r="96" spans="1:17" ht="15.75" thickTop="1">
      <c r="A96" s="479"/>
      <c r="B96" s="483">
        <f>B30</f>
        <v>111</v>
      </c>
      <c r="C96" s="499"/>
      <c r="D96" s="499"/>
      <c r="E96" s="499"/>
      <c r="F96" s="499"/>
      <c r="G96" s="528"/>
      <c r="H96" s="528"/>
      <c r="I96" s="528"/>
      <c r="J96" s="528"/>
      <c r="K96" s="529"/>
      <c r="L96" s="530"/>
      <c r="M96" s="531"/>
      <c r="N96" s="929"/>
      <c r="O96" s="929"/>
      <c r="P96" s="1918"/>
      <c r="Q96" s="449"/>
    </row>
    <row r="97" spans="1:17" ht="15.75" thickBot="1">
      <c r="A97" s="479"/>
      <c r="B97" s="488"/>
      <c r="C97" s="515"/>
      <c r="D97" s="515"/>
      <c r="E97" s="515"/>
      <c r="F97" s="515"/>
      <c r="G97" s="481"/>
      <c r="H97" s="481"/>
      <c r="I97" s="481"/>
      <c r="J97" s="481"/>
      <c r="K97" s="481"/>
      <c r="L97" s="481"/>
      <c r="M97" s="482"/>
      <c r="N97" s="930"/>
      <c r="O97" s="930"/>
      <c r="P97" s="1918"/>
      <c r="Q97" s="449"/>
    </row>
    <row r="98" spans="1:17" ht="15.75" thickTop="1">
      <c r="A98" s="479"/>
      <c r="B98" s="491">
        <f>B31</f>
        <v>111</v>
      </c>
      <c r="C98" s="532"/>
      <c r="D98" s="532"/>
      <c r="E98" s="532"/>
      <c r="F98" s="532"/>
      <c r="G98" s="532"/>
      <c r="H98" s="532"/>
      <c r="I98" s="532"/>
      <c r="J98" s="532"/>
      <c r="K98" s="533"/>
      <c r="L98" s="534"/>
      <c r="M98" s="535"/>
      <c r="N98" s="929"/>
      <c r="O98" s="929"/>
      <c r="P98" s="1918"/>
      <c r="Q98" s="449"/>
    </row>
    <row r="99" spans="1:17" ht="15.75" thickBot="1">
      <c r="A99" s="1924"/>
      <c r="B99" s="514"/>
      <c r="C99" s="536"/>
      <c r="D99" s="536"/>
      <c r="E99" s="536"/>
      <c r="F99" s="536"/>
      <c r="G99" s="536"/>
      <c r="H99" s="536"/>
      <c r="I99" s="536"/>
      <c r="J99" s="536"/>
      <c r="K99" s="536"/>
      <c r="L99" s="536"/>
      <c r="M99" s="537"/>
      <c r="N99" s="930"/>
      <c r="O99" s="930"/>
      <c r="P99" s="1918"/>
      <c r="Q99" s="449"/>
    </row>
    <row r="100" spans="1:17">
      <c r="A100" s="472" t="s">
        <v>1694</v>
      </c>
      <c r="B100" s="473" t="s">
        <v>1736</v>
      </c>
      <c r="C100" s="475"/>
      <c r="D100" s="475"/>
      <c r="E100" s="475"/>
      <c r="F100" s="475"/>
      <c r="G100" s="475"/>
      <c r="H100" s="475"/>
      <c r="I100" s="475"/>
      <c r="J100" s="475"/>
      <c r="K100" s="476"/>
      <c r="L100" s="477"/>
      <c r="M100" s="478"/>
      <c r="N100" s="929"/>
      <c r="O100" s="929"/>
      <c r="P100" s="1918"/>
      <c r="Q100" s="449"/>
    </row>
    <row r="101" spans="1:17" ht="15.75" thickBot="1">
      <c r="A101" s="479"/>
      <c r="B101" s="488"/>
      <c r="C101" s="489">
        <v>100</v>
      </c>
      <c r="D101" s="489">
        <f t="shared" ref="D101:M101" si="25">C101-$K32</f>
        <v>100</v>
      </c>
      <c r="E101" s="489">
        <f t="shared" si="25"/>
        <v>100</v>
      </c>
      <c r="F101" s="489">
        <f t="shared" si="25"/>
        <v>100</v>
      </c>
      <c r="G101" s="489">
        <f t="shared" si="25"/>
        <v>100</v>
      </c>
      <c r="H101" s="489">
        <f t="shared" si="25"/>
        <v>100</v>
      </c>
      <c r="I101" s="489">
        <f t="shared" si="25"/>
        <v>100</v>
      </c>
      <c r="J101" s="489">
        <f t="shared" si="25"/>
        <v>100</v>
      </c>
      <c r="K101" s="489">
        <f t="shared" si="25"/>
        <v>100</v>
      </c>
      <c r="L101" s="489">
        <f t="shared" si="25"/>
        <v>100</v>
      </c>
      <c r="M101" s="489">
        <f t="shared" si="25"/>
        <v>100</v>
      </c>
      <c r="N101" s="930"/>
      <c r="O101" s="930"/>
      <c r="P101" s="1918"/>
      <c r="Q101" s="449"/>
    </row>
    <row r="102" spans="1:17" ht="15.75" thickTop="1">
      <c r="A102" s="479"/>
      <c r="B102" s="483" t="s">
        <v>1737</v>
      </c>
      <c r="C102" s="523" t="str">
        <f>C103&amp;"(含)"&amp;"-"&amp;D103</f>
        <v>(含)-</v>
      </c>
      <c r="D102" s="523" t="str">
        <f t="shared" ref="D102:L102" si="26">D103&amp;"(含)"&amp;"-"&amp;E103</f>
        <v>(含)-</v>
      </c>
      <c r="E102" s="523" t="str">
        <f t="shared" si="26"/>
        <v>(含)-</v>
      </c>
      <c r="F102" s="523" t="str">
        <f t="shared" si="26"/>
        <v>(含)-</v>
      </c>
      <c r="G102" s="523" t="str">
        <f t="shared" si="26"/>
        <v>(含)-</v>
      </c>
      <c r="H102" s="523" t="str">
        <f t="shared" si="26"/>
        <v>(含)-</v>
      </c>
      <c r="I102" s="523" t="str">
        <f t="shared" si="26"/>
        <v>(含)-</v>
      </c>
      <c r="J102" s="523" t="str">
        <f t="shared" si="26"/>
        <v>(含)-</v>
      </c>
      <c r="K102" s="523" t="str">
        <f>K103&amp;"(含)"&amp;"-"&amp;L103</f>
        <v>(含)-</v>
      </c>
      <c r="L102" s="523" t="str">
        <f t="shared" si="26"/>
        <v>(含)-</v>
      </c>
      <c r="M102" s="523" t="str">
        <f>M103&amp;"(含)"&amp;"-"&amp;P103</f>
        <v>(含)-</v>
      </c>
      <c r="N102" s="928"/>
      <c r="O102" s="928"/>
      <c r="P102" s="1918"/>
      <c r="Q102" s="449"/>
    </row>
    <row r="103" spans="1:17" s="418" customFormat="1">
      <c r="A103" s="538"/>
      <c r="B103" s="539"/>
      <c r="C103" s="540"/>
      <c r="D103" s="540"/>
      <c r="E103" s="540"/>
      <c r="F103" s="540"/>
      <c r="G103" s="540"/>
      <c r="H103" s="540"/>
      <c r="I103" s="540"/>
      <c r="J103" s="541"/>
      <c r="K103" s="541"/>
      <c r="L103" s="542"/>
      <c r="M103" s="543"/>
      <c r="N103" s="931"/>
      <c r="O103" s="931"/>
      <c r="P103" s="1919"/>
      <c r="Q103" s="504"/>
    </row>
    <row r="104" spans="1:17" s="418" customFormat="1" ht="15.75" thickBot="1">
      <c r="A104" s="498"/>
      <c r="B104" s="488"/>
      <c r="C104" s="505"/>
      <c r="D104" s="481"/>
      <c r="E104" s="481"/>
      <c r="F104" s="481"/>
      <c r="G104" s="481"/>
      <c r="H104" s="481"/>
      <c r="I104" s="481"/>
      <c r="J104" s="481"/>
      <c r="K104" s="481"/>
      <c r="L104" s="481"/>
      <c r="M104" s="481"/>
      <c r="N104" s="930"/>
      <c r="O104" s="930"/>
      <c r="P104" s="1919"/>
      <c r="Q104" s="504"/>
    </row>
    <row r="105" spans="1:17" ht="15" thickTop="1">
      <c r="A105" s="544"/>
      <c r="B105" s="483" t="s">
        <v>1738</v>
      </c>
      <c r="C105" s="499"/>
      <c r="D105" s="499"/>
      <c r="E105" s="528"/>
      <c r="F105" s="528"/>
      <c r="G105" s="528"/>
      <c r="H105" s="528"/>
      <c r="I105" s="528"/>
      <c r="J105" s="528"/>
      <c r="K105" s="529"/>
      <c r="L105" s="530"/>
      <c r="M105" s="531"/>
      <c r="N105" s="929"/>
      <c r="O105" s="929"/>
      <c r="P105" s="1918"/>
      <c r="Q105" s="449"/>
    </row>
    <row r="106" spans="1:17" ht="15.75" thickBot="1">
      <c r="A106" s="479"/>
      <c r="B106" s="488"/>
      <c r="C106" s="489">
        <v>100</v>
      </c>
      <c r="D106" s="489">
        <f t="shared" ref="D106:M106" si="27">C106-$K34</f>
        <v>100</v>
      </c>
      <c r="E106" s="489">
        <f t="shared" si="27"/>
        <v>100</v>
      </c>
      <c r="F106" s="489">
        <f t="shared" si="27"/>
        <v>100</v>
      </c>
      <c r="G106" s="489">
        <f t="shared" si="27"/>
        <v>100</v>
      </c>
      <c r="H106" s="489">
        <f t="shared" si="27"/>
        <v>100</v>
      </c>
      <c r="I106" s="489">
        <f t="shared" si="27"/>
        <v>100</v>
      </c>
      <c r="J106" s="489">
        <f t="shared" si="27"/>
        <v>100</v>
      </c>
      <c r="K106" s="489">
        <f t="shared" si="27"/>
        <v>100</v>
      </c>
      <c r="L106" s="489">
        <f t="shared" si="27"/>
        <v>100</v>
      </c>
      <c r="M106" s="489">
        <f t="shared" si="27"/>
        <v>100</v>
      </c>
      <c r="N106" s="930"/>
      <c r="O106" s="930"/>
      <c r="P106" s="1918"/>
      <c r="Q106" s="449"/>
    </row>
    <row r="107" spans="1:17" ht="15" thickTop="1">
      <c r="A107" s="544"/>
      <c r="B107" s="483" t="s">
        <v>1739</v>
      </c>
      <c r="C107" s="528"/>
      <c r="D107" s="528"/>
      <c r="E107" s="528"/>
      <c r="F107" s="528"/>
      <c r="G107" s="528"/>
      <c r="H107" s="528"/>
      <c r="I107" s="528"/>
      <c r="J107" s="528"/>
      <c r="K107" s="529"/>
      <c r="L107" s="530"/>
      <c r="M107" s="531"/>
      <c r="N107" s="929"/>
      <c r="O107" s="929"/>
      <c r="P107" s="1918"/>
      <c r="Q107" s="449"/>
    </row>
    <row r="108" spans="1:17" ht="15.75" thickBot="1">
      <c r="A108" s="479"/>
      <c r="B108" s="488"/>
      <c r="C108" s="489">
        <v>100</v>
      </c>
      <c r="D108" s="489">
        <f t="shared" ref="D108:M108" si="28">C108-$K35</f>
        <v>100</v>
      </c>
      <c r="E108" s="489">
        <f t="shared" si="28"/>
        <v>100</v>
      </c>
      <c r="F108" s="489">
        <f t="shared" si="28"/>
        <v>100</v>
      </c>
      <c r="G108" s="489">
        <f t="shared" si="28"/>
        <v>100</v>
      </c>
      <c r="H108" s="489">
        <f t="shared" si="28"/>
        <v>100</v>
      </c>
      <c r="I108" s="489">
        <f t="shared" si="28"/>
        <v>100</v>
      </c>
      <c r="J108" s="489">
        <f t="shared" si="28"/>
        <v>100</v>
      </c>
      <c r="K108" s="489">
        <f t="shared" si="28"/>
        <v>100</v>
      </c>
      <c r="L108" s="489">
        <f t="shared" si="28"/>
        <v>100</v>
      </c>
      <c r="M108" s="489">
        <f t="shared" si="28"/>
        <v>100</v>
      </c>
      <c r="N108" s="930"/>
      <c r="O108" s="930"/>
      <c r="P108" s="1918"/>
      <c r="Q108" s="449"/>
    </row>
    <row r="109" spans="1:17" ht="15" thickTop="1">
      <c r="A109" s="544"/>
      <c r="B109" s="483" t="s">
        <v>1740</v>
      </c>
      <c r="C109" s="499"/>
      <c r="D109" s="499"/>
      <c r="E109" s="499"/>
      <c r="F109" s="528"/>
      <c r="G109" s="528"/>
      <c r="H109" s="528"/>
      <c r="I109" s="528"/>
      <c r="J109" s="528"/>
      <c r="K109" s="529"/>
      <c r="L109" s="530"/>
      <c r="M109" s="531"/>
      <c r="N109" s="929"/>
      <c r="O109" s="929"/>
      <c r="P109" s="1918"/>
      <c r="Q109" s="449"/>
    </row>
    <row r="110" spans="1:17" ht="15.75" thickBot="1">
      <c r="A110" s="479"/>
      <c r="B110" s="488"/>
      <c r="C110" s="489">
        <v>100</v>
      </c>
      <c r="D110" s="489">
        <f t="shared" ref="D110:M110" si="29">C110-$K36</f>
        <v>100</v>
      </c>
      <c r="E110" s="489">
        <f t="shared" si="29"/>
        <v>100</v>
      </c>
      <c r="F110" s="489">
        <f t="shared" si="29"/>
        <v>100</v>
      </c>
      <c r="G110" s="489">
        <f t="shared" si="29"/>
        <v>100</v>
      </c>
      <c r="H110" s="489">
        <f t="shared" si="29"/>
        <v>100</v>
      </c>
      <c r="I110" s="489">
        <f t="shared" si="29"/>
        <v>100</v>
      </c>
      <c r="J110" s="489">
        <f t="shared" si="29"/>
        <v>100</v>
      </c>
      <c r="K110" s="489">
        <f t="shared" si="29"/>
        <v>100</v>
      </c>
      <c r="L110" s="489">
        <f t="shared" si="29"/>
        <v>100</v>
      </c>
      <c r="M110" s="489">
        <f t="shared" si="29"/>
        <v>100</v>
      </c>
      <c r="N110" s="930"/>
      <c r="O110" s="930"/>
      <c r="P110" s="1918"/>
      <c r="Q110" s="449"/>
    </row>
    <row r="111" spans="1:17" s="418" customFormat="1" ht="15" thickTop="1">
      <c r="A111" s="538"/>
      <c r="B111" s="483" t="s">
        <v>1190</v>
      </c>
      <c r="C111" s="523" t="str">
        <f>C112&amp;"(含)"&amp;"-"&amp;D112</f>
        <v>0.5(含)-0.6</v>
      </c>
      <c r="D111" s="523" t="str">
        <f>D112&amp;"(含)"&amp;"-"&amp;E112</f>
        <v>0.6(含)-0.7</v>
      </c>
      <c r="E111" s="523" t="str">
        <f>E112&amp;"(含)"&amp;"-"&amp;F112</f>
        <v>0.7(含)-0.8</v>
      </c>
      <c r="F111" s="523" t="str">
        <f>F112&amp;"(含)"&amp;"-"&amp;G112</f>
        <v>0.8(含)-0.9</v>
      </c>
      <c r="G111" s="523" t="str">
        <f>G112&amp;"(含)"&amp;"-"&amp;ROUND(H112,0)&amp;"(含)"</f>
        <v>0.9(含)-1(含)</v>
      </c>
      <c r="H111" s="523" t="str">
        <f>ROUND(H112,0)&amp;"(含)"&amp;"-"&amp;I112</f>
        <v>1(含)-</v>
      </c>
      <c r="I111" s="523"/>
      <c r="J111" s="545"/>
      <c r="K111" s="545"/>
      <c r="L111" s="546"/>
      <c r="M111" s="547"/>
      <c r="N111" s="931"/>
      <c r="O111" s="931"/>
      <c r="P111" s="1919"/>
      <c r="Q111" s="504"/>
    </row>
    <row r="112" spans="1:17" s="418" customFormat="1">
      <c r="A112" s="538"/>
      <c r="B112" s="491"/>
      <c r="C112" s="548">
        <v>0.5</v>
      </c>
      <c r="D112" s="548">
        <v>0.6</v>
      </c>
      <c r="E112" s="548">
        <v>0.7</v>
      </c>
      <c r="F112" s="548">
        <v>0.8</v>
      </c>
      <c r="G112" s="548">
        <v>0.9</v>
      </c>
      <c r="H112" s="548">
        <v>1.0001</v>
      </c>
      <c r="I112" s="548"/>
      <c r="J112" s="549"/>
      <c r="K112" s="549"/>
      <c r="L112" s="550"/>
      <c r="M112" s="551"/>
      <c r="N112" s="931"/>
      <c r="O112" s="931"/>
      <c r="P112" s="1919"/>
      <c r="Q112" s="504"/>
    </row>
    <row r="113" spans="1:17" s="418" customFormat="1" ht="15.75" thickBot="1">
      <c r="A113" s="498"/>
      <c r="B113" s="488"/>
      <c r="C113" s="527">
        <v>100</v>
      </c>
      <c r="D113" s="489">
        <f>C113+$K37</f>
        <v>100</v>
      </c>
      <c r="E113" s="489">
        <f>D113+$K37</f>
        <v>100</v>
      </c>
      <c r="F113" s="489">
        <f>E113+$K37</f>
        <v>100</v>
      </c>
      <c r="G113" s="489">
        <f>F113+$K37</f>
        <v>100</v>
      </c>
      <c r="H113" s="489">
        <f>G113+$K37</f>
        <v>100</v>
      </c>
      <c r="I113" s="527"/>
      <c r="J113" s="552"/>
      <c r="K113" s="552"/>
      <c r="L113" s="552"/>
      <c r="M113" s="553"/>
      <c r="N113" s="931"/>
      <c r="O113" s="931"/>
      <c r="P113" s="1919"/>
      <c r="Q113" s="504"/>
    </row>
    <row r="114" spans="1:17" ht="15" thickTop="1">
      <c r="A114" s="544"/>
      <c r="B114" s="483" t="s">
        <v>1741</v>
      </c>
      <c r="C114" s="499"/>
      <c r="D114" s="499"/>
      <c r="E114" s="528"/>
      <c r="F114" s="528"/>
      <c r="G114" s="528"/>
      <c r="H114" s="528"/>
      <c r="I114" s="528"/>
      <c r="J114" s="528"/>
      <c r="K114" s="529"/>
      <c r="L114" s="530"/>
      <c r="M114" s="531"/>
      <c r="N114" s="929"/>
      <c r="O114" s="929"/>
      <c r="P114" s="1918"/>
      <c r="Q114" s="449"/>
    </row>
    <row r="115" spans="1:17" ht="15.75" thickBot="1">
      <c r="A115" s="479"/>
      <c r="B115" s="488"/>
      <c r="C115" s="489">
        <v>100</v>
      </c>
      <c r="D115" s="489">
        <f t="shared" ref="D115:M115" si="30">C115-$K38</f>
        <v>100</v>
      </c>
      <c r="E115" s="489">
        <f t="shared" si="30"/>
        <v>100</v>
      </c>
      <c r="F115" s="489">
        <f t="shared" si="30"/>
        <v>100</v>
      </c>
      <c r="G115" s="489">
        <f t="shared" si="30"/>
        <v>100</v>
      </c>
      <c r="H115" s="489">
        <f t="shared" si="30"/>
        <v>100</v>
      </c>
      <c r="I115" s="489">
        <f t="shared" si="30"/>
        <v>100</v>
      </c>
      <c r="J115" s="489">
        <f t="shared" si="30"/>
        <v>100</v>
      </c>
      <c r="K115" s="489">
        <f t="shared" si="30"/>
        <v>100</v>
      </c>
      <c r="L115" s="489">
        <f t="shared" si="30"/>
        <v>100</v>
      </c>
      <c r="M115" s="489">
        <f t="shared" si="30"/>
        <v>100</v>
      </c>
      <c r="N115" s="930"/>
      <c r="O115" s="930"/>
      <c r="P115" s="1918"/>
      <c r="Q115" s="449"/>
    </row>
    <row r="116" spans="1:17" ht="15" thickTop="1">
      <c r="A116" s="544"/>
      <c r="B116" s="483" t="s">
        <v>1742</v>
      </c>
      <c r="C116" s="499"/>
      <c r="D116" s="499"/>
      <c r="E116" s="499"/>
      <c r="F116" s="499"/>
      <c r="G116" s="499"/>
      <c r="H116" s="528"/>
      <c r="I116" s="528"/>
      <c r="J116" s="528"/>
      <c r="K116" s="529"/>
      <c r="L116" s="530"/>
      <c r="M116" s="531"/>
      <c r="N116" s="929"/>
      <c r="O116" s="929"/>
      <c r="P116" s="1918"/>
      <c r="Q116" s="449"/>
    </row>
    <row r="117" spans="1:17" ht="15.75" thickBot="1">
      <c r="A117" s="479"/>
      <c r="B117" s="488"/>
      <c r="C117" s="489">
        <v>100</v>
      </c>
      <c r="D117" s="489">
        <f>C117-$K39</f>
        <v>100</v>
      </c>
      <c r="E117" s="489">
        <f>D117-$K39</f>
        <v>100</v>
      </c>
      <c r="F117" s="489">
        <f>E117-$K39</f>
        <v>100</v>
      </c>
      <c r="G117" s="489">
        <f>F117-$K39</f>
        <v>100</v>
      </c>
      <c r="H117" s="489"/>
      <c r="I117" s="489"/>
      <c r="J117" s="489"/>
      <c r="K117" s="489"/>
      <c r="L117" s="489"/>
      <c r="M117" s="490"/>
      <c r="N117" s="930"/>
      <c r="O117" s="930"/>
      <c r="P117" s="1918"/>
      <c r="Q117" s="449"/>
    </row>
    <row r="118" spans="1:17" ht="15" thickTop="1">
      <c r="A118" s="544"/>
      <c r="B118" s="483" t="s">
        <v>1743</v>
      </c>
      <c r="C118" s="528"/>
      <c r="D118" s="528"/>
      <c r="E118" s="528"/>
      <c r="F118" s="528"/>
      <c r="G118" s="528"/>
      <c r="H118" s="528"/>
      <c r="I118" s="528"/>
      <c r="J118" s="528"/>
      <c r="K118" s="529"/>
      <c r="L118" s="530"/>
      <c r="M118" s="531"/>
      <c r="N118" s="929"/>
      <c r="O118" s="929"/>
      <c r="P118" s="1918"/>
      <c r="Q118" s="449"/>
    </row>
    <row r="119" spans="1:17" ht="15.75" thickBot="1">
      <c r="A119" s="479"/>
      <c r="B119" s="488"/>
      <c r="C119" s="489">
        <v>100</v>
      </c>
      <c r="D119" s="489">
        <f t="shared" ref="D119:M119" si="31">C119-$K40</f>
        <v>100</v>
      </c>
      <c r="E119" s="489">
        <f t="shared" si="31"/>
        <v>100</v>
      </c>
      <c r="F119" s="489">
        <f t="shared" si="31"/>
        <v>100</v>
      </c>
      <c r="G119" s="489">
        <f t="shared" si="31"/>
        <v>100</v>
      </c>
      <c r="H119" s="489">
        <f t="shared" si="31"/>
        <v>100</v>
      </c>
      <c r="I119" s="489">
        <f t="shared" si="31"/>
        <v>100</v>
      </c>
      <c r="J119" s="489">
        <f t="shared" si="31"/>
        <v>100</v>
      </c>
      <c r="K119" s="489">
        <f t="shared" si="31"/>
        <v>100</v>
      </c>
      <c r="L119" s="489">
        <f t="shared" si="31"/>
        <v>100</v>
      </c>
      <c r="M119" s="489">
        <f t="shared" si="31"/>
        <v>100</v>
      </c>
      <c r="N119" s="930"/>
      <c r="O119" s="930"/>
      <c r="P119" s="1918"/>
      <c r="Q119" s="449"/>
    </row>
    <row r="120" spans="1:17" s="418" customFormat="1" ht="28.5" thickTop="1">
      <c r="A120" s="538"/>
      <c r="B120" s="483" t="s">
        <v>1705</v>
      </c>
      <c r="C120" s="499"/>
      <c r="D120" s="499"/>
      <c r="E120" s="499"/>
      <c r="F120" s="499"/>
      <c r="G120" s="499"/>
      <c r="H120" s="499"/>
      <c r="I120" s="499"/>
      <c r="J120" s="499"/>
      <c r="K120" s="499"/>
      <c r="L120" s="525"/>
      <c r="M120" s="526"/>
      <c r="N120" s="931"/>
      <c r="O120" s="931"/>
      <c r="P120" s="1919"/>
      <c r="Q120" s="504"/>
    </row>
    <row r="121" spans="1:17" s="418" customFormat="1" ht="15.75" thickBot="1">
      <c r="A121" s="498"/>
      <c r="B121" s="480"/>
      <c r="C121" s="505"/>
      <c r="D121" s="481"/>
      <c r="E121" s="481"/>
      <c r="F121" s="481"/>
      <c r="G121" s="481"/>
      <c r="H121" s="481"/>
      <c r="I121" s="481"/>
      <c r="J121" s="481"/>
      <c r="K121" s="481"/>
      <c r="L121" s="481"/>
      <c r="M121" s="481"/>
      <c r="N121" s="931"/>
      <c r="O121" s="931"/>
      <c r="P121" s="1919"/>
      <c r="Q121" s="504"/>
    </row>
    <row r="122" spans="1:17" ht="15" thickTop="1">
      <c r="A122" s="544"/>
      <c r="B122" s="483" t="s">
        <v>1744</v>
      </c>
      <c r="C122" s="499"/>
      <c r="D122" s="499"/>
      <c r="E122" s="499"/>
      <c r="F122" s="528"/>
      <c r="G122" s="528"/>
      <c r="H122" s="528"/>
      <c r="I122" s="528"/>
      <c r="J122" s="528"/>
      <c r="K122" s="529"/>
      <c r="L122" s="530"/>
      <c r="M122" s="531"/>
      <c r="N122" s="929"/>
      <c r="O122" s="929"/>
      <c r="P122" s="1918"/>
      <c r="Q122" s="449"/>
    </row>
    <row r="123" spans="1:17" ht="15.75" thickBot="1">
      <c r="A123" s="479"/>
      <c r="B123" s="488"/>
      <c r="C123" s="489">
        <v>100</v>
      </c>
      <c r="D123" s="489">
        <f t="shared" ref="D123:M123" si="32">C123-$K42</f>
        <v>100</v>
      </c>
      <c r="E123" s="489">
        <f t="shared" si="32"/>
        <v>100</v>
      </c>
      <c r="F123" s="489">
        <f t="shared" si="32"/>
        <v>100</v>
      </c>
      <c r="G123" s="489">
        <f t="shared" si="32"/>
        <v>100</v>
      </c>
      <c r="H123" s="489">
        <f t="shared" si="32"/>
        <v>100</v>
      </c>
      <c r="I123" s="489">
        <f t="shared" si="32"/>
        <v>100</v>
      </c>
      <c r="J123" s="489">
        <f t="shared" si="32"/>
        <v>100</v>
      </c>
      <c r="K123" s="489">
        <f t="shared" si="32"/>
        <v>100</v>
      </c>
      <c r="L123" s="489">
        <f t="shared" si="32"/>
        <v>100</v>
      </c>
      <c r="M123" s="489">
        <f t="shared" si="32"/>
        <v>100</v>
      </c>
      <c r="N123" s="930"/>
      <c r="O123" s="930"/>
      <c r="P123" s="1918"/>
      <c r="Q123" s="449"/>
    </row>
    <row r="124" spans="1:17" ht="15" thickTop="1">
      <c r="A124" s="544"/>
      <c r="B124" s="483" t="s">
        <v>1745</v>
      </c>
      <c r="C124" s="523" t="s">
        <v>1721</v>
      </c>
      <c r="D124" s="523" t="s">
        <v>1722</v>
      </c>
      <c r="E124" s="523" t="s">
        <v>1723</v>
      </c>
      <c r="F124" s="523" t="s">
        <v>1724</v>
      </c>
      <c r="G124" s="523" t="s">
        <v>1725</v>
      </c>
      <c r="H124" s="484"/>
      <c r="I124" s="484"/>
      <c r="J124" s="484"/>
      <c r="K124" s="485"/>
      <c r="L124" s="486"/>
      <c r="M124" s="487"/>
      <c r="N124" s="929"/>
      <c r="O124" s="929"/>
      <c r="P124" s="1919"/>
      <c r="Q124" s="449"/>
    </row>
    <row r="125" spans="1:17" ht="15.75" thickBot="1">
      <c r="A125" s="479"/>
      <c r="B125" s="488"/>
      <c r="C125" s="489">
        <v>100</v>
      </c>
      <c r="D125" s="489">
        <f>C125-$K43</f>
        <v>100</v>
      </c>
      <c r="E125" s="489">
        <f>D125-$K43</f>
        <v>100</v>
      </c>
      <c r="F125" s="489">
        <f>E125-$K43</f>
        <v>100</v>
      </c>
      <c r="G125" s="489">
        <f>F125-$K43</f>
        <v>100</v>
      </c>
      <c r="H125" s="489"/>
      <c r="I125" s="489"/>
      <c r="J125" s="489"/>
      <c r="K125" s="489"/>
      <c r="L125" s="489"/>
      <c r="M125" s="490"/>
      <c r="N125" s="930"/>
      <c r="O125" s="930"/>
      <c r="P125" s="1918"/>
      <c r="Q125" s="449"/>
    </row>
    <row r="126" spans="1:17" s="418" customFormat="1" ht="15" thickTop="1">
      <c r="A126" s="538"/>
      <c r="B126" s="483">
        <f>B44</f>
        <v>111</v>
      </c>
      <c r="C126" s="499"/>
      <c r="D126" s="499"/>
      <c r="E126" s="499"/>
      <c r="F126" s="499"/>
      <c r="G126" s="499"/>
      <c r="H126" s="500"/>
      <c r="I126" s="500"/>
      <c r="J126" s="500"/>
      <c r="K126" s="500"/>
      <c r="L126" s="501"/>
      <c r="M126" s="502"/>
      <c r="N126" s="931"/>
      <c r="O126" s="931"/>
      <c r="P126" s="1919"/>
      <c r="Q126" s="504"/>
    </row>
    <row r="127" spans="1:17" s="418" customFormat="1" ht="15.75" thickBot="1">
      <c r="A127" s="498"/>
      <c r="B127" s="488"/>
      <c r="C127" s="505"/>
      <c r="D127" s="481"/>
      <c r="E127" s="481"/>
      <c r="F127" s="481"/>
      <c r="G127" s="505"/>
      <c r="H127" s="507"/>
      <c r="I127" s="507"/>
      <c r="J127" s="507"/>
      <c r="K127" s="507"/>
      <c r="L127" s="507"/>
      <c r="M127" s="508"/>
      <c r="N127" s="931"/>
      <c r="O127" s="931"/>
      <c r="P127" s="1919"/>
      <c r="Q127" s="504"/>
    </row>
    <row r="128" spans="1:17" ht="15" thickTop="1">
      <c r="A128" s="544"/>
      <c r="B128" s="483">
        <f>B45</f>
        <v>111</v>
      </c>
      <c r="C128" s="499"/>
      <c r="D128" s="499"/>
      <c r="E128" s="499"/>
      <c r="F128" s="499"/>
      <c r="G128" s="528"/>
      <c r="H128" s="528"/>
      <c r="I128" s="528"/>
      <c r="J128" s="528"/>
      <c r="K128" s="529"/>
      <c r="L128" s="530"/>
      <c r="M128" s="531"/>
      <c r="N128" s="929"/>
      <c r="O128" s="929"/>
      <c r="P128" s="1918"/>
      <c r="Q128" s="449"/>
    </row>
    <row r="129" spans="1:17" ht="15.75" thickBot="1">
      <c r="A129" s="479"/>
      <c r="B129" s="488"/>
      <c r="C129" s="505"/>
      <c r="D129" s="505"/>
      <c r="E129" s="505"/>
      <c r="F129" s="505"/>
      <c r="G129" s="481"/>
      <c r="H129" s="481"/>
      <c r="I129" s="481"/>
      <c r="J129" s="481"/>
      <c r="K129" s="481"/>
      <c r="L129" s="481"/>
      <c r="M129" s="482"/>
      <c r="N129" s="930"/>
      <c r="O129" s="930"/>
      <c r="P129" s="1918"/>
      <c r="Q129" s="449"/>
    </row>
    <row r="130" spans="1:17" ht="15" thickTop="1">
      <c r="A130" s="544"/>
      <c r="B130" s="491">
        <f>B46</f>
        <v>111</v>
      </c>
      <c r="C130" s="499"/>
      <c r="D130" s="499"/>
      <c r="E130" s="499"/>
      <c r="F130" s="499"/>
      <c r="G130" s="532"/>
      <c r="H130" s="532"/>
      <c r="I130" s="532"/>
      <c r="J130" s="532"/>
      <c r="K130" s="468"/>
      <c r="L130" s="469"/>
      <c r="M130" s="535"/>
      <c r="N130" s="929"/>
      <c r="O130" s="929"/>
      <c r="P130" s="1918"/>
      <c r="Q130" s="449"/>
    </row>
    <row r="131" spans="1:17" ht="15.75" thickBot="1">
      <c r="A131" s="1924"/>
      <c r="B131" s="514"/>
      <c r="C131" s="515"/>
      <c r="D131" s="515"/>
      <c r="E131" s="515"/>
      <c r="F131" s="515"/>
      <c r="G131" s="536"/>
      <c r="H131" s="536"/>
      <c r="I131" s="536"/>
      <c r="J131" s="536"/>
      <c r="K131" s="536"/>
      <c r="L131" s="536"/>
      <c r="M131" s="537"/>
      <c r="N131" s="930"/>
      <c r="O131" s="930"/>
      <c r="P131" s="1918"/>
      <c r="Q131" s="449"/>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3" t="s">
        <v>1749</v>
      </c>
      <c r="D138" s="133" t="s">
        <v>1750</v>
      </c>
      <c r="E138" s="1933" t="s">
        <v>1751</v>
      </c>
      <c r="F138" s="1934" t="s">
        <v>1752</v>
      </c>
      <c r="G138" s="133" t="s">
        <v>1750</v>
      </c>
      <c r="H138" s="134" t="s">
        <v>1751</v>
      </c>
      <c r="I138" s="1935"/>
      <c r="J138" s="133" t="s">
        <v>1753</v>
      </c>
      <c r="K138" s="134"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67">
        <f>ROUNDUP((J139-1)/2,0)</f>
        <v>10</v>
      </c>
      <c r="K140" s="874">
        <v>100</v>
      </c>
    </row>
    <row r="141" spans="1:17" ht="15">
      <c r="B141" s="869">
        <v>4</v>
      </c>
      <c r="C141" s="870">
        <v>102</v>
      </c>
      <c r="D141" s="870"/>
      <c r="E141" s="871"/>
      <c r="F141" s="872">
        <v>101.5</v>
      </c>
      <c r="G141" s="870"/>
      <c r="H141" s="873"/>
      <c r="I141" s="1938" t="s">
        <v>1758</v>
      </c>
      <c r="J141" s="267">
        <v>1</v>
      </c>
      <c r="K141" s="875">
        <f>ROUND(100+(J141-J140)*K139*100,1)</f>
        <v>96.4</v>
      </c>
    </row>
    <row r="142" spans="1:17" ht="15">
      <c r="B142" s="869">
        <v>3</v>
      </c>
      <c r="C142" s="870">
        <v>103</v>
      </c>
      <c r="D142" s="870"/>
      <c r="E142" s="871"/>
      <c r="F142" s="872">
        <v>101</v>
      </c>
      <c r="G142" s="870"/>
      <c r="H142" s="873"/>
      <c r="I142" s="1938" t="s">
        <v>1759</v>
      </c>
      <c r="J142" s="267">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191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1660</v>
      </c>
      <c r="B1" s="1874" t="s">
        <v>1766</v>
      </c>
      <c r="C1" s="1234" t="s">
        <v>1662</v>
      </c>
      <c r="D1" s="1221"/>
      <c r="E1" s="3416"/>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8"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4"/>
      <c r="M2" s="2725"/>
      <c r="N2" s="2725"/>
      <c r="O2" s="2725"/>
      <c r="P2" s="1948"/>
      <c r="Q2" s="908"/>
      <c r="R2" s="908"/>
      <c r="S2" s="908"/>
      <c r="T2" s="908"/>
      <c r="U2" s="908"/>
      <c r="V2" s="908"/>
      <c r="W2" s="908"/>
      <c r="X2" s="908"/>
      <c r="Y2" s="908"/>
      <c r="Z2" s="908"/>
      <c r="AA2" s="908"/>
      <c r="AB2" s="908"/>
      <c r="AC2" s="1949"/>
    </row>
    <row r="3" spans="1:29" s="348" customFormat="1" ht="28.5" customHeight="1" thickBot="1">
      <c r="A3" s="199" t="s">
        <v>1464</v>
      </c>
      <c r="B3" s="554">
        <f>IF(C2="——",C49,ROUND(B2*10000/D3,0))</f>
        <v>0</v>
      </c>
      <c r="C3" s="350" t="s">
        <v>1768</v>
      </c>
      <c r="D3" s="349">
        <f>IF(D1="",'数据-汇总表'!E3,SUMIF('数据-汇总表'!$C19:$C33,D1,'数据-汇总表'!$E19:$E33))</f>
        <v>103096.20000000001</v>
      </c>
      <c r="E3" s="1950"/>
      <c r="F3" s="905"/>
      <c r="G3" s="904"/>
      <c r="H3" s="904"/>
      <c r="I3" s="904"/>
      <c r="J3" s="904"/>
      <c r="K3" s="906"/>
      <c r="L3" s="2724"/>
      <c r="M3" s="2725"/>
      <c r="N3" s="2725"/>
      <c r="O3" s="2725"/>
      <c r="P3" s="1948"/>
      <c r="Q3" s="908"/>
      <c r="R3" s="908"/>
      <c r="S3" s="908"/>
      <c r="T3" s="908"/>
      <c r="U3" s="908"/>
      <c r="V3" s="908"/>
      <c r="W3" s="908"/>
      <c r="X3" s="908"/>
      <c r="Y3" s="908"/>
      <c r="Z3" s="908"/>
      <c r="AA3" s="908"/>
      <c r="AB3" s="908"/>
      <c r="AC3" s="1950"/>
    </row>
    <row r="4" spans="1:29" ht="15">
      <c r="A4" s="351" t="s">
        <v>1769</v>
      </c>
      <c r="B4" s="352"/>
      <c r="C4" s="3730" t="s">
        <v>1770</v>
      </c>
      <c r="D4" s="3742"/>
      <c r="E4" s="3743" t="s">
        <v>1771</v>
      </c>
      <c r="F4" s="3744"/>
      <c r="G4" s="3730" t="s">
        <v>1772</v>
      </c>
      <c r="H4" s="3742"/>
      <c r="I4" s="3730" t="s">
        <v>1773</v>
      </c>
      <c r="J4" s="3742"/>
      <c r="K4" s="555" t="s">
        <v>1774</v>
      </c>
      <c r="L4" s="2705"/>
      <c r="M4" s="2706"/>
      <c r="N4" s="2706"/>
      <c r="O4" s="2706"/>
      <c r="P4" s="3745" t="s">
        <v>1775</v>
      </c>
      <c r="Q4" s="3746"/>
      <c r="R4" s="3751" t="s">
        <v>1771</v>
      </c>
      <c r="S4" s="3752"/>
      <c r="T4" s="3751" t="s">
        <v>1772</v>
      </c>
      <c r="U4" s="3752"/>
      <c r="V4" s="3738" t="s">
        <v>1773</v>
      </c>
      <c r="W4" s="3738"/>
      <c r="X4" s="1351"/>
      <c r="Y4" s="3751" t="s">
        <v>1775</v>
      </c>
      <c r="Z4" s="3752"/>
      <c r="AA4" s="3739" t="s">
        <v>1771</v>
      </c>
      <c r="AB4" s="3738" t="s">
        <v>1772</v>
      </c>
      <c r="AC4" s="3739" t="s">
        <v>1773</v>
      </c>
    </row>
    <row r="5" spans="1:29" ht="15">
      <c r="A5" s="354"/>
      <c r="B5" s="355"/>
      <c r="C5" s="3759" t="s">
        <v>1673</v>
      </c>
      <c r="D5" s="3760"/>
      <c r="E5" s="3766" t="s">
        <v>1674</v>
      </c>
      <c r="F5" s="3767"/>
      <c r="G5" s="3759" t="s">
        <v>1675</v>
      </c>
      <c r="H5" s="3760"/>
      <c r="I5" s="3759" t="s">
        <v>1676</v>
      </c>
      <c r="J5" s="3760"/>
      <c r="K5" s="555"/>
      <c r="L5" s="2705"/>
      <c r="M5" s="2706"/>
      <c r="N5" s="2706"/>
      <c r="O5" s="2706"/>
      <c r="P5" s="3747"/>
      <c r="Q5" s="3748"/>
      <c r="R5" s="3753"/>
      <c r="S5" s="3754"/>
      <c r="T5" s="3753"/>
      <c r="U5" s="3754"/>
      <c r="V5" s="3738"/>
      <c r="W5" s="3738"/>
      <c r="X5" s="1351"/>
      <c r="Y5" s="3753"/>
      <c r="Z5" s="3754"/>
      <c r="AA5" s="3740"/>
      <c r="AB5" s="3738"/>
      <c r="AC5" s="3740"/>
    </row>
    <row r="6" spans="1:29" ht="15.75" thickBot="1">
      <c r="A6" s="356"/>
      <c r="B6" s="357"/>
      <c r="C6" s="3757" t="s">
        <v>1677</v>
      </c>
      <c r="D6" s="3758"/>
      <c r="E6" s="3764" t="s">
        <v>1677</v>
      </c>
      <c r="F6" s="3765"/>
      <c r="G6" s="3757" t="s">
        <v>1677</v>
      </c>
      <c r="H6" s="3758"/>
      <c r="I6" s="3757" t="s">
        <v>1677</v>
      </c>
      <c r="J6" s="3758"/>
      <c r="K6" s="555" t="s">
        <v>1678</v>
      </c>
      <c r="L6" s="2705"/>
      <c r="M6" s="2706"/>
      <c r="N6" s="2706"/>
      <c r="O6" s="2706"/>
      <c r="P6" s="3749"/>
      <c r="Q6" s="3750"/>
      <c r="R6" s="3753"/>
      <c r="S6" s="3754"/>
      <c r="T6" s="3755"/>
      <c r="U6" s="3756"/>
      <c r="V6" s="3738"/>
      <c r="W6" s="3738"/>
      <c r="X6" s="1351"/>
      <c r="Y6" s="3755"/>
      <c r="Z6" s="3756"/>
      <c r="AA6" s="3741"/>
      <c r="AB6" s="3738"/>
      <c r="AC6" s="3741"/>
    </row>
    <row r="7" spans="1:29" s="106" customFormat="1" ht="15.75" thickBot="1">
      <c r="A7" s="358" t="s">
        <v>1679</v>
      </c>
      <c r="B7" s="359"/>
      <c r="C7" s="360">
        <f>'数据-取费表'!B2</f>
        <v>44992</v>
      </c>
      <c r="D7" s="361">
        <v>100</v>
      </c>
      <c r="E7" s="362"/>
      <c r="F7" s="363">
        <f>SUMIF(58:58,YEAR(E7)&amp;"-"&amp;MONTH(E7),59:59)</f>
        <v>0</v>
      </c>
      <c r="G7" s="362"/>
      <c r="H7" s="361">
        <f>SUMIF(58:58,YEAR(G7)&amp;"-"&amp;MONTH(G7),59:59)</f>
        <v>0</v>
      </c>
      <c r="I7" s="362"/>
      <c r="J7" s="361">
        <f>SUMIF(58:58,YEAR(I7)&amp;"-"&amp;MONTH(I7),59:59)</f>
        <v>0</v>
      </c>
      <c r="K7" s="556"/>
      <c r="L7" s="2707"/>
      <c r="M7" s="2708"/>
      <c r="N7" s="2708"/>
      <c r="O7" s="2708"/>
      <c r="P7" s="3761" t="s">
        <v>1680</v>
      </c>
      <c r="Q7" s="3763"/>
      <c r="R7" s="697" t="s">
        <v>14</v>
      </c>
      <c r="S7" s="698">
        <f t="shared" ref="S7:S15" si="0">F7</f>
        <v>0</v>
      </c>
      <c r="T7" s="697" t="s">
        <v>14</v>
      </c>
      <c r="U7" s="698">
        <f t="shared" ref="U7:U15" si="1">H7</f>
        <v>0</v>
      </c>
      <c r="V7" s="697" t="s">
        <v>14</v>
      </c>
      <c r="W7" s="698">
        <f t="shared" ref="W7:W15" si="2">J7</f>
        <v>0</v>
      </c>
      <c r="X7" s="699"/>
      <c r="Y7" s="3761" t="s">
        <v>1680</v>
      </c>
      <c r="Z7" s="3762"/>
      <c r="AA7" s="700" t="e">
        <f>D7/F7</f>
        <v>#DIV/0!</v>
      </c>
      <c r="AB7" s="700" t="e">
        <f>D7/H7</f>
        <v>#DIV/0!</v>
      </c>
      <c r="AC7" s="700" t="e">
        <f>D7/J7</f>
        <v>#DIV/0!</v>
      </c>
    </row>
    <row r="8" spans="1:29" s="106" customFormat="1" ht="15.75" thickBot="1">
      <c r="A8" s="358" t="s">
        <v>1681</v>
      </c>
      <c r="B8" s="359"/>
      <c r="C8" s="364"/>
      <c r="D8" s="361">
        <v>100</v>
      </c>
      <c r="E8" s="364"/>
      <c r="F8" s="363">
        <f>SUMIF(61:61,E8,62:62)-SUMIF(61:61,C8,62:62)+100</f>
        <v>100</v>
      </c>
      <c r="G8" s="364"/>
      <c r="H8" s="361">
        <f>SUMIF(61:61,G8,62:62)-SUMIF(61:61,C8,62:62)+100</f>
        <v>100</v>
      </c>
      <c r="I8" s="364"/>
      <c r="J8" s="361">
        <f>SUMIF(61:61,I8,62:62)-SUMIF(61:61,C8,62:62)+100</f>
        <v>100</v>
      </c>
      <c r="K8" s="556"/>
      <c r="L8" s="2707"/>
      <c r="M8" s="2708"/>
      <c r="N8" s="2708"/>
      <c r="O8" s="2708"/>
      <c r="P8" s="3761" t="s">
        <v>1683</v>
      </c>
      <c r="Q8" s="3762"/>
      <c r="R8" s="697" t="s">
        <v>14</v>
      </c>
      <c r="S8" s="698">
        <f t="shared" si="0"/>
        <v>100</v>
      </c>
      <c r="T8" s="697" t="s">
        <v>14</v>
      </c>
      <c r="U8" s="698">
        <f t="shared" si="1"/>
        <v>100</v>
      </c>
      <c r="V8" s="697" t="s">
        <v>14</v>
      </c>
      <c r="W8" s="698">
        <f t="shared" si="2"/>
        <v>100</v>
      </c>
      <c r="X8" s="699"/>
      <c r="Y8" s="3761" t="s">
        <v>1683</v>
      </c>
      <c r="Z8" s="3762"/>
      <c r="AA8" s="700">
        <f t="shared" ref="AA8:AA46" si="3">D8/F8</f>
        <v>1</v>
      </c>
      <c r="AB8" s="700">
        <f t="shared" ref="AB8:AB46" si="4">D8/H8</f>
        <v>1</v>
      </c>
      <c r="AC8" s="700">
        <f t="shared" ref="AC8:AC46" si="5">D8/J8</f>
        <v>1</v>
      </c>
    </row>
    <row r="9" spans="1:29" s="106" customFormat="1">
      <c r="A9" s="365" t="s">
        <v>1684</v>
      </c>
      <c r="B9" s="63" t="s">
        <v>1685</v>
      </c>
      <c r="C9" s="366"/>
      <c r="D9" s="122">
        <v>100</v>
      </c>
      <c r="E9" s="367"/>
      <c r="F9" s="368">
        <f>SUMIF(63:63,E9,64:64)-SUMIF(63:63,C9,64:64)+100</f>
        <v>100</v>
      </c>
      <c r="G9" s="367"/>
      <c r="H9" s="122">
        <f>SUMIF(63:63,G9,64:64)-SUMIF(63:63,C9,64:64)+100</f>
        <v>100</v>
      </c>
      <c r="I9" s="367"/>
      <c r="J9" s="122">
        <f>SUMIF(63:63,I9,64:64)-SUMIF(63:63,C9,64:64)+100</f>
        <v>100</v>
      </c>
      <c r="K9" s="556"/>
      <c r="L9" s="2707"/>
      <c r="M9" s="2708"/>
      <c r="N9" s="2708"/>
      <c r="O9" s="2708"/>
      <c r="P9" s="3732"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700">
        <f t="shared" si="5"/>
        <v>1</v>
      </c>
    </row>
    <row r="10" spans="1:29" s="374" customFormat="1" ht="27">
      <c r="A10" s="370"/>
      <c r="B10" s="371" t="s">
        <v>1688</v>
      </c>
      <c r="C10" s="3424"/>
      <c r="D10" s="123">
        <v>100</v>
      </c>
      <c r="E10" s="3425"/>
      <c r="F10" s="372">
        <f>SUMIF(65:65,E10,66:66)-SUMIF(65:65,C10,66:66)+100</f>
        <v>100</v>
      </c>
      <c r="G10" s="3424"/>
      <c r="H10" s="123">
        <f>SUMIF(65:65,G10,66:66)-SUMIF(65:65,C10,66:66)+100</f>
        <v>100</v>
      </c>
      <c r="I10" s="3424"/>
      <c r="J10" s="123">
        <f>SUMIF(65:65,I10,66:66)-SUMIF(65:65,C10,66:66)+100</f>
        <v>100</v>
      </c>
      <c r="K10" s="556"/>
      <c r="L10" s="2709"/>
      <c r="M10" s="2710"/>
      <c r="N10" s="2710"/>
      <c r="O10" s="2710"/>
      <c r="P10" s="3732"/>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375"/>
      <c r="B11" s="371" t="s">
        <v>1689</v>
      </c>
      <c r="C11" s="376"/>
      <c r="D11" s="123">
        <v>100</v>
      </c>
      <c r="E11" s="377"/>
      <c r="F11" s="372" t="e">
        <f>LOOKUP(E11,68:68,69:69)-LOOKUP(C11,68:68,69:69)+100</f>
        <v>#N/A</v>
      </c>
      <c r="G11" s="376"/>
      <c r="H11" s="123" t="e">
        <f>LOOKUP(G11,68:68,69:69)-LOOKUP(C11,68:68,69:69)+100</f>
        <v>#N/A</v>
      </c>
      <c r="I11" s="376"/>
      <c r="J11" s="123" t="e">
        <f>LOOKUP(I11,68:68,69:69)-LOOKUP(C11,68:68,69:69)+100</f>
        <v>#N/A</v>
      </c>
      <c r="K11" s="557"/>
      <c r="L11" s="2711"/>
      <c r="M11" s="2706"/>
      <c r="N11" s="2706"/>
      <c r="O11" s="2706"/>
      <c r="P11" s="3732"/>
      <c r="Q11" s="1339" t="str">
        <f t="shared" si="6"/>
        <v>容积率</v>
      </c>
      <c r="R11" s="697" t="s">
        <v>14</v>
      </c>
      <c r="S11" s="698" t="e">
        <f t="shared" si="0"/>
        <v>#N/A</v>
      </c>
      <c r="T11" s="697" t="s">
        <v>14</v>
      </c>
      <c r="U11" s="698" t="e">
        <f t="shared" si="1"/>
        <v>#N/A</v>
      </c>
      <c r="V11" s="697" t="s">
        <v>14</v>
      </c>
      <c r="W11" s="698" t="e">
        <f t="shared" si="2"/>
        <v>#N/A</v>
      </c>
      <c r="X11" s="699"/>
      <c r="Y11" s="3614"/>
      <c r="Z11" s="52" t="str">
        <f t="shared" si="7"/>
        <v>容积率</v>
      </c>
      <c r="AA11" s="700" t="e">
        <f t="shared" si="3"/>
        <v>#N/A</v>
      </c>
      <c r="AB11" s="700" t="e">
        <f t="shared" si="4"/>
        <v>#N/A</v>
      </c>
      <c r="AC11" s="700" t="e">
        <f t="shared" si="5"/>
        <v>#N/A</v>
      </c>
    </row>
    <row r="12" spans="1:29" s="106" customFormat="1" ht="15">
      <c r="A12" s="378"/>
      <c r="B12" s="1889">
        <v>111</v>
      </c>
      <c r="C12" s="379"/>
      <c r="D12" s="380">
        <v>100</v>
      </c>
      <c r="E12" s="381"/>
      <c r="F12" s="372">
        <f>SUMIF(70:70,E12,71:71)-SUMIF(70:70,C12,71:71)+100</f>
        <v>100</v>
      </c>
      <c r="G12" s="381"/>
      <c r="H12" s="123">
        <f>SUMIF(70:70,G12,71:71)-SUMIF(70:70,C12,71:71)+100</f>
        <v>100</v>
      </c>
      <c r="I12" s="381"/>
      <c r="J12" s="123">
        <f>SUMIF(70:70,I12,71:71)-SUMIF(70:70,C12,71:71)+100</f>
        <v>100</v>
      </c>
      <c r="K12" s="558"/>
      <c r="L12" s="2707"/>
      <c r="M12" s="2708"/>
      <c r="N12" s="2708"/>
      <c r="O12" s="2708"/>
      <c r="P12" s="3732"/>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
      <c r="A13" s="375"/>
      <c r="B13" s="1889">
        <v>111</v>
      </c>
      <c r="C13" s="381"/>
      <c r="D13" s="382">
        <v>100</v>
      </c>
      <c r="E13" s="381"/>
      <c r="F13" s="372">
        <f>SUMIF(72:72,E13,73:73)-SUMIF(72:72,C13,73:73)+100</f>
        <v>100</v>
      </c>
      <c r="G13" s="381"/>
      <c r="H13" s="382">
        <f>SUMIF(72:72,G13,73:73)-SUMIF(72:72,C13,73:73)+100</f>
        <v>100</v>
      </c>
      <c r="I13" s="381"/>
      <c r="J13" s="382">
        <f>SUMIF(72:72,I13,73:73)-SUMIF(72:72,C13,73:73)+100</f>
        <v>100</v>
      </c>
      <c r="K13" s="558"/>
      <c r="L13" s="2712"/>
      <c r="M13" s="2706"/>
      <c r="N13" s="2706"/>
      <c r="O13" s="2706"/>
      <c r="P13" s="3732"/>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15.75" thickBot="1">
      <c r="A14" s="383"/>
      <c r="B14" s="1891">
        <v>111</v>
      </c>
      <c r="C14" s="384"/>
      <c r="D14" s="385">
        <v>100</v>
      </c>
      <c r="E14" s="381"/>
      <c r="F14" s="386">
        <f>SUMIF(74:74,E14,75:75)-SUMIF(74:74,C14,75:75)+100</f>
        <v>100</v>
      </c>
      <c r="G14" s="381"/>
      <c r="H14" s="385">
        <f>SUMIF(74:74,G14,75:75)-SUMIF(74:74,C14,75:75)+100</f>
        <v>100</v>
      </c>
      <c r="I14" s="381"/>
      <c r="J14" s="385">
        <f>SUMIF(74:74,I14,75:75)-SUMIF(74:74,C14,75:75)+100</f>
        <v>100</v>
      </c>
      <c r="K14" s="558"/>
      <c r="L14" s="2712"/>
      <c r="M14" s="2706"/>
      <c r="N14" s="2706"/>
      <c r="O14" s="2706"/>
      <c r="P14" s="3732"/>
      <c r="Q14" s="1339">
        <f t="shared" si="6"/>
        <v>111</v>
      </c>
      <c r="R14" s="697" t="s">
        <v>14</v>
      </c>
      <c r="S14" s="698">
        <f t="shared" si="0"/>
        <v>100</v>
      </c>
      <c r="T14" s="697" t="s">
        <v>14</v>
      </c>
      <c r="U14" s="698">
        <f t="shared" si="1"/>
        <v>100</v>
      </c>
      <c r="V14" s="697" t="s">
        <v>14</v>
      </c>
      <c r="W14" s="698">
        <f t="shared" si="2"/>
        <v>100</v>
      </c>
      <c r="X14" s="699"/>
      <c r="Y14" s="3614"/>
      <c r="Z14" s="52">
        <f t="shared" si="7"/>
        <v>111</v>
      </c>
      <c r="AA14" s="700">
        <f t="shared" si="3"/>
        <v>1</v>
      </c>
      <c r="AB14" s="700">
        <f t="shared" si="4"/>
        <v>1</v>
      </c>
      <c r="AC14" s="700">
        <f t="shared" si="5"/>
        <v>1</v>
      </c>
    </row>
    <row r="15" spans="1:29" ht="71.25">
      <c r="A15" s="387" t="s">
        <v>1690</v>
      </c>
      <c r="B15" s="61" t="s">
        <v>1777</v>
      </c>
      <c r="C15" s="1892"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59"/>
      <c r="L15" s="2712"/>
      <c r="M15" s="2706"/>
      <c r="N15" s="2706"/>
      <c r="O15" s="2706"/>
      <c r="P15" s="3803" t="s">
        <v>1691</v>
      </c>
      <c r="Q15" s="1348" t="str">
        <f t="shared" si="6"/>
        <v>商业繁华度</v>
      </c>
      <c r="R15" s="701" t="s">
        <v>14</v>
      </c>
      <c r="S15" s="702">
        <f t="shared" si="0"/>
        <v>100</v>
      </c>
      <c r="T15" s="701" t="s">
        <v>14</v>
      </c>
      <c r="U15" s="702">
        <f t="shared" si="1"/>
        <v>100</v>
      </c>
      <c r="V15" s="701" t="s">
        <v>14</v>
      </c>
      <c r="W15" s="702">
        <f t="shared" si="2"/>
        <v>100</v>
      </c>
      <c r="X15" s="1351"/>
      <c r="Y15" s="3734" t="s">
        <v>1691</v>
      </c>
      <c r="Z15" s="1352" t="str">
        <f t="shared" si="7"/>
        <v>商业繁华度</v>
      </c>
      <c r="AA15" s="1349">
        <f t="shared" si="3"/>
        <v>1</v>
      </c>
      <c r="AB15" s="1349">
        <f t="shared" si="4"/>
        <v>1</v>
      </c>
      <c r="AC15" s="1349">
        <f t="shared" si="5"/>
        <v>1</v>
      </c>
    </row>
    <row r="16" spans="1:29" ht="15">
      <c r="A16" s="375"/>
      <c r="B16" s="393"/>
      <c r="C16" s="394"/>
      <c r="D16" s="395"/>
      <c r="E16" s="394"/>
      <c r="F16" s="396"/>
      <c r="G16" s="394"/>
      <c r="H16" s="397"/>
      <c r="I16" s="394"/>
      <c r="J16" s="395"/>
      <c r="K16" s="560"/>
      <c r="L16" s="2712"/>
      <c r="M16" s="2706"/>
      <c r="N16" s="2706"/>
      <c r="O16" s="2706"/>
      <c r="P16" s="3804"/>
      <c r="Q16" s="1348"/>
      <c r="R16" s="701"/>
      <c r="S16" s="702"/>
      <c r="T16" s="701"/>
      <c r="U16" s="702"/>
      <c r="V16" s="701"/>
      <c r="W16" s="702"/>
      <c r="X16" s="1351"/>
      <c r="Y16" s="3735"/>
      <c r="Z16" s="1352"/>
      <c r="AA16" s="1349">
        <v>1</v>
      </c>
      <c r="AB16" s="1349">
        <v>1</v>
      </c>
      <c r="AC16" s="1349">
        <v>1</v>
      </c>
    </row>
    <row r="17" spans="1:29" ht="85.5">
      <c r="A17" s="375"/>
      <c r="B17" s="398" t="s">
        <v>1259</v>
      </c>
      <c r="C17" s="1896"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59"/>
      <c r="L17" s="2712"/>
      <c r="M17" s="2706"/>
      <c r="N17" s="2706"/>
      <c r="O17" s="2706"/>
      <c r="P17" s="3804"/>
      <c r="Q17" s="1348" t="str">
        <f>B17</f>
        <v>交通便捷度</v>
      </c>
      <c r="R17" s="701" t="s">
        <v>14</v>
      </c>
      <c r="S17" s="702">
        <f>F17</f>
        <v>100</v>
      </c>
      <c r="T17" s="701" t="s">
        <v>14</v>
      </c>
      <c r="U17" s="702">
        <f>H17</f>
        <v>100</v>
      </c>
      <c r="V17" s="701" t="s">
        <v>14</v>
      </c>
      <c r="W17" s="702">
        <f>J17</f>
        <v>100</v>
      </c>
      <c r="X17" s="1351"/>
      <c r="Y17" s="3735"/>
      <c r="Z17" s="1352" t="str">
        <f>Q17</f>
        <v>交通便捷度</v>
      </c>
      <c r="AA17" s="1349">
        <f t="shared" si="3"/>
        <v>1</v>
      </c>
      <c r="AB17" s="1349">
        <f t="shared" si="4"/>
        <v>1</v>
      </c>
      <c r="AC17" s="1349">
        <f t="shared" si="5"/>
        <v>1</v>
      </c>
    </row>
    <row r="18" spans="1:29" ht="15">
      <c r="A18" s="375"/>
      <c r="B18" s="403"/>
      <c r="C18" s="1897"/>
      <c r="D18" s="397"/>
      <c r="E18" s="1899"/>
      <c r="F18" s="400"/>
      <c r="G18" s="1898"/>
      <c r="H18" s="395"/>
      <c r="I18" s="1899"/>
      <c r="J18" s="395"/>
      <c r="K18" s="560"/>
      <c r="L18" s="2712"/>
      <c r="M18" s="2706"/>
      <c r="N18" s="2706"/>
      <c r="O18" s="2706"/>
      <c r="P18" s="3804"/>
      <c r="Q18" s="1348"/>
      <c r="R18" s="701"/>
      <c r="S18" s="702"/>
      <c r="T18" s="701"/>
      <c r="U18" s="702"/>
      <c r="V18" s="701"/>
      <c r="W18" s="702"/>
      <c r="X18" s="1351"/>
      <c r="Y18" s="3735"/>
      <c r="Z18" s="1352"/>
      <c r="AA18" s="1349">
        <v>1</v>
      </c>
      <c r="AB18" s="1349">
        <v>1</v>
      </c>
      <c r="AC18" s="1349">
        <v>1</v>
      </c>
    </row>
    <row r="19" spans="1:29" ht="42.75">
      <c r="A19" s="375"/>
      <c r="B19" s="398" t="s">
        <v>1778</v>
      </c>
      <c r="C19" s="1896"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59"/>
      <c r="L19" s="2712"/>
      <c r="M19" s="2706"/>
      <c r="N19" s="2706"/>
      <c r="O19" s="2706"/>
      <c r="P19" s="3804"/>
      <c r="Q19" s="1348" t="str">
        <f>B19</f>
        <v>公共配套设施</v>
      </c>
      <c r="R19" s="701" t="s">
        <v>14</v>
      </c>
      <c r="S19" s="702">
        <f>F19</f>
        <v>100</v>
      </c>
      <c r="T19" s="701" t="s">
        <v>14</v>
      </c>
      <c r="U19" s="702">
        <f>H19</f>
        <v>100</v>
      </c>
      <c r="V19" s="701" t="s">
        <v>14</v>
      </c>
      <c r="W19" s="702">
        <f>J19</f>
        <v>100</v>
      </c>
      <c r="X19" s="1351"/>
      <c r="Y19" s="3735"/>
      <c r="Z19" s="1352" t="str">
        <f>Q19</f>
        <v>公共配套设施</v>
      </c>
      <c r="AA19" s="1349">
        <f t="shared" si="3"/>
        <v>1</v>
      </c>
      <c r="AB19" s="1349">
        <f t="shared" si="4"/>
        <v>1</v>
      </c>
      <c r="AC19" s="1349">
        <f t="shared" si="5"/>
        <v>1</v>
      </c>
    </row>
    <row r="20" spans="1:29" ht="15">
      <c r="A20" s="375"/>
      <c r="B20" s="403"/>
      <c r="C20" s="394"/>
      <c r="D20" s="395"/>
      <c r="E20" s="1894"/>
      <c r="F20" s="396"/>
      <c r="G20" s="1893"/>
      <c r="H20" s="395"/>
      <c r="I20" s="1894"/>
      <c r="J20" s="395"/>
      <c r="K20" s="560"/>
      <c r="L20" s="2712"/>
      <c r="M20" s="2706"/>
      <c r="N20" s="2706"/>
      <c r="O20" s="2706"/>
      <c r="P20" s="3804"/>
      <c r="Q20" s="1348"/>
      <c r="R20" s="701"/>
      <c r="S20" s="702"/>
      <c r="T20" s="701"/>
      <c r="U20" s="702"/>
      <c r="V20" s="701"/>
      <c r="W20" s="702"/>
      <c r="X20" s="1351"/>
      <c r="Y20" s="3735"/>
      <c r="Z20" s="1352"/>
      <c r="AA20" s="1349">
        <v>1</v>
      </c>
      <c r="AB20" s="1349">
        <v>1</v>
      </c>
      <c r="AC20" s="1349">
        <v>1</v>
      </c>
    </row>
    <row r="21" spans="1:29" ht="28.5">
      <c r="A21" s="375"/>
      <c r="B21" s="1127" t="s">
        <v>1779</v>
      </c>
      <c r="C21" s="1896"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59"/>
      <c r="L21" s="2712"/>
      <c r="M21" s="2706"/>
      <c r="N21" s="2706"/>
      <c r="O21" s="2706"/>
      <c r="P21" s="3804"/>
      <c r="Q21" s="1348" t="str">
        <f>B21</f>
        <v>基础设施水平</v>
      </c>
      <c r="R21" s="701" t="s">
        <v>14</v>
      </c>
      <c r="S21" s="702">
        <f>F21</f>
        <v>100</v>
      </c>
      <c r="T21" s="701" t="s">
        <v>14</v>
      </c>
      <c r="U21" s="702">
        <f>H21</f>
        <v>100</v>
      </c>
      <c r="V21" s="701" t="s">
        <v>14</v>
      </c>
      <c r="W21" s="702">
        <f>J21</f>
        <v>100</v>
      </c>
      <c r="X21" s="1351"/>
      <c r="Y21" s="3735"/>
      <c r="Z21" s="1352" t="str">
        <f>Q21</f>
        <v>基础设施水平</v>
      </c>
      <c r="AA21" s="1349">
        <f t="shared" ref="AA21" si="8">D21/F21</f>
        <v>1</v>
      </c>
      <c r="AB21" s="1349">
        <f t="shared" ref="AB21" si="9">D21/H21</f>
        <v>1</v>
      </c>
      <c r="AC21" s="1349">
        <f t="shared" ref="AC21" si="10">D21/J21</f>
        <v>1</v>
      </c>
    </row>
    <row r="22" spans="1:29" ht="15">
      <c r="A22" s="375"/>
      <c r="B22" s="1127"/>
      <c r="C22" s="1897"/>
      <c r="D22" s="395"/>
      <c r="E22" s="394"/>
      <c r="F22" s="396"/>
      <c r="G22" s="394"/>
      <c r="H22" s="395"/>
      <c r="I22" s="394"/>
      <c r="J22" s="395"/>
      <c r="K22" s="1126"/>
      <c r="L22" s="2712"/>
      <c r="M22" s="2706"/>
      <c r="N22" s="2706"/>
      <c r="O22" s="2706"/>
      <c r="P22" s="3804"/>
      <c r="Q22" s="1348"/>
      <c r="R22" s="701"/>
      <c r="S22" s="702"/>
      <c r="T22" s="701"/>
      <c r="U22" s="702"/>
      <c r="V22" s="701"/>
      <c r="W22" s="702"/>
      <c r="X22" s="1351"/>
      <c r="Y22" s="3735"/>
      <c r="Z22" s="1352"/>
      <c r="AA22" s="1349">
        <v>1</v>
      </c>
      <c r="AB22" s="1349">
        <v>1</v>
      </c>
      <c r="AC22" s="1349">
        <v>1</v>
      </c>
    </row>
    <row r="23" spans="1:29" ht="57">
      <c r="A23" s="375"/>
      <c r="B23" s="398" t="s">
        <v>1261</v>
      </c>
      <c r="C23" s="1951"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59"/>
      <c r="L23" s="2712"/>
      <c r="M23" s="2706"/>
      <c r="N23" s="2706"/>
      <c r="O23" s="2706"/>
      <c r="P23" s="3804"/>
      <c r="Q23" s="1348" t="str">
        <f>B23</f>
        <v>自然及人文环境</v>
      </c>
      <c r="R23" s="701" t="s">
        <v>14</v>
      </c>
      <c r="S23" s="702">
        <f>F23</f>
        <v>100</v>
      </c>
      <c r="T23" s="701" t="s">
        <v>14</v>
      </c>
      <c r="U23" s="702">
        <f>H23</f>
        <v>100</v>
      </c>
      <c r="V23" s="701" t="s">
        <v>14</v>
      </c>
      <c r="W23" s="702">
        <f>J23</f>
        <v>100</v>
      </c>
      <c r="X23" s="1351"/>
      <c r="Y23" s="3735"/>
      <c r="Z23" s="1352" t="str">
        <f>Q23</f>
        <v>自然及人文环境</v>
      </c>
      <c r="AA23" s="1349">
        <f t="shared" si="3"/>
        <v>1</v>
      </c>
      <c r="AB23" s="1349">
        <f t="shared" si="4"/>
        <v>1</v>
      </c>
      <c r="AC23" s="1349">
        <f t="shared" si="5"/>
        <v>1</v>
      </c>
    </row>
    <row r="24" spans="1:29" ht="15">
      <c r="A24" s="375"/>
      <c r="B24" s="403"/>
      <c r="C24" s="394"/>
      <c r="D24" s="395"/>
      <c r="E24" s="1894"/>
      <c r="F24" s="396"/>
      <c r="G24" s="1893"/>
      <c r="H24" s="395"/>
      <c r="I24" s="1894"/>
      <c r="J24" s="395"/>
      <c r="K24" s="560"/>
      <c r="L24" s="2712"/>
      <c r="M24" s="2706"/>
      <c r="N24" s="2706"/>
      <c r="O24" s="2706"/>
      <c r="P24" s="3804"/>
      <c r="Q24" s="1348"/>
      <c r="R24" s="701"/>
      <c r="S24" s="702"/>
      <c r="T24" s="701"/>
      <c r="U24" s="702"/>
      <c r="V24" s="701"/>
      <c r="W24" s="702"/>
      <c r="X24" s="1351"/>
      <c r="Y24" s="3735"/>
      <c r="Z24" s="1352"/>
      <c r="AA24" s="1349">
        <v>1</v>
      </c>
      <c r="AB24" s="1349">
        <v>1</v>
      </c>
      <c r="AC24" s="1349">
        <v>1</v>
      </c>
    </row>
    <row r="25" spans="1:29" ht="15">
      <c r="A25" s="375"/>
      <c r="B25" s="371" t="s">
        <v>1780</v>
      </c>
      <c r="C25" s="561"/>
      <c r="D25" s="382">
        <v>100</v>
      </c>
      <c r="E25" s="561"/>
      <c r="F25" s="408">
        <f>SUMIF(86:86,E25,87:87)-SUMIF(86:86,C25,87:87)+100</f>
        <v>100</v>
      </c>
      <c r="G25" s="561"/>
      <c r="H25" s="382">
        <f>SUMIF(86:86,G25,87:87)-SUMIF(86:86,C25,87:87)+100</f>
        <v>100</v>
      </c>
      <c r="I25" s="561"/>
      <c r="J25" s="382">
        <f>SUMIF(86:86,I25,87:87)-SUMIF(86:86,C25,87:87)+100</f>
        <v>100</v>
      </c>
      <c r="K25" s="557"/>
      <c r="L25" s="2712"/>
      <c r="M25" s="2706"/>
      <c r="N25" s="2706"/>
      <c r="O25" s="2706"/>
      <c r="P25" s="3804"/>
      <c r="Q25" s="1348" t="str">
        <f t="shared" ref="Q25:Q46" si="11">B25</f>
        <v>临街状况</v>
      </c>
      <c r="R25" s="701" t="s">
        <v>14</v>
      </c>
      <c r="S25" s="702">
        <f>F25</f>
        <v>100</v>
      </c>
      <c r="T25" s="701" t="s">
        <v>14</v>
      </c>
      <c r="U25" s="702">
        <f>H25</f>
        <v>100</v>
      </c>
      <c r="V25" s="701" t="s">
        <v>14</v>
      </c>
      <c r="W25" s="702">
        <f>J25</f>
        <v>100</v>
      </c>
      <c r="X25" s="1351"/>
      <c r="Y25" s="3735"/>
      <c r="Z25" s="1352" t="str">
        <f>Q25</f>
        <v>临街状况</v>
      </c>
      <c r="AA25" s="1349">
        <f t="shared" si="3"/>
        <v>1</v>
      </c>
      <c r="AB25" s="1349">
        <f t="shared" si="4"/>
        <v>1</v>
      </c>
      <c r="AC25" s="1349">
        <f t="shared" si="5"/>
        <v>1</v>
      </c>
    </row>
    <row r="26" spans="1:29" ht="15">
      <c r="A26" s="375"/>
      <c r="B26" s="1129" t="s">
        <v>1781</v>
      </c>
      <c r="C26" s="381"/>
      <c r="D26" s="382">
        <v>100</v>
      </c>
      <c r="E26" s="381"/>
      <c r="F26" s="408">
        <f>SUMIF(88:88,E26,89:89)-SUMIF(88:88,C26,89:89)+100</f>
        <v>100</v>
      </c>
      <c r="G26" s="381"/>
      <c r="H26" s="382">
        <f>SUMIF(88:88,G26,89:89)-SUMIF(88:88,C26,89:89)+100</f>
        <v>100</v>
      </c>
      <c r="I26" s="381"/>
      <c r="J26" s="382">
        <f>SUMIF(88:88,I26,89:89)-SUMIF(88:88,C26,89:89)+100</f>
        <v>100</v>
      </c>
      <c r="K26" s="558"/>
      <c r="L26" s="2712"/>
      <c r="M26" s="2706"/>
      <c r="N26" s="2706"/>
      <c r="O26" s="2706"/>
      <c r="P26" s="3804"/>
      <c r="Q26" s="1348" t="str">
        <f t="shared" si="11"/>
        <v>平面位置/可视性</v>
      </c>
      <c r="R26" s="701" t="s">
        <v>14</v>
      </c>
      <c r="S26" s="702">
        <f>F26</f>
        <v>100</v>
      </c>
      <c r="T26" s="701" t="s">
        <v>14</v>
      </c>
      <c r="U26" s="702">
        <f>H26</f>
        <v>100</v>
      </c>
      <c r="V26" s="701" t="s">
        <v>14</v>
      </c>
      <c r="W26" s="702">
        <f>J26</f>
        <v>100</v>
      </c>
      <c r="X26" s="1351"/>
      <c r="Y26" s="3735"/>
      <c r="Z26" s="1352" t="str">
        <f>Q26</f>
        <v>平面位置/可视性</v>
      </c>
      <c r="AA26" s="1349">
        <f t="shared" si="3"/>
        <v>1</v>
      </c>
      <c r="AB26" s="1349">
        <f t="shared" si="4"/>
        <v>1</v>
      </c>
      <c r="AC26" s="1349">
        <f t="shared" si="5"/>
        <v>1</v>
      </c>
    </row>
    <row r="27" spans="1:29" s="106" customFormat="1" ht="15">
      <c r="A27" s="378"/>
      <c r="B27" s="398" t="s">
        <v>1782</v>
      </c>
      <c r="C27" s="1952"/>
      <c r="D27" s="409">
        <v>100</v>
      </c>
      <c r="E27" s="1952"/>
      <c r="F27" s="411">
        <f>SUMIF(90:90,E27,91:91)-SUMIF(90:90,C27,91:91)+100</f>
        <v>100</v>
      </c>
      <c r="G27" s="1952"/>
      <c r="H27" s="409">
        <f>SUMIF(90:90,G27,91:91)-SUMIF(90:90,C27,91:91)+100</f>
        <v>100</v>
      </c>
      <c r="I27" s="1952"/>
      <c r="J27" s="409">
        <f>SUMIF(90:90,I27,91:91)-SUMIF(90:90,C27,91:91)+100</f>
        <v>100</v>
      </c>
      <c r="K27" s="557"/>
      <c r="L27" s="2707"/>
      <c r="M27" s="2708"/>
      <c r="N27" s="2708"/>
      <c r="O27" s="2708"/>
      <c r="P27" s="3804"/>
      <c r="Q27" s="1339" t="str">
        <f t="shared" si="11"/>
        <v>人流量</v>
      </c>
      <c r="R27" s="697" t="s">
        <v>14</v>
      </c>
      <c r="S27" s="698">
        <f>F27</f>
        <v>100</v>
      </c>
      <c r="T27" s="697" t="s">
        <v>14</v>
      </c>
      <c r="U27" s="698">
        <f>H27</f>
        <v>100</v>
      </c>
      <c r="V27" s="697" t="s">
        <v>14</v>
      </c>
      <c r="W27" s="698">
        <f>J27</f>
        <v>100</v>
      </c>
      <c r="X27" s="699"/>
      <c r="Y27" s="3735"/>
      <c r="Z27" s="52" t="str">
        <f>Q27</f>
        <v>人流量</v>
      </c>
      <c r="AA27" s="1349">
        <f>D27/F27</f>
        <v>1</v>
      </c>
      <c r="AB27" s="1349">
        <f>D27/H27</f>
        <v>1</v>
      </c>
      <c r="AC27" s="1349">
        <f>D27/J27</f>
        <v>1</v>
      </c>
    </row>
    <row r="28" spans="1:29" ht="15">
      <c r="A28" s="375"/>
      <c r="B28" s="371" t="s">
        <v>1783</v>
      </c>
      <c r="C28" s="561"/>
      <c r="D28" s="382">
        <v>100</v>
      </c>
      <c r="E28" s="561"/>
      <c r="F28" s="408">
        <f>SUMIF(92:92,E28,93:93)-SUMIF(92:92,C28,93:93)+100</f>
        <v>100</v>
      </c>
      <c r="G28" s="561"/>
      <c r="H28" s="382">
        <f>SUMIF(92:92,G28,93:93)-SUMIF(92:92,C28,93:93)+100</f>
        <v>100</v>
      </c>
      <c r="I28" s="561"/>
      <c r="J28" s="382">
        <f>SUMIF(92:92,I28,93:93)-SUMIF(92:92,C28,93:93)+100</f>
        <v>100</v>
      </c>
      <c r="K28" s="558"/>
      <c r="L28" s="2712"/>
      <c r="M28" s="2706"/>
      <c r="N28" s="2706"/>
      <c r="O28" s="2706"/>
      <c r="P28" s="3804"/>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35"/>
      <c r="Z28" s="1352" t="str">
        <f t="shared" ref="Z28:Z46" si="15">Q28</f>
        <v>楼层</v>
      </c>
      <c r="AA28" s="1349">
        <f t="shared" si="3"/>
        <v>1</v>
      </c>
      <c r="AB28" s="1349">
        <f t="shared" si="4"/>
        <v>1</v>
      </c>
      <c r="AC28" s="1349">
        <f t="shared" si="5"/>
        <v>1</v>
      </c>
    </row>
    <row r="29" spans="1:29" ht="15">
      <c r="A29" s="375"/>
      <c r="B29" s="1129">
        <v>111</v>
      </c>
      <c r="C29" s="381"/>
      <c r="D29" s="382">
        <v>100</v>
      </c>
      <c r="E29" s="381"/>
      <c r="F29" s="408">
        <f>SUMIF(94:94,E29,95:95)-SUMIF(94:94,C29,95:95)+100</f>
        <v>100</v>
      </c>
      <c r="G29" s="381"/>
      <c r="H29" s="382">
        <f>SUMIF(94:94,G29,95:95)-SUMIF(94:94,C29,95:95)+100</f>
        <v>100</v>
      </c>
      <c r="I29" s="381"/>
      <c r="J29" s="382">
        <f>SUMIF(94:94,I29,95:95)-SUMIF(94:94,C29,95:95)+100</f>
        <v>100</v>
      </c>
      <c r="K29" s="558"/>
      <c r="L29" s="2712"/>
      <c r="M29" s="2706"/>
      <c r="N29" s="2706"/>
      <c r="O29" s="2706"/>
      <c r="P29" s="3804"/>
      <c r="Q29" s="1348">
        <f t="shared" si="11"/>
        <v>111</v>
      </c>
      <c r="R29" s="701" t="s">
        <v>14</v>
      </c>
      <c r="S29" s="702">
        <f t="shared" si="12"/>
        <v>100</v>
      </c>
      <c r="T29" s="701" t="s">
        <v>14</v>
      </c>
      <c r="U29" s="702">
        <f t="shared" si="13"/>
        <v>100</v>
      </c>
      <c r="V29" s="701" t="s">
        <v>14</v>
      </c>
      <c r="W29" s="702">
        <f t="shared" si="14"/>
        <v>100</v>
      </c>
      <c r="X29" s="1351"/>
      <c r="Y29" s="3735"/>
      <c r="Z29" s="1352">
        <f t="shared" si="15"/>
        <v>111</v>
      </c>
      <c r="AA29" s="1349">
        <f t="shared" si="3"/>
        <v>1</v>
      </c>
      <c r="AB29" s="1349">
        <f t="shared" si="4"/>
        <v>1</v>
      </c>
      <c r="AC29" s="1349">
        <f t="shared" si="5"/>
        <v>1</v>
      </c>
    </row>
    <row r="30" spans="1:29" ht="15">
      <c r="A30" s="375"/>
      <c r="B30" s="1129">
        <v>111</v>
      </c>
      <c r="C30" s="381"/>
      <c r="D30" s="382">
        <v>100</v>
      </c>
      <c r="E30" s="381"/>
      <c r="F30" s="408">
        <f>SUMIF(96:96,E30,97:97)-SUMIF(96:96,C30,97:97)+100</f>
        <v>100</v>
      </c>
      <c r="G30" s="381"/>
      <c r="H30" s="382">
        <f>SUMIF(96:96,G30,97:97)-SUMIF(96:96,C30,97:97)+100</f>
        <v>100</v>
      </c>
      <c r="I30" s="381"/>
      <c r="J30" s="382">
        <f>SUMIF(96:96,I30,97:97)-SUMIF(96:96,C30,97:97)+100</f>
        <v>100</v>
      </c>
      <c r="K30" s="558"/>
      <c r="L30" s="2712"/>
      <c r="M30" s="2706"/>
      <c r="N30" s="2706"/>
      <c r="O30" s="2706"/>
      <c r="P30" s="3804"/>
      <c r="Q30" s="1348">
        <f t="shared" si="11"/>
        <v>111</v>
      </c>
      <c r="R30" s="701" t="s">
        <v>14</v>
      </c>
      <c r="S30" s="702">
        <f t="shared" si="12"/>
        <v>100</v>
      </c>
      <c r="T30" s="701" t="s">
        <v>14</v>
      </c>
      <c r="U30" s="702">
        <f t="shared" si="13"/>
        <v>100</v>
      </c>
      <c r="V30" s="701" t="s">
        <v>14</v>
      </c>
      <c r="W30" s="702">
        <f t="shared" si="14"/>
        <v>100</v>
      </c>
      <c r="X30" s="1351"/>
      <c r="Y30" s="3735"/>
      <c r="Z30" s="1352">
        <f t="shared" si="15"/>
        <v>111</v>
      </c>
      <c r="AA30" s="1349">
        <f t="shared" si="3"/>
        <v>1</v>
      </c>
      <c r="AB30" s="1349">
        <f t="shared" si="4"/>
        <v>1</v>
      </c>
      <c r="AC30" s="1349">
        <f t="shared" si="5"/>
        <v>1</v>
      </c>
    </row>
    <row r="31" spans="1:29" ht="15.75" thickBot="1">
      <c r="A31" s="383"/>
      <c r="B31" s="1129">
        <v>111</v>
      </c>
      <c r="C31" s="384"/>
      <c r="D31" s="385">
        <v>100</v>
      </c>
      <c r="E31" s="381"/>
      <c r="F31" s="386">
        <f>SUMIF(98:98,E31,99:99)-SUMIF(98:98,C31,99:99)+100</f>
        <v>100</v>
      </c>
      <c r="G31" s="381"/>
      <c r="H31" s="385">
        <f>SUMIF(98:98,G31,99:99)-SUMIF(98:98,C31,99:99)+100</f>
        <v>100</v>
      </c>
      <c r="I31" s="381"/>
      <c r="J31" s="385">
        <f>SUMIF(98:98,I31,99:99)-SUMIF(98:98,C31,99:99)+100</f>
        <v>100</v>
      </c>
      <c r="K31" s="558"/>
      <c r="L31" s="2712"/>
      <c r="M31" s="2706"/>
      <c r="N31" s="2706"/>
      <c r="O31" s="2706"/>
      <c r="P31" s="3804"/>
      <c r="Q31" s="1348">
        <f t="shared" si="11"/>
        <v>111</v>
      </c>
      <c r="R31" s="701" t="s">
        <v>14</v>
      </c>
      <c r="S31" s="702">
        <f t="shared" si="12"/>
        <v>100</v>
      </c>
      <c r="T31" s="701" t="s">
        <v>14</v>
      </c>
      <c r="U31" s="702">
        <f t="shared" si="13"/>
        <v>100</v>
      </c>
      <c r="V31" s="701" t="s">
        <v>14</v>
      </c>
      <c r="W31" s="702">
        <f t="shared" si="14"/>
        <v>100</v>
      </c>
      <c r="X31" s="1351"/>
      <c r="Y31" s="3735"/>
      <c r="Z31" s="1352">
        <f t="shared" si="15"/>
        <v>111</v>
      </c>
      <c r="AA31" s="1349">
        <f t="shared" si="3"/>
        <v>1</v>
      </c>
      <c r="AB31" s="1349">
        <f t="shared" si="4"/>
        <v>1</v>
      </c>
      <c r="AC31" s="1349">
        <f t="shared" si="5"/>
        <v>1</v>
      </c>
    </row>
    <row r="32" spans="1:29" ht="15">
      <c r="A32" s="387" t="s">
        <v>1694</v>
      </c>
      <c r="B32" s="63" t="s">
        <v>1784</v>
      </c>
      <c r="C32" s="1906"/>
      <c r="D32" s="414">
        <v>100</v>
      </c>
      <c r="E32" s="1906"/>
      <c r="F32" s="408">
        <f>SUMIF(100:100,E32,101:101)-SUMIF(100:100,C32,101:101)+100</f>
        <v>100</v>
      </c>
      <c r="G32" s="1906"/>
      <c r="H32" s="382">
        <f>SUMIF(100:100,G32,101:101)-SUMIF(100:100,C32,101:101)+100</f>
        <v>100</v>
      </c>
      <c r="I32" s="1906"/>
      <c r="J32" s="414">
        <f>SUMIF(100:100,I32,101:101)-SUMIF(100:100,C32,101:101)+100</f>
        <v>100</v>
      </c>
      <c r="K32" s="557"/>
      <c r="L32" s="2712"/>
      <c r="M32" s="2706"/>
      <c r="N32" s="2706"/>
      <c r="O32" s="2706"/>
      <c r="P32" s="3799" t="s">
        <v>1696</v>
      </c>
      <c r="Q32" s="1348" t="str">
        <f t="shared" si="11"/>
        <v>商业类型</v>
      </c>
      <c r="R32" s="701" t="s">
        <v>14</v>
      </c>
      <c r="S32" s="702">
        <f t="shared" si="12"/>
        <v>100</v>
      </c>
      <c r="T32" s="701" t="s">
        <v>14</v>
      </c>
      <c r="U32" s="702">
        <f t="shared" si="13"/>
        <v>100</v>
      </c>
      <c r="V32" s="701" t="s">
        <v>14</v>
      </c>
      <c r="W32" s="702">
        <f t="shared" si="14"/>
        <v>100</v>
      </c>
      <c r="X32" s="1351"/>
      <c r="Y32" s="3737" t="s">
        <v>1696</v>
      </c>
      <c r="Z32" s="1352" t="str">
        <f t="shared" si="15"/>
        <v>商业类型</v>
      </c>
      <c r="AA32" s="1349">
        <f t="shared" si="3"/>
        <v>1</v>
      </c>
      <c r="AB32" s="1349">
        <f t="shared" si="4"/>
        <v>1</v>
      </c>
      <c r="AC32" s="1349">
        <f t="shared" si="5"/>
        <v>1</v>
      </c>
    </row>
    <row r="33" spans="1:29" s="418" customFormat="1" ht="15">
      <c r="A33" s="415"/>
      <c r="B33" s="371" t="s">
        <v>1697</v>
      </c>
      <c r="C33" s="416"/>
      <c r="D33" s="123">
        <v>100</v>
      </c>
      <c r="E33" s="377"/>
      <c r="F33" s="372" t="e">
        <f>LOOKUP(E33,103:103,104:104)-LOOKUP(C33,103:103,104:104)+100</f>
        <v>#N/A</v>
      </c>
      <c r="G33" s="376"/>
      <c r="H33" s="123" t="e">
        <f>LOOKUP(G33,103:103,104:104)-LOOKUP(C33,103:103,104:104)+100</f>
        <v>#N/A</v>
      </c>
      <c r="I33" s="376"/>
      <c r="J33" s="123" t="e">
        <f>LOOKUP(I33,103:103,104:104)-LOOKUP(C33,103:103,104:104)+100</f>
        <v>#N/A</v>
      </c>
      <c r="K33" s="558"/>
      <c r="L33" s="2711"/>
      <c r="M33" s="2713"/>
      <c r="N33" s="2713"/>
      <c r="O33" s="2713"/>
      <c r="P33" s="3800"/>
      <c r="Q33" s="703" t="str">
        <f t="shared" si="11"/>
        <v>项目建筑规模</v>
      </c>
      <c r="R33" s="704" t="s">
        <v>14</v>
      </c>
      <c r="S33" s="705" t="e">
        <f t="shared" si="12"/>
        <v>#N/A</v>
      </c>
      <c r="T33" s="704" t="s">
        <v>14</v>
      </c>
      <c r="U33" s="705" t="e">
        <f t="shared" si="13"/>
        <v>#N/A</v>
      </c>
      <c r="V33" s="704" t="s">
        <v>14</v>
      </c>
      <c r="W33" s="705" t="e">
        <f t="shared" si="14"/>
        <v>#N/A</v>
      </c>
      <c r="X33" s="706"/>
      <c r="Y33" s="3737"/>
      <c r="Z33" s="707" t="str">
        <f t="shared" si="15"/>
        <v>项目建筑规模</v>
      </c>
      <c r="AA33" s="1349" t="e">
        <f t="shared" si="3"/>
        <v>#N/A</v>
      </c>
      <c r="AB33" s="1349" t="e">
        <f t="shared" si="4"/>
        <v>#N/A</v>
      </c>
      <c r="AC33" s="1349" t="e">
        <f t="shared" si="5"/>
        <v>#N/A</v>
      </c>
    </row>
    <row r="34" spans="1:29" ht="15">
      <c r="A34" s="419"/>
      <c r="B34" s="371" t="s">
        <v>1698</v>
      </c>
      <c r="C34" s="1908"/>
      <c r="D34" s="382">
        <v>100</v>
      </c>
      <c r="E34" s="1908"/>
      <c r="F34" s="408">
        <f>SUMIF(105:105,E34,106:106)-SUMIF(105:105,C34,106:106)+100</f>
        <v>100</v>
      </c>
      <c r="G34" s="1908"/>
      <c r="H34" s="382">
        <f>SUMIF(105:105,G34,106:106)-SUMIF(105:105,C34,106:106)+100</f>
        <v>100</v>
      </c>
      <c r="I34" s="1908"/>
      <c r="J34" s="382">
        <f>SUMIF(105:105,I34,106:106)-SUMIF(105:105,C34,106:106)+100</f>
        <v>100</v>
      </c>
      <c r="K34" s="557"/>
      <c r="L34" s="2712"/>
      <c r="M34" s="2706"/>
      <c r="N34" s="2706"/>
      <c r="O34" s="2706"/>
      <c r="P34" s="3800"/>
      <c r="Q34" s="1348" t="str">
        <f t="shared" si="11"/>
        <v>建筑结构</v>
      </c>
      <c r="R34" s="701" t="s">
        <v>14</v>
      </c>
      <c r="S34" s="702">
        <f t="shared" si="12"/>
        <v>100</v>
      </c>
      <c r="T34" s="701" t="s">
        <v>14</v>
      </c>
      <c r="U34" s="702">
        <f t="shared" si="13"/>
        <v>100</v>
      </c>
      <c r="V34" s="701" t="s">
        <v>14</v>
      </c>
      <c r="W34" s="702">
        <f t="shared" si="14"/>
        <v>100</v>
      </c>
      <c r="X34" s="1351"/>
      <c r="Y34" s="3737"/>
      <c r="Z34" s="1352" t="str">
        <f t="shared" si="15"/>
        <v>建筑结构</v>
      </c>
      <c r="AA34" s="1349">
        <f t="shared" si="3"/>
        <v>1</v>
      </c>
      <c r="AB34" s="1349">
        <f t="shared" si="4"/>
        <v>1</v>
      </c>
      <c r="AC34" s="1349">
        <f t="shared" si="5"/>
        <v>1</v>
      </c>
    </row>
    <row r="35" spans="1:29" ht="15">
      <c r="A35" s="419"/>
      <c r="B35" s="371" t="s">
        <v>1785</v>
      </c>
      <c r="C35" s="1902"/>
      <c r="D35" s="382">
        <v>100</v>
      </c>
      <c r="E35" s="1902"/>
      <c r="F35" s="408">
        <f>SUMIF(107:107,E35,108:108)-SUMIF(107:107,C35,108:108)+100</f>
        <v>100</v>
      </c>
      <c r="G35" s="1902"/>
      <c r="H35" s="382">
        <f>SUMIF(107:107,G35,108:108)-SUMIF(107:107,C35,108:108)+100</f>
        <v>100</v>
      </c>
      <c r="I35" s="1902"/>
      <c r="J35" s="382">
        <f>SUMIF(107:107,I35,108:108)-SUMIF(107:107,C35,108:108)+100</f>
        <v>100</v>
      </c>
      <c r="K35" s="557"/>
      <c r="L35" s="2712"/>
      <c r="M35" s="2706"/>
      <c r="N35" s="2706"/>
      <c r="O35" s="2706"/>
      <c r="P35" s="3800"/>
      <c r="Q35" s="1348" t="str">
        <f t="shared" si="11"/>
        <v>公共部分装修</v>
      </c>
      <c r="R35" s="701" t="s">
        <v>14</v>
      </c>
      <c r="S35" s="702">
        <f t="shared" si="12"/>
        <v>100</v>
      </c>
      <c r="T35" s="701" t="s">
        <v>14</v>
      </c>
      <c r="U35" s="702">
        <f t="shared" si="13"/>
        <v>100</v>
      </c>
      <c r="V35" s="701" t="s">
        <v>14</v>
      </c>
      <c r="W35" s="702">
        <f t="shared" si="14"/>
        <v>100</v>
      </c>
      <c r="X35" s="1351"/>
      <c r="Y35" s="3737"/>
      <c r="Z35" s="1352" t="str">
        <f t="shared" si="15"/>
        <v>公共部分装修</v>
      </c>
      <c r="AA35" s="1349">
        <f t="shared" si="3"/>
        <v>1</v>
      </c>
      <c r="AB35" s="1349">
        <f t="shared" si="4"/>
        <v>1</v>
      </c>
      <c r="AC35" s="1349">
        <f t="shared" si="5"/>
        <v>1</v>
      </c>
    </row>
    <row r="36" spans="1:29" ht="15">
      <c r="A36" s="419"/>
      <c r="B36" s="371" t="s">
        <v>1786</v>
      </c>
      <c r="C36" s="421"/>
      <c r="D36" s="382">
        <v>100</v>
      </c>
      <c r="E36" s="421"/>
      <c r="F36" s="408" t="e">
        <f>LOOKUP(E36,110:110,111:111)-LOOKUP(C36,110:110,111:111)+100</f>
        <v>#N/A</v>
      </c>
      <c r="G36" s="421"/>
      <c r="H36" s="408" t="e">
        <f>LOOKUP(G36,110:110,111:111)-LOOKUP(C36,110:110,111:111)+100</f>
        <v>#N/A</v>
      </c>
      <c r="I36" s="421"/>
      <c r="J36" s="382" t="e">
        <f>LOOKUP(I36,110:110,111:111)-LOOKUP(C36,110:110,111:111)+100</f>
        <v>#N/A</v>
      </c>
      <c r="K36" s="557"/>
      <c r="L36" s="2712"/>
      <c r="M36" s="2706"/>
      <c r="N36" s="2706"/>
      <c r="O36" s="2706"/>
      <c r="P36" s="3800"/>
      <c r="Q36" s="1348" t="str">
        <f t="shared" si="11"/>
        <v>成新度</v>
      </c>
      <c r="R36" s="701" t="s">
        <v>14</v>
      </c>
      <c r="S36" s="702" t="e">
        <f t="shared" si="12"/>
        <v>#N/A</v>
      </c>
      <c r="T36" s="701" t="s">
        <v>14</v>
      </c>
      <c r="U36" s="702" t="e">
        <f t="shared" si="13"/>
        <v>#N/A</v>
      </c>
      <c r="V36" s="701" t="s">
        <v>14</v>
      </c>
      <c r="W36" s="702" t="e">
        <f t="shared" si="14"/>
        <v>#N/A</v>
      </c>
      <c r="X36" s="1351"/>
      <c r="Y36" s="3737"/>
      <c r="Z36" s="1352" t="str">
        <f t="shared" si="15"/>
        <v>成新度</v>
      </c>
      <c r="AA36" s="1349" t="e">
        <f t="shared" si="3"/>
        <v>#N/A</v>
      </c>
      <c r="AB36" s="1349" t="e">
        <f t="shared" si="4"/>
        <v>#N/A</v>
      </c>
      <c r="AC36" s="1349" t="e">
        <f t="shared" si="5"/>
        <v>#N/A</v>
      </c>
    </row>
    <row r="37" spans="1:29" s="106" customFormat="1" ht="15">
      <c r="A37" s="420"/>
      <c r="B37" s="371" t="s">
        <v>1787</v>
      </c>
      <c r="C37" s="1902"/>
      <c r="D37" s="123">
        <v>100</v>
      </c>
      <c r="E37" s="1902"/>
      <c r="F37" s="408">
        <f>SUMIF(112:112,E37,113:113)-SUMIF(112:112,C37,113:113)+100</f>
        <v>100</v>
      </c>
      <c r="G37" s="1902"/>
      <c r="H37" s="382">
        <f>SUMIF(112:112,G37,113:113)-SUMIF(112:112,C37,113:113)+100</f>
        <v>100</v>
      </c>
      <c r="I37" s="1902"/>
      <c r="J37" s="382">
        <f>SUMIF(112:112,I37,113:113)-SUMIF(112:112,C37,113:113)+100</f>
        <v>100</v>
      </c>
      <c r="K37" s="557"/>
      <c r="L37" s="2707"/>
      <c r="M37" s="2708"/>
      <c r="N37" s="2708"/>
      <c r="O37" s="2708"/>
      <c r="P37" s="3800"/>
      <c r="Q37" s="1339" t="str">
        <f t="shared" si="11"/>
        <v>市政基础设施</v>
      </c>
      <c r="R37" s="697" t="s">
        <v>14</v>
      </c>
      <c r="S37" s="698">
        <f t="shared" si="12"/>
        <v>100</v>
      </c>
      <c r="T37" s="697" t="s">
        <v>14</v>
      </c>
      <c r="U37" s="698">
        <f t="shared" si="13"/>
        <v>100</v>
      </c>
      <c r="V37" s="697" t="s">
        <v>14</v>
      </c>
      <c r="W37" s="698">
        <f t="shared" si="14"/>
        <v>100</v>
      </c>
      <c r="X37" s="699"/>
      <c r="Y37" s="3737"/>
      <c r="Z37" s="52" t="str">
        <f t="shared" si="15"/>
        <v>市政基础设施</v>
      </c>
      <c r="AA37" s="700">
        <f t="shared" si="3"/>
        <v>1</v>
      </c>
      <c r="AB37" s="700">
        <f t="shared" si="4"/>
        <v>1</v>
      </c>
      <c r="AC37" s="700">
        <f t="shared" si="5"/>
        <v>1</v>
      </c>
    </row>
    <row r="38" spans="1:29" ht="15">
      <c r="A38" s="419"/>
      <c r="B38" s="371" t="s">
        <v>1788</v>
      </c>
      <c r="C38" s="1902"/>
      <c r="D38" s="382">
        <v>100</v>
      </c>
      <c r="E38" s="1902"/>
      <c r="F38" s="408">
        <f>SUMIF(114:114,E38,115:115)-SUMIF(114:114,C38,115:115)+100</f>
        <v>100</v>
      </c>
      <c r="G38" s="1902"/>
      <c r="H38" s="382">
        <f>SUMIF(114:114,G38,115:115)-SUMIF(114:114,C38,115:115)+100</f>
        <v>100</v>
      </c>
      <c r="I38" s="1902"/>
      <c r="J38" s="382">
        <f>SUMIF(114:114,I38,115:115)-SUMIF(114:114,C38,115:115)+100</f>
        <v>100</v>
      </c>
      <c r="K38" s="557"/>
      <c r="L38" s="2712"/>
      <c r="M38" s="2706"/>
      <c r="N38" s="2706"/>
      <c r="O38" s="2706"/>
      <c r="P38" s="3800" t="s">
        <v>1696</v>
      </c>
      <c r="Q38" s="1348" t="str">
        <f t="shared" si="11"/>
        <v>业态</v>
      </c>
      <c r="R38" s="701" t="s">
        <v>14</v>
      </c>
      <c r="S38" s="702">
        <f t="shared" si="12"/>
        <v>100</v>
      </c>
      <c r="T38" s="701" t="s">
        <v>14</v>
      </c>
      <c r="U38" s="702">
        <f t="shared" si="13"/>
        <v>100</v>
      </c>
      <c r="V38" s="701" t="s">
        <v>14</v>
      </c>
      <c r="W38" s="702">
        <f t="shared" si="14"/>
        <v>100</v>
      </c>
      <c r="X38" s="1351"/>
      <c r="Y38" s="3737" t="s">
        <v>1696</v>
      </c>
      <c r="Z38" s="1352" t="str">
        <f t="shared" si="15"/>
        <v>业态</v>
      </c>
      <c r="AA38" s="1349">
        <f t="shared" si="3"/>
        <v>1</v>
      </c>
      <c r="AB38" s="1349">
        <f t="shared" si="4"/>
        <v>1</v>
      </c>
      <c r="AC38" s="1349">
        <f t="shared" si="5"/>
        <v>1</v>
      </c>
    </row>
    <row r="39" spans="1:29" ht="15">
      <c r="A39" s="419"/>
      <c r="B39" s="371" t="s">
        <v>1789</v>
      </c>
      <c r="C39" s="1902"/>
      <c r="D39" s="382">
        <v>100</v>
      </c>
      <c r="E39" s="1902"/>
      <c r="F39" s="408">
        <f>SUMIF(116:116,E39,117:117)-SUMIF(116:116,C39,117:117)+100</f>
        <v>100</v>
      </c>
      <c r="G39" s="1902"/>
      <c r="H39" s="382">
        <f>SUMIF(116:116,G39,117:117)-SUMIF(116:116,C39,117:117)+100</f>
        <v>100</v>
      </c>
      <c r="I39" s="1902"/>
      <c r="J39" s="382">
        <f>SUMIF(116:116,I39,117:117)-SUMIF(116:116,C39,117:117)+100</f>
        <v>100</v>
      </c>
      <c r="K39" s="557"/>
      <c r="L39" s="2712"/>
      <c r="M39" s="2706"/>
      <c r="N39" s="2706"/>
      <c r="O39" s="2706"/>
      <c r="P39" s="3800"/>
      <c r="Q39" s="1348" t="str">
        <f t="shared" si="11"/>
        <v>层高</v>
      </c>
      <c r="R39" s="701" t="s">
        <v>14</v>
      </c>
      <c r="S39" s="702">
        <f t="shared" si="12"/>
        <v>100</v>
      </c>
      <c r="T39" s="701" t="s">
        <v>14</v>
      </c>
      <c r="U39" s="702">
        <f t="shared" si="13"/>
        <v>100</v>
      </c>
      <c r="V39" s="701" t="s">
        <v>14</v>
      </c>
      <c r="W39" s="702">
        <f t="shared" si="14"/>
        <v>100</v>
      </c>
      <c r="X39" s="1351"/>
      <c r="Y39" s="3737"/>
      <c r="Z39" s="1352" t="str">
        <f t="shared" si="15"/>
        <v>层高</v>
      </c>
      <c r="AA39" s="1349">
        <f t="shared" si="3"/>
        <v>1</v>
      </c>
      <c r="AB39" s="1349">
        <f t="shared" si="4"/>
        <v>1</v>
      </c>
      <c r="AC39" s="1349">
        <f t="shared" si="5"/>
        <v>1</v>
      </c>
    </row>
    <row r="40" spans="1:29" ht="15">
      <c r="A40" s="419"/>
      <c r="B40" s="371" t="s">
        <v>1790</v>
      </c>
      <c r="C40" s="562"/>
      <c r="D40" s="382">
        <v>100</v>
      </c>
      <c r="E40" s="563"/>
      <c r="F40" s="408">
        <f>SUMIF(118:118,E40,119:119)-SUMIF(118:118,C40,119:119)+100</f>
        <v>100</v>
      </c>
      <c r="G40" s="563"/>
      <c r="H40" s="382">
        <f>SUMIF(118:118,G40,119:119)-SUMIF(118:118,C40,119:119)+100</f>
        <v>100</v>
      </c>
      <c r="I40" s="563"/>
      <c r="J40" s="382">
        <f>SUMIF(118:118,I40,119:119)-SUMIF(118:118,C40,119:119)+100</f>
        <v>100</v>
      </c>
      <c r="K40" s="558"/>
      <c r="L40" s="2712"/>
      <c r="M40" s="2706"/>
      <c r="N40" s="2706"/>
      <c r="O40" s="2706"/>
      <c r="P40" s="3800"/>
      <c r="Q40" s="1348" t="str">
        <f t="shared" si="11"/>
        <v>单套建筑面积</v>
      </c>
      <c r="R40" s="701" t="s">
        <v>14</v>
      </c>
      <c r="S40" s="702">
        <f t="shared" si="12"/>
        <v>100</v>
      </c>
      <c r="T40" s="701" t="s">
        <v>14</v>
      </c>
      <c r="U40" s="702">
        <f t="shared" si="13"/>
        <v>100</v>
      </c>
      <c r="V40" s="701" t="s">
        <v>14</v>
      </c>
      <c r="W40" s="702">
        <f t="shared" si="14"/>
        <v>100</v>
      </c>
      <c r="X40" s="1351"/>
      <c r="Y40" s="3737"/>
      <c r="Z40" s="1352" t="str">
        <f t="shared" si="15"/>
        <v>单套建筑面积</v>
      </c>
      <c r="AA40" s="1349">
        <f t="shared" si="3"/>
        <v>1</v>
      </c>
      <c r="AB40" s="1349">
        <f t="shared" si="4"/>
        <v>1</v>
      </c>
      <c r="AC40" s="1349">
        <f t="shared" si="5"/>
        <v>1</v>
      </c>
    </row>
    <row r="41" spans="1:29" s="418" customFormat="1" ht="15">
      <c r="A41" s="415"/>
      <c r="B41" s="1350" t="s">
        <v>1791</v>
      </c>
      <c r="C41" s="561"/>
      <c r="D41" s="382">
        <v>100</v>
      </c>
      <c r="E41" s="561"/>
      <c r="F41" s="408">
        <f>SUMIF(120:120,E41,121:121)-SUMIF(120:120,C41,121:121)+100</f>
        <v>100</v>
      </c>
      <c r="G41" s="561"/>
      <c r="H41" s="382">
        <f>SUMIF(120:120,G41,121:121)-SUMIF(120:120,C41,121:121)+100</f>
        <v>100</v>
      </c>
      <c r="I41" s="561"/>
      <c r="J41" s="382">
        <f>SUMIF(120:120,I41,121:121)-SUMIF(120:120,C41,121:121)+100</f>
        <v>100</v>
      </c>
      <c r="K41" s="557"/>
      <c r="L41" s="2711"/>
      <c r="M41" s="2713"/>
      <c r="N41" s="2713"/>
      <c r="O41" s="2713"/>
      <c r="P41" s="3800"/>
      <c r="Q41" s="703" t="str">
        <f t="shared" si="11"/>
        <v>进深比</v>
      </c>
      <c r="R41" s="704" t="s">
        <v>14</v>
      </c>
      <c r="S41" s="705">
        <f t="shared" si="12"/>
        <v>100</v>
      </c>
      <c r="T41" s="704" t="s">
        <v>14</v>
      </c>
      <c r="U41" s="705">
        <f t="shared" si="13"/>
        <v>100</v>
      </c>
      <c r="V41" s="704" t="s">
        <v>14</v>
      </c>
      <c r="W41" s="705">
        <f t="shared" si="14"/>
        <v>100</v>
      </c>
      <c r="X41" s="706"/>
      <c r="Y41" s="3737"/>
      <c r="Z41" s="707" t="str">
        <f t="shared" si="15"/>
        <v>进深比</v>
      </c>
      <c r="AA41" s="1349">
        <f t="shared" si="3"/>
        <v>1</v>
      </c>
      <c r="AB41" s="1349">
        <f t="shared" si="4"/>
        <v>1</v>
      </c>
      <c r="AC41" s="1349">
        <f t="shared" si="5"/>
        <v>1</v>
      </c>
    </row>
    <row r="42" spans="1:29" ht="15">
      <c r="A42" s="419"/>
      <c r="B42" s="371" t="s">
        <v>1792</v>
      </c>
      <c r="C42" s="1902"/>
      <c r="D42" s="382">
        <v>100</v>
      </c>
      <c r="E42" s="1902"/>
      <c r="F42" s="408">
        <f>SUMIF(122:122,E42,123:123)-SUMIF(122:122,C42,123:123)+100</f>
        <v>100</v>
      </c>
      <c r="G42" s="1902"/>
      <c r="H42" s="382">
        <f>SUMIF(122:122,G42,123:123)-SUMIF(122:122,C42,123:123)+100</f>
        <v>100</v>
      </c>
      <c r="I42" s="1902"/>
      <c r="J42" s="382">
        <f>SUMIF(122:122,I42,123:123)-SUMIF(122:122,C42,123:123)+100</f>
        <v>100</v>
      </c>
      <c r="K42" s="557"/>
      <c r="L42" s="2712"/>
      <c r="M42" s="2706"/>
      <c r="N42" s="2706"/>
      <c r="O42" s="2706"/>
      <c r="P42" s="3800"/>
      <c r="Q42" s="1348" t="str">
        <f t="shared" si="11"/>
        <v>内部装修</v>
      </c>
      <c r="R42" s="701" t="s">
        <v>14</v>
      </c>
      <c r="S42" s="702">
        <f t="shared" si="12"/>
        <v>100</v>
      </c>
      <c r="T42" s="701" t="s">
        <v>14</v>
      </c>
      <c r="U42" s="702">
        <f t="shared" si="13"/>
        <v>100</v>
      </c>
      <c r="V42" s="701" t="s">
        <v>14</v>
      </c>
      <c r="W42" s="702">
        <f t="shared" si="14"/>
        <v>100</v>
      </c>
      <c r="X42" s="1351"/>
      <c r="Y42" s="3737"/>
      <c r="Z42" s="1352" t="str">
        <f t="shared" si="15"/>
        <v>内部装修</v>
      </c>
      <c r="AA42" s="1349">
        <f t="shared" si="3"/>
        <v>1</v>
      </c>
      <c r="AB42" s="1349">
        <f t="shared" si="4"/>
        <v>1</v>
      </c>
      <c r="AC42" s="1349">
        <f t="shared" si="5"/>
        <v>1</v>
      </c>
    </row>
    <row r="43" spans="1:29" ht="15">
      <c r="A43" s="419"/>
      <c r="B43" s="371" t="s">
        <v>1707</v>
      </c>
      <c r="C43" s="1902"/>
      <c r="D43" s="382">
        <v>100</v>
      </c>
      <c r="E43" s="1902"/>
      <c r="F43" s="408">
        <f>SUMIF(124:124,E43,125:125)-SUMIF(124:124,C43,125:125)+100</f>
        <v>100</v>
      </c>
      <c r="G43" s="1902"/>
      <c r="H43" s="382">
        <f>SUMIF(124:124,G43,125:125)-SUMIF(124:124,C43,125:125)+100</f>
        <v>100</v>
      </c>
      <c r="I43" s="1902"/>
      <c r="J43" s="382">
        <f>SUMIF(124:124,I43,125:125)-SUMIF(124:124,C43,125:125)+100</f>
        <v>100</v>
      </c>
      <c r="K43" s="557"/>
      <c r="L43" s="2712"/>
      <c r="M43" s="2706"/>
      <c r="N43" s="2706"/>
      <c r="O43" s="2706"/>
      <c r="P43" s="3800"/>
      <c r="Q43" s="1348" t="str">
        <f t="shared" si="11"/>
        <v>内部装修维护情况</v>
      </c>
      <c r="R43" s="701" t="s">
        <v>14</v>
      </c>
      <c r="S43" s="702">
        <f t="shared" si="12"/>
        <v>100</v>
      </c>
      <c r="T43" s="701" t="s">
        <v>14</v>
      </c>
      <c r="U43" s="702">
        <f t="shared" si="13"/>
        <v>100</v>
      </c>
      <c r="V43" s="701" t="s">
        <v>14</v>
      </c>
      <c r="W43" s="702">
        <f t="shared" si="14"/>
        <v>100</v>
      </c>
      <c r="X43" s="1351"/>
      <c r="Y43" s="3737"/>
      <c r="Z43" s="1352" t="str">
        <f t="shared" si="15"/>
        <v>内部装修维护情况</v>
      </c>
      <c r="AA43" s="1349">
        <f t="shared" si="3"/>
        <v>1</v>
      </c>
      <c r="AB43" s="1349">
        <f t="shared" si="4"/>
        <v>1</v>
      </c>
      <c r="AC43" s="1349">
        <f t="shared" si="5"/>
        <v>1</v>
      </c>
    </row>
    <row r="44" spans="1:29" s="106" customFormat="1" ht="15">
      <c r="A44" s="420"/>
      <c r="B44" s="1129">
        <v>111</v>
      </c>
      <c r="C44" s="416"/>
      <c r="D44" s="123">
        <v>100</v>
      </c>
      <c r="E44" s="381"/>
      <c r="F44" s="372">
        <f>SUMIF(126:126,E44,127:127)-SUMIF(126:126,C44,127:127)+100</f>
        <v>100</v>
      </c>
      <c r="G44" s="381"/>
      <c r="H44" s="123">
        <f>SUMIF(126:126,G44,127:127)-SUMIF(126:126,C44,127:127)+100</f>
        <v>100</v>
      </c>
      <c r="I44" s="381"/>
      <c r="J44" s="123">
        <f>SUMIF(126:126,I44,127:127)-SUMIF(126:126,C44,127:127)+100</f>
        <v>100</v>
      </c>
      <c r="K44" s="558"/>
      <c r="L44" s="2707"/>
      <c r="M44" s="2708"/>
      <c r="N44" s="2708"/>
      <c r="O44" s="2708"/>
      <c r="P44" s="3800"/>
      <c r="Q44" s="1339">
        <f t="shared" si="11"/>
        <v>111</v>
      </c>
      <c r="R44" s="697" t="s">
        <v>14</v>
      </c>
      <c r="S44" s="698">
        <f t="shared" si="12"/>
        <v>100</v>
      </c>
      <c r="T44" s="697" t="s">
        <v>14</v>
      </c>
      <c r="U44" s="698">
        <f t="shared" si="13"/>
        <v>100</v>
      </c>
      <c r="V44" s="697" t="s">
        <v>14</v>
      </c>
      <c r="W44" s="698">
        <f t="shared" si="14"/>
        <v>100</v>
      </c>
      <c r="X44" s="699"/>
      <c r="Y44" s="3737"/>
      <c r="Z44" s="52">
        <f t="shared" si="15"/>
        <v>111</v>
      </c>
      <c r="AA44" s="700">
        <f t="shared" si="3"/>
        <v>1</v>
      </c>
      <c r="AB44" s="700">
        <f t="shared" si="4"/>
        <v>1</v>
      </c>
      <c r="AC44" s="700">
        <f t="shared" si="5"/>
        <v>1</v>
      </c>
    </row>
    <row r="45" spans="1:29" ht="15">
      <c r="A45" s="419"/>
      <c r="B45" s="112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58"/>
      <c r="L45" s="2712"/>
      <c r="M45" s="2706"/>
      <c r="N45" s="2706"/>
      <c r="O45" s="2706"/>
      <c r="P45" s="3800"/>
      <c r="Q45" s="1348">
        <f t="shared" si="11"/>
        <v>111</v>
      </c>
      <c r="R45" s="701" t="s">
        <v>14</v>
      </c>
      <c r="S45" s="702">
        <f t="shared" si="12"/>
        <v>100</v>
      </c>
      <c r="T45" s="701" t="s">
        <v>14</v>
      </c>
      <c r="U45" s="702">
        <f t="shared" si="13"/>
        <v>100</v>
      </c>
      <c r="V45" s="701" t="s">
        <v>14</v>
      </c>
      <c r="W45" s="702">
        <f t="shared" si="14"/>
        <v>100</v>
      </c>
      <c r="X45" s="1351"/>
      <c r="Y45" s="3737"/>
      <c r="Z45" s="1352">
        <f t="shared" si="15"/>
        <v>111</v>
      </c>
      <c r="AA45" s="1349">
        <f t="shared" si="3"/>
        <v>1</v>
      </c>
      <c r="AB45" s="1349">
        <f t="shared" si="4"/>
        <v>1</v>
      </c>
      <c r="AC45" s="1349">
        <f t="shared" si="5"/>
        <v>1</v>
      </c>
    </row>
    <row r="46" spans="1:29" ht="15.75" thickBot="1">
      <c r="A46" s="425"/>
      <c r="B46" s="1891">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58"/>
      <c r="L46" s="2712"/>
      <c r="M46" s="2706"/>
      <c r="N46" s="2706"/>
      <c r="O46" s="2706"/>
      <c r="P46" s="3801"/>
      <c r="Q46" s="1348">
        <f t="shared" si="11"/>
        <v>111</v>
      </c>
      <c r="R46" s="701" t="s">
        <v>14</v>
      </c>
      <c r="S46" s="702">
        <f t="shared" si="12"/>
        <v>100</v>
      </c>
      <c r="T46" s="701" t="s">
        <v>14</v>
      </c>
      <c r="U46" s="702">
        <f t="shared" si="13"/>
        <v>100</v>
      </c>
      <c r="V46" s="701" t="s">
        <v>14</v>
      </c>
      <c r="W46" s="702">
        <f t="shared" si="14"/>
        <v>100</v>
      </c>
      <c r="X46" s="1351"/>
      <c r="Y46" s="3802"/>
      <c r="Z46" s="1352">
        <f t="shared" si="15"/>
        <v>111</v>
      </c>
      <c r="AA46" s="1349">
        <f t="shared" si="3"/>
        <v>1</v>
      </c>
      <c r="AB46" s="1349">
        <f t="shared" si="4"/>
        <v>1</v>
      </c>
      <c r="AC46" s="1349">
        <f t="shared" si="5"/>
        <v>1</v>
      </c>
    </row>
    <row r="47" spans="1:29" ht="15">
      <c r="A47" s="426" t="s">
        <v>1708</v>
      </c>
      <c r="B47" s="427"/>
      <c r="C47" s="1150" t="s">
        <v>0</v>
      </c>
      <c r="D47" s="1151"/>
      <c r="E47" s="1152"/>
      <c r="F47" s="1153"/>
      <c r="G47" s="1154"/>
      <c r="H47" s="1155"/>
      <c r="I47" s="1152"/>
      <c r="J47" s="1155"/>
      <c r="K47" s="710"/>
      <c r="L47" s="2714"/>
      <c r="M47" s="2715"/>
      <c r="N47" s="2706"/>
      <c r="O47" s="2715"/>
      <c r="P47" s="3733" t="str">
        <f>A47</f>
        <v>成交单价（元/平方米）</v>
      </c>
      <c r="Q47" s="3733"/>
      <c r="R47" s="3738">
        <f>E47</f>
        <v>0</v>
      </c>
      <c r="S47" s="3738"/>
      <c r="T47" s="3738">
        <f>G47</f>
        <v>0</v>
      </c>
      <c r="U47" s="3738"/>
      <c r="V47" s="3738">
        <f>I47</f>
        <v>0</v>
      </c>
      <c r="W47" s="3738"/>
      <c r="X47" s="686"/>
      <c r="Y47" s="708"/>
      <c r="Z47" s="686"/>
      <c r="AA47" s="686"/>
      <c r="AB47" s="686"/>
      <c r="AC47" s="686"/>
    </row>
    <row r="48" spans="1:29" ht="15.75" thickBot="1">
      <c r="A48" s="433" t="s">
        <v>1793</v>
      </c>
      <c r="B48" s="434"/>
      <c r="C48" s="1156" t="e">
        <f>R49</f>
        <v>#DIV/0!</v>
      </c>
      <c r="D48" s="2313" t="s">
        <v>2138</v>
      </c>
      <c r="E48" s="1157" t="e">
        <f>R48</f>
        <v>#DIV/0!</v>
      </c>
      <c r="F48" s="2314"/>
      <c r="G48" s="1156" t="e">
        <f>T48</f>
        <v>#DIV/0!</v>
      </c>
      <c r="H48" s="2314"/>
      <c r="I48" s="1157" t="e">
        <f>V48</f>
        <v>#DIV/0!</v>
      </c>
      <c r="J48" s="2314"/>
      <c r="K48" s="2316">
        <f>F48+H48+J48</f>
        <v>0</v>
      </c>
      <c r="L48" s="2714"/>
      <c r="M48" s="2715"/>
      <c r="N48" s="2706"/>
      <c r="O48" s="2715"/>
      <c r="P48" s="3733" t="str">
        <f>A48</f>
        <v>比较价值（元/平方米）</v>
      </c>
      <c r="Q48" s="3733"/>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686"/>
      <c r="Y48" s="686"/>
      <c r="Z48" s="686"/>
      <c r="AA48" s="686"/>
      <c r="AB48" s="686"/>
      <c r="AC48" s="686"/>
    </row>
    <row r="49" spans="1:29" ht="15.75" thickBot="1">
      <c r="A49" s="437" t="s">
        <v>1794</v>
      </c>
      <c r="B49" s="438"/>
      <c r="C49" s="1159" t="e">
        <f>R49</f>
        <v>#DIV/0!</v>
      </c>
      <c r="D49" s="1159"/>
      <c r="E49" s="1159"/>
      <c r="F49" s="1159"/>
      <c r="G49" s="1159"/>
      <c r="H49" s="1159"/>
      <c r="I49" s="1159"/>
      <c r="J49" s="1159"/>
      <c r="K49" s="711"/>
      <c r="L49" s="2714"/>
      <c r="M49" s="2715"/>
      <c r="N49" s="2706"/>
      <c r="O49" s="2715"/>
      <c r="P49" s="3727" t="str">
        <f>A49</f>
        <v>估价对象XX用房的比较价值（楼面单价，元/平方米）</v>
      </c>
      <c r="Q49" s="3728"/>
      <c r="R49" s="3797" t="e">
        <f>IF(F1="售价",ROUND(IF(D48="简单平均",AVERAGE(R48:V48),R48*F48+T48*H48+V48*J48),0),ROUND(IF(D48="简单平均",AVERAGE(R48:V48),R48*F48+T48*H48+V48*J48),1))</f>
        <v>#DIV/0!</v>
      </c>
      <c r="S49" s="3797"/>
      <c r="T49" s="3797"/>
      <c r="U49" s="3797"/>
      <c r="V49" s="3797"/>
      <c r="W49" s="3797"/>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2" t="s">
        <v>1795</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2" t="s">
        <v>1796</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7" customFormat="1" ht="13.5" customHeight="1">
      <c r="A54" s="2718"/>
      <c r="B54" s="2718"/>
      <c r="C54" s="442" t="s">
        <v>1797</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7"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0" t="s">
        <v>1798</v>
      </c>
      <c r="B57" s="686"/>
      <c r="C57" s="691"/>
      <c r="D57" s="691"/>
      <c r="E57" s="691"/>
      <c r="F57" s="692"/>
      <c r="G57" s="692"/>
      <c r="H57" s="691"/>
      <c r="I57" s="691"/>
      <c r="J57" s="691"/>
      <c r="K57" s="693"/>
      <c r="L57" s="938"/>
      <c r="M57" s="936"/>
      <c r="N57" s="936"/>
      <c r="O57" s="936"/>
      <c r="P57" s="2728"/>
      <c r="Q57" s="2729"/>
      <c r="R57" s="2715"/>
      <c r="S57" s="2715"/>
      <c r="T57" s="2715"/>
      <c r="U57" s="2715"/>
      <c r="V57" s="2715"/>
      <c r="W57" s="2715"/>
      <c r="X57" s="2715"/>
      <c r="Y57" s="2715"/>
      <c r="Z57" s="2715"/>
      <c r="AA57" s="2715"/>
      <c r="AB57" s="2715"/>
      <c r="AC57" s="2715"/>
    </row>
    <row r="58" spans="1:29" s="453" customFormat="1" ht="15">
      <c r="A58" s="450" t="s">
        <v>1679</v>
      </c>
      <c r="B58" s="451"/>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0"/>
      <c r="Q58" s="2731"/>
      <c r="R58" s="2731"/>
      <c r="S58" s="2731"/>
      <c r="T58" s="2731"/>
      <c r="U58" s="2731"/>
      <c r="V58" s="2731"/>
      <c r="W58" s="2731"/>
      <c r="X58" s="2731"/>
      <c r="Y58" s="2731"/>
      <c r="Z58" s="2731"/>
      <c r="AA58" s="2731"/>
      <c r="AB58" s="2731"/>
      <c r="AC58" s="2731"/>
    </row>
    <row r="59" spans="1:29" s="106" customFormat="1" ht="15">
      <c r="A59" s="454"/>
      <c r="B59" s="455"/>
      <c r="C59" s="1179">
        <v>100</v>
      </c>
      <c r="D59" s="457"/>
      <c r="E59" s="457"/>
      <c r="F59" s="457"/>
      <c r="G59" s="457"/>
      <c r="H59" s="457"/>
      <c r="I59" s="457"/>
      <c r="J59" s="457"/>
      <c r="K59" s="457"/>
      <c r="L59" s="457"/>
      <c r="M59" s="458"/>
      <c r="N59" s="457"/>
      <c r="O59" s="458"/>
      <c r="P59" s="2732"/>
      <c r="Q59" s="2652"/>
      <c r="R59" s="2652"/>
      <c r="S59" s="2652"/>
      <c r="T59" s="2652"/>
      <c r="U59" s="2652"/>
      <c r="V59" s="2652"/>
      <c r="W59" s="2652"/>
      <c r="X59" s="2652"/>
      <c r="Y59" s="2652"/>
      <c r="Z59" s="2652"/>
      <c r="AA59" s="2652"/>
      <c r="AB59" s="2652"/>
      <c r="AC59" s="2652"/>
    </row>
    <row r="60" spans="1:29" s="106" customFormat="1" ht="15.75" thickBot="1">
      <c r="A60" s="460" t="s">
        <v>1716</v>
      </c>
      <c r="B60" s="461"/>
      <c r="C60" s="462"/>
      <c r="D60" s="463"/>
      <c r="E60" s="463"/>
      <c r="F60" s="463"/>
      <c r="G60" s="463"/>
      <c r="H60" s="463"/>
      <c r="I60" s="463"/>
      <c r="J60" s="463"/>
      <c r="K60" s="463"/>
      <c r="L60" s="463"/>
      <c r="M60" s="464"/>
      <c r="N60" s="463"/>
      <c r="O60" s="464"/>
      <c r="P60" s="2732"/>
      <c r="Q60" s="2729"/>
      <c r="R60" s="2652"/>
      <c r="S60" s="2652"/>
      <c r="T60" s="2652"/>
      <c r="U60" s="2652"/>
      <c r="V60" s="2652"/>
      <c r="W60" s="2652"/>
      <c r="X60" s="2652"/>
      <c r="Y60" s="2652"/>
      <c r="Z60" s="2652"/>
      <c r="AA60" s="2652"/>
      <c r="AB60" s="2652"/>
      <c r="AC60" s="2652"/>
    </row>
    <row r="61" spans="1:29" s="106" customFormat="1" ht="15">
      <c r="A61" s="466" t="s">
        <v>1681</v>
      </c>
      <c r="B61" s="455"/>
      <c r="C61" s="467" t="s">
        <v>1776</v>
      </c>
      <c r="D61" s="468"/>
      <c r="E61" s="468"/>
      <c r="F61" s="468"/>
      <c r="G61" s="468"/>
      <c r="H61" s="468"/>
      <c r="I61" s="468"/>
      <c r="J61" s="468"/>
      <c r="K61" s="468"/>
      <c r="L61" s="469"/>
      <c r="M61" s="470"/>
      <c r="N61" s="2742"/>
      <c r="O61" s="2742"/>
      <c r="P61" s="2733"/>
      <c r="Q61" s="2729"/>
      <c r="R61" s="2652"/>
      <c r="S61" s="2652"/>
      <c r="T61" s="2652"/>
      <c r="U61" s="2652"/>
      <c r="V61" s="2652"/>
      <c r="W61" s="2652"/>
      <c r="X61" s="2652"/>
      <c r="Y61" s="2652"/>
      <c r="Z61" s="2652"/>
      <c r="AA61" s="2652"/>
      <c r="AB61" s="2652"/>
      <c r="AC61" s="2652"/>
    </row>
    <row r="62" spans="1:29" s="106" customFormat="1" ht="15.75" thickBot="1">
      <c r="A62" s="466"/>
      <c r="B62" s="455"/>
      <c r="C62" s="456">
        <v>100</v>
      </c>
      <c r="D62" s="457"/>
      <c r="E62" s="457"/>
      <c r="F62" s="457"/>
      <c r="G62" s="457"/>
      <c r="H62" s="457"/>
      <c r="I62" s="457"/>
      <c r="J62" s="457"/>
      <c r="K62" s="457"/>
      <c r="L62" s="457"/>
      <c r="M62" s="459"/>
      <c r="N62" s="2742"/>
      <c r="O62" s="2742"/>
      <c r="P62" s="2732"/>
      <c r="Q62" s="2729"/>
      <c r="R62" s="2652"/>
      <c r="S62" s="2652"/>
      <c r="T62" s="2652"/>
      <c r="U62" s="2652"/>
      <c r="V62" s="2652"/>
      <c r="W62" s="2652"/>
      <c r="X62" s="2652"/>
      <c r="Y62" s="2652"/>
      <c r="Z62" s="2652"/>
      <c r="AA62" s="2652"/>
      <c r="AB62" s="2652"/>
      <c r="AC62" s="2652"/>
    </row>
    <row r="63" spans="1:29">
      <c r="A63" s="472" t="s">
        <v>1719</v>
      </c>
      <c r="B63" s="473" t="s">
        <v>1685</v>
      </c>
      <c r="C63" s="474">
        <f>C9</f>
        <v>0</v>
      </c>
      <c r="D63" s="475"/>
      <c r="E63" s="475"/>
      <c r="F63" s="475"/>
      <c r="G63" s="475"/>
      <c r="H63" s="475"/>
      <c r="I63" s="475"/>
      <c r="J63" s="475"/>
      <c r="K63" s="476"/>
      <c r="L63" s="477"/>
      <c r="M63" s="478"/>
      <c r="N63" s="2743"/>
      <c r="O63" s="2743"/>
      <c r="P63" s="2734"/>
      <c r="Q63" s="2729"/>
      <c r="R63" s="2715"/>
      <c r="S63" s="2715"/>
      <c r="T63" s="2715"/>
      <c r="U63" s="2715"/>
      <c r="V63" s="2715"/>
      <c r="W63" s="2715"/>
      <c r="X63" s="2715"/>
      <c r="Y63" s="2715"/>
      <c r="Z63" s="2715"/>
      <c r="AA63" s="2715"/>
      <c r="AB63" s="2715"/>
      <c r="AC63" s="2715"/>
    </row>
    <row r="64" spans="1:29" ht="15.75" thickBot="1">
      <c r="A64" s="479"/>
      <c r="B64" s="480"/>
      <c r="C64" s="481">
        <v>100</v>
      </c>
      <c r="D64" s="481"/>
      <c r="E64" s="481"/>
      <c r="F64" s="481"/>
      <c r="G64" s="481"/>
      <c r="H64" s="481"/>
      <c r="I64" s="481"/>
      <c r="J64" s="481"/>
      <c r="K64" s="481"/>
      <c r="L64" s="481"/>
      <c r="M64" s="482"/>
      <c r="N64" s="2744"/>
      <c r="O64" s="2744"/>
      <c r="P64" s="2734"/>
      <c r="Q64" s="2729"/>
      <c r="R64" s="2715"/>
      <c r="S64" s="2715"/>
      <c r="T64" s="2715"/>
      <c r="U64" s="2715"/>
      <c r="V64" s="2715"/>
      <c r="W64" s="2715"/>
      <c r="X64" s="2715"/>
      <c r="Y64" s="2715"/>
      <c r="Z64" s="2715"/>
      <c r="AA64" s="2715"/>
      <c r="AB64" s="2715"/>
      <c r="AC64" s="2715"/>
    </row>
    <row r="65" spans="1:29" ht="27.75" thickTop="1">
      <c r="A65" s="479"/>
      <c r="B65" s="483" t="s">
        <v>1688</v>
      </c>
      <c r="C65" s="528"/>
      <c r="D65" s="528"/>
      <c r="E65" s="528"/>
      <c r="F65" s="528"/>
      <c r="G65" s="528"/>
      <c r="H65" s="528"/>
      <c r="I65" s="528"/>
      <c r="J65" s="528"/>
      <c r="K65" s="529"/>
      <c r="L65" s="530"/>
      <c r="M65" s="531"/>
      <c r="N65" s="2743"/>
      <c r="O65" s="2743"/>
      <c r="P65" s="2734"/>
      <c r="Q65" s="2729"/>
      <c r="R65" s="2715"/>
      <c r="S65" s="2715"/>
      <c r="T65" s="2715"/>
      <c r="U65" s="2715"/>
      <c r="V65" s="2715"/>
      <c r="W65" s="2715"/>
      <c r="X65" s="2715"/>
      <c r="Y65" s="2715"/>
      <c r="Z65" s="2715"/>
      <c r="AA65" s="2715"/>
      <c r="AB65" s="2715"/>
      <c r="AC65" s="2715"/>
    </row>
    <row r="66" spans="1:29" ht="15.75" thickBot="1">
      <c r="A66" s="479"/>
      <c r="B66" s="488"/>
      <c r="C66" s="481"/>
      <c r="D66" s="481"/>
      <c r="E66" s="481"/>
      <c r="F66" s="481"/>
      <c r="G66" s="481"/>
      <c r="H66" s="481"/>
      <c r="I66" s="481"/>
      <c r="J66" s="481"/>
      <c r="K66" s="481"/>
      <c r="L66" s="481"/>
      <c r="M66" s="482"/>
      <c r="N66" s="2744"/>
      <c r="O66" s="2744"/>
      <c r="P66" s="2734"/>
      <c r="Q66" s="2729"/>
      <c r="R66" s="2715"/>
      <c r="S66" s="2715"/>
      <c r="T66" s="2715"/>
      <c r="U66" s="2715"/>
      <c r="V66" s="2715"/>
      <c r="W66" s="2715"/>
      <c r="X66" s="2715"/>
      <c r="Y66" s="2715"/>
      <c r="Z66" s="2715"/>
      <c r="AA66" s="2715"/>
      <c r="AB66" s="2715"/>
      <c r="AC66" s="2715"/>
    </row>
    <row r="67" spans="1:29" ht="15.75" thickTop="1">
      <c r="A67" s="479"/>
      <c r="B67" s="491" t="s">
        <v>1689</v>
      </c>
      <c r="C67" s="492" t="str">
        <f>C68&amp;"（含）"&amp;"-"&amp;D68</f>
        <v>（含）-</v>
      </c>
      <c r="D67" s="492" t="str">
        <f t="shared" ref="D67:L67" si="17">D68&amp;"（含）"&amp;"-"&amp;E68</f>
        <v>（含）-</v>
      </c>
      <c r="E67" s="492" t="str">
        <f t="shared" si="17"/>
        <v>（含）-</v>
      </c>
      <c r="F67" s="492" t="str">
        <f t="shared" si="17"/>
        <v>（含）-</v>
      </c>
      <c r="G67" s="492" t="str">
        <f t="shared" si="17"/>
        <v>（含）-</v>
      </c>
      <c r="H67" s="492" t="str">
        <f t="shared" si="17"/>
        <v>（含）-</v>
      </c>
      <c r="I67" s="492" t="str">
        <f t="shared" si="17"/>
        <v>（含）-</v>
      </c>
      <c r="J67" s="492" t="str">
        <f t="shared" si="17"/>
        <v>（含）-</v>
      </c>
      <c r="K67" s="492" t="str">
        <f t="shared" si="17"/>
        <v>（含）-</v>
      </c>
      <c r="L67" s="492" t="str">
        <f t="shared" si="17"/>
        <v>（含）-</v>
      </c>
      <c r="M67" s="395"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79"/>
      <c r="B68" s="493"/>
      <c r="C68" s="494"/>
      <c r="D68" s="494"/>
      <c r="E68" s="494"/>
      <c r="F68" s="494"/>
      <c r="G68" s="494"/>
      <c r="H68" s="494"/>
      <c r="I68" s="494"/>
      <c r="J68" s="494"/>
      <c r="K68" s="495"/>
      <c r="L68" s="496"/>
      <c r="M68" s="497"/>
      <c r="N68" s="2743"/>
      <c r="O68" s="2743"/>
      <c r="P68" s="2734"/>
      <c r="Q68" s="2729"/>
      <c r="R68" s="2715"/>
      <c r="S68" s="2715"/>
      <c r="T68" s="2715"/>
      <c r="U68" s="2715"/>
      <c r="V68" s="2715"/>
      <c r="W68" s="2715"/>
      <c r="X68" s="2715"/>
      <c r="Y68" s="2715"/>
      <c r="Z68" s="2715"/>
      <c r="AA68" s="2715"/>
      <c r="AB68" s="2715"/>
      <c r="AC68" s="2715"/>
    </row>
    <row r="69" spans="1:29" ht="15.75" thickBot="1">
      <c r="A69" s="479"/>
      <c r="B69" s="480"/>
      <c r="C69" s="489">
        <v>100</v>
      </c>
      <c r="D69" s="489">
        <f t="shared" ref="D69:M69" si="18">C69-$K11</f>
        <v>100</v>
      </c>
      <c r="E69" s="489">
        <f t="shared" si="18"/>
        <v>100</v>
      </c>
      <c r="F69" s="489">
        <f t="shared" si="18"/>
        <v>100</v>
      </c>
      <c r="G69" s="489">
        <f t="shared" si="18"/>
        <v>100</v>
      </c>
      <c r="H69" s="489">
        <f t="shared" si="18"/>
        <v>100</v>
      </c>
      <c r="I69" s="489">
        <f t="shared" si="18"/>
        <v>100</v>
      </c>
      <c r="J69" s="489">
        <f t="shared" si="18"/>
        <v>100</v>
      </c>
      <c r="K69" s="489">
        <f t="shared" si="18"/>
        <v>100</v>
      </c>
      <c r="L69" s="489">
        <f t="shared" si="18"/>
        <v>100</v>
      </c>
      <c r="M69" s="490">
        <f t="shared" si="18"/>
        <v>100</v>
      </c>
      <c r="N69" s="2744"/>
      <c r="O69" s="2744"/>
      <c r="P69" s="2734"/>
      <c r="Q69" s="2729"/>
      <c r="R69" s="2715"/>
      <c r="S69" s="2715"/>
      <c r="T69" s="2715"/>
      <c r="U69" s="2715"/>
      <c r="V69" s="2715"/>
      <c r="W69" s="2715"/>
      <c r="X69" s="2715"/>
      <c r="Y69" s="2715"/>
      <c r="Z69" s="2715"/>
      <c r="AA69" s="2715"/>
      <c r="AB69" s="2715"/>
      <c r="AC69" s="2715"/>
    </row>
    <row r="70" spans="1:29" s="418" customFormat="1" ht="15.75" thickTop="1">
      <c r="A70" s="498"/>
      <c r="B70" s="483">
        <f>B12</f>
        <v>111</v>
      </c>
      <c r="C70" s="499"/>
      <c r="D70" s="499"/>
      <c r="E70" s="499"/>
      <c r="F70" s="499"/>
      <c r="G70" s="499"/>
      <c r="H70" s="500"/>
      <c r="I70" s="500"/>
      <c r="J70" s="500"/>
      <c r="K70" s="500"/>
      <c r="L70" s="501"/>
      <c r="M70" s="502"/>
      <c r="N70" s="2745"/>
      <c r="O70" s="2745"/>
      <c r="P70" s="2735"/>
      <c r="Q70" s="2736"/>
      <c r="R70" s="2737"/>
      <c r="S70" s="2737"/>
      <c r="T70" s="2737"/>
      <c r="U70" s="2737"/>
      <c r="V70" s="2737"/>
      <c r="W70" s="2737"/>
      <c r="X70" s="2737"/>
      <c r="Y70" s="2737"/>
      <c r="Z70" s="2737"/>
      <c r="AA70" s="2737"/>
      <c r="AB70" s="2737"/>
      <c r="AC70" s="2737"/>
    </row>
    <row r="71" spans="1:29" s="418" customFormat="1" ht="15.75" thickBot="1">
      <c r="A71" s="498"/>
      <c r="B71" s="488"/>
      <c r="C71" s="505"/>
      <c r="D71" s="481"/>
      <c r="E71" s="481"/>
      <c r="F71" s="481"/>
      <c r="G71" s="481"/>
      <c r="H71" s="481"/>
      <c r="I71" s="481"/>
      <c r="J71" s="481"/>
      <c r="K71" s="481"/>
      <c r="L71" s="481"/>
      <c r="M71" s="482"/>
      <c r="N71" s="2744"/>
      <c r="O71" s="2744"/>
      <c r="P71" s="2735"/>
      <c r="Q71" s="2736"/>
      <c r="R71" s="2737"/>
      <c r="S71" s="2737"/>
      <c r="T71" s="2737"/>
      <c r="U71" s="2737"/>
      <c r="V71" s="2737"/>
      <c r="W71" s="2737"/>
      <c r="X71" s="2737"/>
      <c r="Y71" s="2737"/>
      <c r="Z71" s="2737"/>
      <c r="AA71" s="2737"/>
      <c r="AB71" s="2737"/>
      <c r="AC71" s="2737"/>
    </row>
    <row r="72" spans="1:29" s="418" customFormat="1" ht="15.75" thickTop="1">
      <c r="A72" s="498"/>
      <c r="B72" s="483">
        <f>B13</f>
        <v>111</v>
      </c>
      <c r="C72" s="499"/>
      <c r="D72" s="499"/>
      <c r="E72" s="499"/>
      <c r="F72" s="499"/>
      <c r="G72" s="499"/>
      <c r="H72" s="500"/>
      <c r="I72" s="500"/>
      <c r="J72" s="500"/>
      <c r="K72" s="500"/>
      <c r="L72" s="501"/>
      <c r="M72" s="502"/>
      <c r="N72" s="2745"/>
      <c r="O72" s="2745"/>
      <c r="P72" s="2738"/>
      <c r="Q72" s="2739"/>
      <c r="R72" s="2737"/>
      <c r="S72" s="2737"/>
      <c r="T72" s="2737"/>
      <c r="U72" s="2737"/>
      <c r="V72" s="2737"/>
      <c r="W72" s="2737"/>
      <c r="X72" s="2737"/>
      <c r="Y72" s="2737"/>
      <c r="Z72" s="2737"/>
      <c r="AA72" s="2737"/>
      <c r="AB72" s="2737"/>
      <c r="AC72" s="2737"/>
    </row>
    <row r="73" spans="1:29" s="418" customFormat="1" ht="15.75" thickBot="1">
      <c r="A73" s="498"/>
      <c r="B73" s="488"/>
      <c r="C73" s="505"/>
      <c r="D73" s="481"/>
      <c r="E73" s="481"/>
      <c r="F73" s="481"/>
      <c r="G73" s="505"/>
      <c r="H73" s="507"/>
      <c r="I73" s="507"/>
      <c r="J73" s="507"/>
      <c r="K73" s="507"/>
      <c r="L73" s="507"/>
      <c r="M73" s="508"/>
      <c r="N73" s="2745"/>
      <c r="O73" s="2745"/>
      <c r="P73" s="2735"/>
      <c r="Q73" s="2736"/>
      <c r="R73" s="2737"/>
      <c r="S73" s="2737"/>
      <c r="T73" s="2737"/>
      <c r="U73" s="2737"/>
      <c r="V73" s="2737"/>
      <c r="W73" s="2737"/>
      <c r="X73" s="2737"/>
      <c r="Y73" s="2737"/>
      <c r="Z73" s="2737"/>
      <c r="AA73" s="2737"/>
      <c r="AB73" s="2737"/>
      <c r="AC73" s="2737"/>
    </row>
    <row r="74" spans="1:29" s="418" customFormat="1" ht="15.75" thickTop="1">
      <c r="A74" s="498"/>
      <c r="B74" s="491">
        <f>B14</f>
        <v>111</v>
      </c>
      <c r="C74" s="499"/>
      <c r="D74" s="499"/>
      <c r="E74" s="499"/>
      <c r="F74" s="499"/>
      <c r="G74" s="468"/>
      <c r="H74" s="509"/>
      <c r="I74" s="509"/>
      <c r="J74" s="509"/>
      <c r="K74" s="509"/>
      <c r="L74" s="510"/>
      <c r="M74" s="511"/>
      <c r="N74" s="2745"/>
      <c r="O74" s="2745"/>
      <c r="P74" s="2740"/>
      <c r="Q74" s="2736"/>
      <c r="R74" s="2737"/>
      <c r="S74" s="2737"/>
      <c r="T74" s="2737"/>
      <c r="U74" s="2737"/>
      <c r="V74" s="2737"/>
      <c r="W74" s="2737"/>
      <c r="X74" s="2737"/>
      <c r="Y74" s="2737"/>
      <c r="Z74" s="2737"/>
      <c r="AA74" s="2737"/>
      <c r="AB74" s="2737"/>
      <c r="AC74" s="2737"/>
    </row>
    <row r="75" spans="1:29" s="418" customFormat="1" ht="15.75" thickBot="1">
      <c r="A75" s="513"/>
      <c r="B75" s="514"/>
      <c r="C75" s="515"/>
      <c r="D75" s="515"/>
      <c r="E75" s="515"/>
      <c r="F75" s="515"/>
      <c r="G75" s="515"/>
      <c r="H75" s="516"/>
      <c r="I75" s="516"/>
      <c r="J75" s="516"/>
      <c r="K75" s="516"/>
      <c r="L75" s="516"/>
      <c r="M75" s="517"/>
      <c r="N75" s="2745"/>
      <c r="O75" s="2745"/>
      <c r="P75" s="2735"/>
      <c r="Q75" s="2736"/>
      <c r="R75" s="2737"/>
      <c r="S75" s="2737"/>
      <c r="T75" s="2737"/>
      <c r="U75" s="2737"/>
      <c r="V75" s="2737"/>
      <c r="W75" s="2737"/>
      <c r="X75" s="2737"/>
      <c r="Y75" s="2737"/>
      <c r="Z75" s="2737"/>
      <c r="AA75" s="2737"/>
      <c r="AB75" s="2737"/>
      <c r="AC75" s="2737"/>
    </row>
    <row r="76" spans="1:29">
      <c r="A76" s="472" t="s">
        <v>1690</v>
      </c>
      <c r="B76" s="473" t="s">
        <v>1720</v>
      </c>
      <c r="C76" s="518" t="s">
        <v>1721</v>
      </c>
      <c r="D76" s="518" t="s">
        <v>1722</v>
      </c>
      <c r="E76" s="518" t="s">
        <v>1723</v>
      </c>
      <c r="F76" s="518" t="s">
        <v>1724</v>
      </c>
      <c r="G76" s="518" t="s">
        <v>1725</v>
      </c>
      <c r="H76" s="474"/>
      <c r="I76" s="474"/>
      <c r="J76" s="474"/>
      <c r="K76" s="519"/>
      <c r="L76" s="520"/>
      <c r="M76" s="521"/>
      <c r="N76" s="2743"/>
      <c r="O76" s="2743"/>
      <c r="P76" s="2741"/>
      <c r="Q76" s="2729"/>
      <c r="R76" s="2715"/>
      <c r="S76" s="2715"/>
      <c r="T76" s="2715"/>
      <c r="U76" s="2715"/>
      <c r="V76" s="2715"/>
      <c r="W76" s="2715"/>
      <c r="X76" s="2715"/>
      <c r="Y76" s="2715"/>
      <c r="Z76" s="2715"/>
      <c r="AA76" s="2715"/>
      <c r="AB76" s="2715"/>
      <c r="AC76" s="2715"/>
    </row>
    <row r="77" spans="1:29" ht="15.75" thickBot="1">
      <c r="A77" s="479"/>
      <c r="B77" s="488"/>
      <c r="C77" s="489">
        <v>100</v>
      </c>
      <c r="D77" s="489">
        <f>C77-$K15</f>
        <v>100</v>
      </c>
      <c r="E77" s="489">
        <f>D77-$K15</f>
        <v>100</v>
      </c>
      <c r="F77" s="489">
        <f>E77-$K15</f>
        <v>100</v>
      </c>
      <c r="G77" s="489">
        <f>F77-$K15</f>
        <v>100</v>
      </c>
      <c r="H77" s="489"/>
      <c r="I77" s="489"/>
      <c r="J77" s="489"/>
      <c r="K77" s="489"/>
      <c r="L77" s="489"/>
      <c r="M77" s="490"/>
      <c r="N77" s="2744"/>
      <c r="O77" s="2744"/>
      <c r="P77" s="2734"/>
      <c r="Q77" s="2729"/>
      <c r="R77" s="2715"/>
      <c r="S77" s="2715"/>
      <c r="T77" s="2715"/>
      <c r="U77" s="2715"/>
      <c r="V77" s="2715"/>
      <c r="W77" s="2715"/>
      <c r="X77" s="2715"/>
      <c r="Y77" s="2715"/>
      <c r="Z77" s="2715"/>
      <c r="AA77" s="2715"/>
      <c r="AB77" s="2715"/>
      <c r="AC77" s="2715"/>
    </row>
    <row r="78" spans="1:29" ht="15.75" thickTop="1">
      <c r="A78" s="479"/>
      <c r="B78" s="483" t="s">
        <v>1726</v>
      </c>
      <c r="C78" s="523" t="s">
        <v>1721</v>
      </c>
      <c r="D78" s="523" t="s">
        <v>1722</v>
      </c>
      <c r="E78" s="523" t="s">
        <v>1723</v>
      </c>
      <c r="F78" s="523" t="s">
        <v>1724</v>
      </c>
      <c r="G78" s="523" t="s">
        <v>1725</v>
      </c>
      <c r="H78" s="484"/>
      <c r="I78" s="484"/>
      <c r="J78" s="484"/>
      <c r="K78" s="485"/>
      <c r="L78" s="486"/>
      <c r="M78" s="487"/>
      <c r="N78" s="2743"/>
      <c r="O78" s="2743"/>
      <c r="P78" s="2734"/>
      <c r="Q78" s="2729"/>
      <c r="R78" s="2715"/>
      <c r="S78" s="2715"/>
      <c r="T78" s="2715"/>
      <c r="U78" s="2715"/>
      <c r="V78" s="2715"/>
      <c r="W78" s="2715"/>
      <c r="X78" s="2715"/>
      <c r="Y78" s="2715"/>
      <c r="Z78" s="2715"/>
      <c r="AA78" s="2715"/>
      <c r="AB78" s="2715"/>
      <c r="AC78" s="2715"/>
    </row>
    <row r="79" spans="1:29" ht="15.75" thickBot="1">
      <c r="A79" s="479"/>
      <c r="B79" s="488"/>
      <c r="C79" s="489">
        <v>100</v>
      </c>
      <c r="D79" s="489">
        <f>C79-$K17</f>
        <v>100</v>
      </c>
      <c r="E79" s="489">
        <f>D79-$K17</f>
        <v>100</v>
      </c>
      <c r="F79" s="489">
        <f>E79-$K17</f>
        <v>100</v>
      </c>
      <c r="G79" s="489">
        <f>F79-$K17</f>
        <v>100</v>
      </c>
      <c r="H79" s="489"/>
      <c r="I79" s="489"/>
      <c r="J79" s="489"/>
      <c r="K79" s="489"/>
      <c r="L79" s="489"/>
      <c r="M79" s="490"/>
      <c r="N79" s="2744"/>
      <c r="O79" s="2744"/>
      <c r="P79" s="2734"/>
      <c r="Q79" s="2729"/>
      <c r="R79" s="2715"/>
      <c r="S79" s="2715"/>
      <c r="T79" s="2715"/>
      <c r="U79" s="2715"/>
      <c r="V79" s="2715"/>
      <c r="W79" s="2715"/>
      <c r="X79" s="2715"/>
      <c r="Y79" s="2715"/>
      <c r="Z79" s="2715"/>
      <c r="AA79" s="2715"/>
      <c r="AB79" s="2715"/>
      <c r="AC79" s="2715"/>
    </row>
    <row r="80" spans="1:29" ht="15.75" thickTop="1">
      <c r="A80" s="479"/>
      <c r="B80" s="483" t="s">
        <v>1727</v>
      </c>
      <c r="C80" s="523" t="s">
        <v>1721</v>
      </c>
      <c r="D80" s="523" t="s">
        <v>1722</v>
      </c>
      <c r="E80" s="523" t="s">
        <v>1723</v>
      </c>
      <c r="F80" s="523" t="s">
        <v>1724</v>
      </c>
      <c r="G80" s="523" t="s">
        <v>1725</v>
      </c>
      <c r="H80" s="484"/>
      <c r="I80" s="484"/>
      <c r="J80" s="484"/>
      <c r="K80" s="485"/>
      <c r="L80" s="486"/>
      <c r="M80" s="487"/>
      <c r="N80" s="2743"/>
      <c r="O80" s="2743"/>
      <c r="P80" s="2734"/>
      <c r="Q80" s="2729"/>
      <c r="R80" s="2715"/>
      <c r="S80" s="2715"/>
      <c r="T80" s="2715"/>
      <c r="U80" s="2715"/>
      <c r="V80" s="2715"/>
      <c r="W80" s="2715"/>
      <c r="X80" s="2715"/>
      <c r="Y80" s="2715"/>
      <c r="Z80" s="2715"/>
      <c r="AA80" s="2715"/>
      <c r="AB80" s="2715"/>
      <c r="AC80" s="2715"/>
    </row>
    <row r="81" spans="1:29" ht="15.75" thickBot="1">
      <c r="A81" s="479"/>
      <c r="B81" s="488"/>
      <c r="C81" s="489">
        <v>100</v>
      </c>
      <c r="D81" s="489">
        <f>C81-$K19</f>
        <v>100</v>
      </c>
      <c r="E81" s="489">
        <f>D81-$K19</f>
        <v>100</v>
      </c>
      <c r="F81" s="489">
        <f>E81-$K19</f>
        <v>100</v>
      </c>
      <c r="G81" s="489">
        <f>F81-$K19</f>
        <v>100</v>
      </c>
      <c r="H81" s="489"/>
      <c r="I81" s="489"/>
      <c r="J81" s="489"/>
      <c r="K81" s="489"/>
      <c r="L81" s="489"/>
      <c r="M81" s="490"/>
      <c r="N81" s="2744"/>
      <c r="O81" s="2744"/>
      <c r="P81" s="2734"/>
      <c r="Q81" s="2729"/>
      <c r="R81" s="2715"/>
      <c r="S81" s="2715"/>
      <c r="T81" s="2715"/>
      <c r="U81" s="2715"/>
      <c r="V81" s="2715"/>
      <c r="W81" s="2715"/>
      <c r="X81" s="2715"/>
      <c r="Y81" s="2715"/>
      <c r="Z81" s="2715"/>
      <c r="AA81" s="2715"/>
      <c r="AB81" s="2715"/>
      <c r="AC81" s="2715"/>
    </row>
    <row r="82" spans="1:29" ht="15.75" thickTop="1">
      <c r="A82" s="479"/>
      <c r="B82" s="491" t="s">
        <v>1779</v>
      </c>
      <c r="C82" s="604" t="s">
        <v>1799</v>
      </c>
      <c r="D82" s="604" t="s">
        <v>1800</v>
      </c>
      <c r="E82" s="604" t="s">
        <v>1801</v>
      </c>
      <c r="F82" s="604" t="s">
        <v>1802</v>
      </c>
      <c r="G82" s="604" t="s">
        <v>1803</v>
      </c>
      <c r="H82" s="484"/>
      <c r="I82" s="484"/>
      <c r="J82" s="484"/>
      <c r="K82" s="484"/>
      <c r="L82" s="484"/>
      <c r="M82" s="1125"/>
      <c r="N82" s="2744"/>
      <c r="O82" s="2744"/>
      <c r="P82" s="2734"/>
      <c r="Q82" s="2729"/>
      <c r="R82" s="2715"/>
      <c r="S82" s="2715"/>
      <c r="T82" s="2715"/>
      <c r="U82" s="2715"/>
      <c r="V82" s="2715"/>
      <c r="W82" s="2715"/>
      <c r="X82" s="2715"/>
      <c r="Y82" s="2715"/>
      <c r="Z82" s="2715"/>
      <c r="AA82" s="2715"/>
      <c r="AB82" s="2715"/>
      <c r="AC82" s="2715"/>
    </row>
    <row r="83" spans="1:29" ht="15.75" thickBot="1">
      <c r="A83" s="479"/>
      <c r="B83" s="491"/>
      <c r="C83" s="489">
        <v>100</v>
      </c>
      <c r="D83" s="489">
        <f>C83-$K21</f>
        <v>100</v>
      </c>
      <c r="E83" s="489">
        <f t="shared" ref="E83:G83" si="19">D83-$K21</f>
        <v>100</v>
      </c>
      <c r="F83" s="489">
        <f t="shared" si="19"/>
        <v>100</v>
      </c>
      <c r="G83" s="489">
        <f t="shared" si="19"/>
        <v>100</v>
      </c>
      <c r="H83" s="604"/>
      <c r="I83" s="604"/>
      <c r="J83" s="604"/>
      <c r="K83" s="604"/>
      <c r="L83" s="604"/>
      <c r="M83" s="397"/>
      <c r="N83" s="2744"/>
      <c r="O83" s="2744"/>
      <c r="P83" s="2734"/>
      <c r="Q83" s="2729"/>
      <c r="R83" s="2715"/>
      <c r="S83" s="2715"/>
      <c r="T83" s="2715"/>
      <c r="U83" s="2715"/>
      <c r="V83" s="2715"/>
      <c r="W83" s="2715"/>
      <c r="X83" s="2715"/>
      <c r="Y83" s="2715"/>
      <c r="Z83" s="2715"/>
      <c r="AA83" s="2715"/>
      <c r="AB83" s="2715"/>
      <c r="AC83" s="2715"/>
    </row>
    <row r="84" spans="1:29" ht="15.75" thickTop="1">
      <c r="A84" s="479"/>
      <c r="B84" s="483" t="s">
        <v>1733</v>
      </c>
      <c r="C84" s="523" t="s">
        <v>1721</v>
      </c>
      <c r="D84" s="523" t="s">
        <v>1722</v>
      </c>
      <c r="E84" s="523" t="s">
        <v>1723</v>
      </c>
      <c r="F84" s="523" t="s">
        <v>1724</v>
      </c>
      <c r="G84" s="523" t="s">
        <v>1725</v>
      </c>
      <c r="H84" s="484"/>
      <c r="I84" s="484"/>
      <c r="J84" s="484"/>
      <c r="K84" s="485"/>
      <c r="L84" s="486"/>
      <c r="M84" s="487"/>
      <c r="N84" s="2743"/>
      <c r="O84" s="2743"/>
      <c r="P84" s="2734"/>
      <c r="Q84" s="2729"/>
      <c r="R84" s="2715"/>
      <c r="S84" s="2715"/>
      <c r="T84" s="2715"/>
      <c r="U84" s="2715"/>
      <c r="V84" s="2715"/>
      <c r="W84" s="2715"/>
      <c r="X84" s="2715"/>
      <c r="Y84" s="2715"/>
      <c r="Z84" s="2715"/>
      <c r="AA84" s="2715"/>
      <c r="AB84" s="2715"/>
      <c r="AC84" s="2715"/>
    </row>
    <row r="85" spans="1:29" ht="15.75" thickBot="1">
      <c r="A85" s="479"/>
      <c r="B85" s="488"/>
      <c r="C85" s="489">
        <v>100</v>
      </c>
      <c r="D85" s="489">
        <f>C85-$K23</f>
        <v>100</v>
      </c>
      <c r="E85" s="489">
        <f>D85-$K23</f>
        <v>100</v>
      </c>
      <c r="F85" s="489">
        <f>E85-$K23</f>
        <v>100</v>
      </c>
      <c r="G85" s="489">
        <f>F85-$K23</f>
        <v>100</v>
      </c>
      <c r="H85" s="489"/>
      <c r="I85" s="489"/>
      <c r="J85" s="489"/>
      <c r="K85" s="489"/>
      <c r="L85" s="489"/>
      <c r="M85" s="490"/>
      <c r="N85" s="2744"/>
      <c r="O85" s="2744"/>
      <c r="P85" s="2734"/>
      <c r="Q85" s="2729"/>
      <c r="R85" s="2715"/>
      <c r="S85" s="2715"/>
      <c r="T85" s="2715"/>
      <c r="U85" s="2715"/>
      <c r="V85" s="2715"/>
      <c r="W85" s="2715"/>
      <c r="X85" s="2715"/>
      <c r="Y85" s="2715"/>
      <c r="Z85" s="2715"/>
      <c r="AA85" s="2715"/>
      <c r="AB85" s="2715"/>
      <c r="AC85" s="2715"/>
    </row>
    <row r="86" spans="1:29" s="106" customFormat="1" ht="15.75" thickTop="1">
      <c r="A86" s="524"/>
      <c r="B86" s="483" t="s">
        <v>1804</v>
      </c>
      <c r="C86" s="499"/>
      <c r="D86" s="499"/>
      <c r="E86" s="499"/>
      <c r="F86" s="499"/>
      <c r="G86" s="499"/>
      <c r="H86" s="499"/>
      <c r="I86" s="499"/>
      <c r="J86" s="499"/>
      <c r="K86" s="499"/>
      <c r="L86" s="525"/>
      <c r="M86" s="526"/>
      <c r="N86" s="2742"/>
      <c r="O86" s="2742"/>
      <c r="P86" s="2734"/>
      <c r="Q86" s="2729"/>
      <c r="R86" s="2652"/>
      <c r="S86" s="2652"/>
      <c r="T86" s="2652"/>
      <c r="U86" s="2652"/>
      <c r="V86" s="2652"/>
      <c r="W86" s="2652"/>
      <c r="X86" s="2652"/>
      <c r="Y86" s="2652"/>
      <c r="Z86" s="2652"/>
      <c r="AA86" s="2652"/>
      <c r="AB86" s="2652"/>
      <c r="AC86" s="2652"/>
    </row>
    <row r="87" spans="1:29" s="106" customFormat="1" ht="15.75" thickBot="1">
      <c r="A87" s="524"/>
      <c r="B87" s="488"/>
      <c r="C87" s="527">
        <v>100</v>
      </c>
      <c r="D87" s="489">
        <f t="shared" ref="D87:M87" si="20">C87-$K25</f>
        <v>100</v>
      </c>
      <c r="E87" s="489">
        <f t="shared" si="20"/>
        <v>100</v>
      </c>
      <c r="F87" s="489">
        <f t="shared" si="20"/>
        <v>100</v>
      </c>
      <c r="G87" s="489">
        <f t="shared" si="20"/>
        <v>100</v>
      </c>
      <c r="H87" s="489">
        <f t="shared" si="20"/>
        <v>100</v>
      </c>
      <c r="I87" s="489">
        <f t="shared" si="20"/>
        <v>100</v>
      </c>
      <c r="J87" s="489">
        <f t="shared" si="20"/>
        <v>100</v>
      </c>
      <c r="K87" s="489">
        <f t="shared" si="20"/>
        <v>100</v>
      </c>
      <c r="L87" s="489">
        <f t="shared" si="20"/>
        <v>100</v>
      </c>
      <c r="M87" s="489">
        <f t="shared" si="20"/>
        <v>100</v>
      </c>
      <c r="N87" s="2744"/>
      <c r="O87" s="2744"/>
      <c r="P87" s="2734"/>
      <c r="Q87" s="2729"/>
      <c r="R87" s="2652"/>
      <c r="S87" s="2652"/>
      <c r="T87" s="2652"/>
      <c r="U87" s="2652"/>
      <c r="V87" s="2652"/>
      <c r="W87" s="2652"/>
      <c r="X87" s="2652"/>
      <c r="Y87" s="2652"/>
      <c r="Z87" s="2652"/>
      <c r="AA87" s="2652"/>
      <c r="AB87" s="2652"/>
      <c r="AC87" s="2652"/>
    </row>
    <row r="88" spans="1:29" s="106" customFormat="1" ht="15.75" thickTop="1">
      <c r="A88" s="524"/>
      <c r="B88" s="483" t="str">
        <f>B26</f>
        <v>平面位置/可视性</v>
      </c>
      <c r="C88" s="499"/>
      <c r="D88" s="499"/>
      <c r="E88" s="499"/>
      <c r="F88" s="1923"/>
      <c r="G88" s="499"/>
      <c r="H88" s="499"/>
      <c r="I88" s="499"/>
      <c r="J88" s="499"/>
      <c r="K88" s="499"/>
      <c r="L88" s="499"/>
      <c r="M88" s="526"/>
      <c r="N88" s="2742"/>
      <c r="O88" s="2742"/>
      <c r="P88" s="2734"/>
      <c r="Q88" s="2729"/>
      <c r="R88" s="2652"/>
      <c r="S88" s="2652"/>
      <c r="T88" s="2652"/>
      <c r="U88" s="2652"/>
      <c r="V88" s="2652"/>
      <c r="W88" s="2652"/>
      <c r="X88" s="2652"/>
      <c r="Y88" s="2652"/>
      <c r="Z88" s="2652"/>
      <c r="AA88" s="2652"/>
      <c r="AB88" s="2652"/>
      <c r="AC88" s="2652"/>
    </row>
    <row r="89" spans="1:29" s="106" customFormat="1" ht="15.75" thickBot="1">
      <c r="A89" s="524"/>
      <c r="B89" s="488"/>
      <c r="C89" s="505"/>
      <c r="D89" s="481"/>
      <c r="E89" s="481"/>
      <c r="F89" s="481"/>
      <c r="G89" s="481"/>
      <c r="H89" s="481"/>
      <c r="I89" s="481"/>
      <c r="J89" s="481"/>
      <c r="K89" s="481"/>
      <c r="L89" s="481"/>
      <c r="M89" s="481"/>
      <c r="N89" s="2744"/>
      <c r="O89" s="2744"/>
      <c r="P89" s="2734"/>
      <c r="Q89" s="2729"/>
      <c r="R89" s="2652"/>
      <c r="S89" s="2652"/>
      <c r="T89" s="2652"/>
      <c r="U89" s="2652"/>
      <c r="V89" s="2652"/>
      <c r="W89" s="2652"/>
      <c r="X89" s="2652"/>
      <c r="Y89" s="2652"/>
      <c r="Z89" s="2652"/>
      <c r="AA89" s="2652"/>
      <c r="AB89" s="2652"/>
      <c r="AC89" s="2652"/>
    </row>
    <row r="90" spans="1:29" s="418" customFormat="1" ht="15.75" thickTop="1">
      <c r="A90" s="498"/>
      <c r="B90" s="483" t="str">
        <f>B27</f>
        <v>人流量</v>
      </c>
      <c r="C90" s="499"/>
      <c r="D90" s="499"/>
      <c r="E90" s="499"/>
      <c r="F90" s="499"/>
      <c r="G90" s="499"/>
      <c r="H90" s="500"/>
      <c r="I90" s="500"/>
      <c r="J90" s="500"/>
      <c r="K90" s="500"/>
      <c r="L90" s="501"/>
      <c r="M90" s="502"/>
      <c r="N90" s="2745"/>
      <c r="O90" s="2745"/>
      <c r="P90" s="2735"/>
      <c r="Q90" s="2736"/>
      <c r="R90" s="2737"/>
      <c r="S90" s="2737"/>
      <c r="T90" s="2737"/>
      <c r="U90" s="2737"/>
      <c r="V90" s="2737"/>
      <c r="W90" s="2737"/>
      <c r="X90" s="2737"/>
      <c r="Y90" s="2737"/>
      <c r="Z90" s="2737"/>
      <c r="AA90" s="2737"/>
      <c r="AB90" s="2737"/>
      <c r="AC90" s="2737"/>
    </row>
    <row r="91" spans="1:29" s="418" customFormat="1" ht="15.75" thickBot="1">
      <c r="A91" s="498"/>
      <c r="B91" s="488"/>
      <c r="C91" s="527">
        <v>100</v>
      </c>
      <c r="D91" s="489">
        <f>C91-$K27</f>
        <v>100</v>
      </c>
      <c r="E91" s="489">
        <f t="shared" ref="E91:M91" si="21">D91-$K27</f>
        <v>100</v>
      </c>
      <c r="F91" s="489">
        <f t="shared" si="21"/>
        <v>100</v>
      </c>
      <c r="G91" s="489">
        <f t="shared" si="21"/>
        <v>100</v>
      </c>
      <c r="H91" s="489">
        <f t="shared" si="21"/>
        <v>100</v>
      </c>
      <c r="I91" s="489">
        <f t="shared" si="21"/>
        <v>100</v>
      </c>
      <c r="J91" s="489">
        <f t="shared" si="21"/>
        <v>100</v>
      </c>
      <c r="K91" s="489">
        <f t="shared" si="21"/>
        <v>100</v>
      </c>
      <c r="L91" s="489">
        <f t="shared" si="21"/>
        <v>100</v>
      </c>
      <c r="M91" s="489">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79"/>
      <c r="B92" s="483" t="str">
        <f>B28</f>
        <v>楼层</v>
      </c>
      <c r="C92" s="499"/>
      <c r="D92" s="499"/>
      <c r="E92" s="499"/>
      <c r="F92" s="499"/>
      <c r="G92" s="499"/>
      <c r="H92" s="499"/>
      <c r="I92" s="499"/>
      <c r="J92" s="499"/>
      <c r="K92" s="499"/>
      <c r="L92" s="525"/>
      <c r="M92" s="526"/>
      <c r="N92" s="2743"/>
      <c r="O92" s="2743"/>
      <c r="P92" s="2734"/>
      <c r="Q92" s="2729"/>
      <c r="R92" s="2715"/>
      <c r="S92" s="2715"/>
      <c r="T92" s="2715"/>
      <c r="U92" s="2715"/>
      <c r="V92" s="2715"/>
      <c r="W92" s="2715"/>
      <c r="X92" s="2715"/>
      <c r="Y92" s="2715"/>
      <c r="Z92" s="2715"/>
      <c r="AA92" s="2715"/>
      <c r="AB92" s="2715"/>
      <c r="AC92" s="2715"/>
    </row>
    <row r="93" spans="1:29" ht="15.75" thickBot="1">
      <c r="A93" s="479"/>
      <c r="B93" s="488"/>
      <c r="C93" s="481"/>
      <c r="D93" s="481"/>
      <c r="E93" s="481"/>
      <c r="F93" s="481"/>
      <c r="G93" s="481"/>
      <c r="H93" s="481"/>
      <c r="I93" s="481"/>
      <c r="J93" s="481"/>
      <c r="K93" s="481"/>
      <c r="L93" s="481"/>
      <c r="M93" s="482"/>
      <c r="N93" s="2744"/>
      <c r="O93" s="2744"/>
      <c r="P93" s="2734"/>
      <c r="Q93" s="2729"/>
      <c r="R93" s="2715"/>
      <c r="S93" s="2715"/>
      <c r="T93" s="2715"/>
      <c r="U93" s="2715"/>
      <c r="V93" s="2715"/>
      <c r="W93" s="2715"/>
      <c r="X93" s="2715"/>
      <c r="Y93" s="2715"/>
      <c r="Z93" s="2715"/>
      <c r="AA93" s="2715"/>
      <c r="AB93" s="2715"/>
      <c r="AC93" s="2715"/>
    </row>
    <row r="94" spans="1:29" ht="15.75" thickTop="1">
      <c r="A94" s="479"/>
      <c r="B94" s="483">
        <f>B29</f>
        <v>111</v>
      </c>
      <c r="C94" s="499"/>
      <c r="D94" s="499"/>
      <c r="E94" s="499"/>
      <c r="F94" s="499"/>
      <c r="G94" s="528"/>
      <c r="H94" s="528"/>
      <c r="I94" s="528"/>
      <c r="J94" s="528"/>
      <c r="K94" s="529"/>
      <c r="L94" s="530"/>
      <c r="M94" s="531"/>
      <c r="N94" s="2743"/>
      <c r="O94" s="2743"/>
      <c r="P94" s="2734"/>
      <c r="Q94" s="2729"/>
      <c r="R94" s="2715"/>
      <c r="S94" s="2715"/>
      <c r="T94" s="2715"/>
      <c r="U94" s="2715"/>
      <c r="V94" s="2715"/>
      <c r="W94" s="2715"/>
      <c r="X94" s="2715"/>
      <c r="Y94" s="2715"/>
      <c r="Z94" s="2715"/>
      <c r="AA94" s="2715"/>
      <c r="AB94" s="2715"/>
      <c r="AC94" s="2715"/>
    </row>
    <row r="95" spans="1:29" ht="15.75" thickBot="1">
      <c r="A95" s="479"/>
      <c r="B95" s="488"/>
      <c r="C95" s="505"/>
      <c r="D95" s="481"/>
      <c r="E95" s="481"/>
      <c r="F95" s="481"/>
      <c r="G95" s="481"/>
      <c r="H95" s="481"/>
      <c r="I95" s="481"/>
      <c r="J95" s="481"/>
      <c r="K95" s="481"/>
      <c r="L95" s="481"/>
      <c r="M95" s="482"/>
      <c r="N95" s="2744"/>
      <c r="O95" s="2744"/>
      <c r="P95" s="2734"/>
      <c r="Q95" s="2729"/>
      <c r="R95" s="2715"/>
      <c r="S95" s="2715"/>
      <c r="T95" s="2715"/>
      <c r="U95" s="2715"/>
      <c r="V95" s="2715"/>
      <c r="W95" s="2715"/>
      <c r="X95" s="2715"/>
      <c r="Y95" s="2715"/>
      <c r="Z95" s="2715"/>
      <c r="AA95" s="2715"/>
      <c r="AB95" s="2715"/>
      <c r="AC95" s="2715"/>
    </row>
    <row r="96" spans="1:29" ht="15.75" thickTop="1">
      <c r="A96" s="479"/>
      <c r="B96" s="483">
        <f>B30</f>
        <v>111</v>
      </c>
      <c r="C96" s="499"/>
      <c r="D96" s="499"/>
      <c r="E96" s="499"/>
      <c r="F96" s="499"/>
      <c r="G96" s="528"/>
      <c r="H96" s="528"/>
      <c r="I96" s="528"/>
      <c r="J96" s="528"/>
      <c r="K96" s="529"/>
      <c r="L96" s="530"/>
      <c r="M96" s="531"/>
      <c r="N96" s="2743"/>
      <c r="O96" s="2743"/>
      <c r="P96" s="2734"/>
      <c r="Q96" s="2729"/>
      <c r="R96" s="2715"/>
      <c r="S96" s="2715"/>
      <c r="T96" s="2715"/>
      <c r="U96" s="2715"/>
      <c r="V96" s="2715"/>
      <c r="W96" s="2715"/>
      <c r="X96" s="2715"/>
      <c r="Y96" s="2715"/>
      <c r="Z96" s="2715"/>
      <c r="AA96" s="2715"/>
      <c r="AB96" s="2715"/>
      <c r="AC96" s="2715"/>
    </row>
    <row r="97" spans="1:29" ht="15.75" thickBot="1">
      <c r="A97" s="479"/>
      <c r="B97" s="488"/>
      <c r="C97" s="505"/>
      <c r="D97" s="481"/>
      <c r="E97" s="481"/>
      <c r="F97" s="481"/>
      <c r="G97" s="481"/>
      <c r="H97" s="481"/>
      <c r="I97" s="481"/>
      <c r="J97" s="481"/>
      <c r="K97" s="481"/>
      <c r="L97" s="481"/>
      <c r="M97" s="482"/>
      <c r="N97" s="2744"/>
      <c r="O97" s="2744"/>
      <c r="P97" s="2734"/>
      <c r="Q97" s="2729"/>
      <c r="R97" s="2715"/>
      <c r="S97" s="2715"/>
      <c r="T97" s="2715"/>
      <c r="U97" s="2715"/>
      <c r="V97" s="2715"/>
      <c r="W97" s="2715"/>
      <c r="X97" s="2715"/>
      <c r="Y97" s="2715"/>
      <c r="Z97" s="2715"/>
      <c r="AA97" s="2715"/>
      <c r="AB97" s="2715"/>
      <c r="AC97" s="2715"/>
    </row>
    <row r="98" spans="1:29" ht="15.75" thickTop="1">
      <c r="A98" s="479"/>
      <c r="B98" s="491">
        <f>B31</f>
        <v>111</v>
      </c>
      <c r="C98" s="499"/>
      <c r="D98" s="499"/>
      <c r="E98" s="499"/>
      <c r="F98" s="499"/>
      <c r="G98" s="532"/>
      <c r="H98" s="532"/>
      <c r="I98" s="532"/>
      <c r="J98" s="532"/>
      <c r="K98" s="533"/>
      <c r="L98" s="534"/>
      <c r="M98" s="535"/>
      <c r="N98" s="2743"/>
      <c r="O98" s="2743"/>
      <c r="P98" s="2734"/>
      <c r="Q98" s="2729"/>
      <c r="R98" s="2715"/>
      <c r="S98" s="2715"/>
      <c r="T98" s="2715"/>
      <c r="U98" s="2715"/>
      <c r="V98" s="2715"/>
      <c r="W98" s="2715"/>
      <c r="X98" s="2715"/>
      <c r="Y98" s="2715"/>
      <c r="Z98" s="2715"/>
      <c r="AA98" s="2715"/>
      <c r="AB98" s="2715"/>
      <c r="AC98" s="2715"/>
    </row>
    <row r="99" spans="1:29" ht="15.75" thickBot="1">
      <c r="A99" s="1924"/>
      <c r="B99" s="514"/>
      <c r="C99" s="515"/>
      <c r="D99" s="515"/>
      <c r="E99" s="515"/>
      <c r="F99" s="515"/>
      <c r="G99" s="536"/>
      <c r="H99" s="536"/>
      <c r="I99" s="536"/>
      <c r="J99" s="536"/>
      <c r="K99" s="536"/>
      <c r="L99" s="536"/>
      <c r="M99" s="537"/>
      <c r="N99" s="2744"/>
      <c r="O99" s="2744"/>
      <c r="P99" s="2734"/>
      <c r="Q99" s="2729"/>
      <c r="R99" s="2715"/>
      <c r="S99" s="2715"/>
      <c r="T99" s="2715"/>
      <c r="U99" s="2715"/>
      <c r="V99" s="2715"/>
      <c r="W99" s="2715"/>
      <c r="X99" s="2715"/>
      <c r="Y99" s="2715"/>
      <c r="Z99" s="2715"/>
      <c r="AA99" s="2715"/>
      <c r="AB99" s="2715"/>
      <c r="AC99" s="2715"/>
    </row>
    <row r="100" spans="1:29">
      <c r="A100" s="472" t="s">
        <v>1694</v>
      </c>
      <c r="B100" s="473" t="s">
        <v>1805</v>
      </c>
      <c r="C100" s="475"/>
      <c r="D100" s="475"/>
      <c r="E100" s="475"/>
      <c r="F100" s="475"/>
      <c r="G100" s="475"/>
      <c r="H100" s="475"/>
      <c r="I100" s="475"/>
      <c r="J100" s="475"/>
      <c r="K100" s="476"/>
      <c r="L100" s="477"/>
      <c r="M100" s="478"/>
      <c r="N100" s="2743"/>
      <c r="O100" s="2743"/>
      <c r="P100" s="2734"/>
      <c r="Q100" s="2729"/>
      <c r="R100" s="2715"/>
      <c r="S100" s="2715"/>
      <c r="T100" s="2715"/>
      <c r="U100" s="2715"/>
      <c r="V100" s="2715"/>
      <c r="W100" s="2715"/>
      <c r="X100" s="2715"/>
      <c r="Y100" s="2715"/>
      <c r="Z100" s="2715"/>
      <c r="AA100" s="2715"/>
      <c r="AB100" s="2715"/>
      <c r="AC100" s="2715"/>
    </row>
    <row r="101" spans="1:29" ht="15.75" thickBot="1">
      <c r="A101" s="479"/>
      <c r="B101" s="488"/>
      <c r="C101" s="489">
        <v>100</v>
      </c>
      <c r="D101" s="489">
        <f t="shared" ref="D101:M101" si="22">C101-$K32</f>
        <v>100</v>
      </c>
      <c r="E101" s="489">
        <f t="shared" si="22"/>
        <v>100</v>
      </c>
      <c r="F101" s="489">
        <f t="shared" si="22"/>
        <v>100</v>
      </c>
      <c r="G101" s="489">
        <f t="shared" si="22"/>
        <v>100</v>
      </c>
      <c r="H101" s="489">
        <f t="shared" si="22"/>
        <v>100</v>
      </c>
      <c r="I101" s="489">
        <f t="shared" si="22"/>
        <v>100</v>
      </c>
      <c r="J101" s="489">
        <f t="shared" si="22"/>
        <v>100</v>
      </c>
      <c r="K101" s="489">
        <f t="shared" si="22"/>
        <v>100</v>
      </c>
      <c r="L101" s="489">
        <f t="shared" si="22"/>
        <v>100</v>
      </c>
      <c r="M101" s="490">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79"/>
      <c r="B102" s="483" t="s">
        <v>1737</v>
      </c>
      <c r="C102" s="523" t="str">
        <f>C103&amp;"(含)"&amp;"-"&amp;D103</f>
        <v>(含)-</v>
      </c>
      <c r="D102" s="523" t="str">
        <f t="shared" ref="D102:L102" si="23">D103&amp;"(含)"&amp;"-"&amp;E103</f>
        <v>(含)-</v>
      </c>
      <c r="E102" s="523" t="str">
        <f t="shared" si="23"/>
        <v>(含)-</v>
      </c>
      <c r="F102" s="523" t="str">
        <f t="shared" si="23"/>
        <v>(含)-</v>
      </c>
      <c r="G102" s="523" t="str">
        <f t="shared" si="23"/>
        <v>(含)-</v>
      </c>
      <c r="H102" s="523" t="str">
        <f t="shared" si="23"/>
        <v>(含)-</v>
      </c>
      <c r="I102" s="523" t="str">
        <f t="shared" si="23"/>
        <v>(含)-</v>
      </c>
      <c r="J102" s="523" t="str">
        <f t="shared" si="23"/>
        <v>(含)-</v>
      </c>
      <c r="K102" s="523" t="str">
        <f t="shared" si="23"/>
        <v>(含)-</v>
      </c>
      <c r="L102" s="523" t="str">
        <f t="shared" si="23"/>
        <v>(含)-</v>
      </c>
      <c r="M102" s="566"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18" customFormat="1">
      <c r="A103" s="538"/>
      <c r="B103" s="539"/>
      <c r="C103" s="540"/>
      <c r="D103" s="540"/>
      <c r="E103" s="540"/>
      <c r="F103" s="540"/>
      <c r="G103" s="540"/>
      <c r="H103" s="540"/>
      <c r="I103" s="540"/>
      <c r="J103" s="541"/>
      <c r="K103" s="541"/>
      <c r="L103" s="542"/>
      <c r="M103" s="543"/>
      <c r="N103" s="2745"/>
      <c r="O103" s="2745"/>
      <c r="P103" s="2735"/>
      <c r="Q103" s="2736"/>
      <c r="R103" s="2737"/>
      <c r="S103" s="2737"/>
      <c r="T103" s="2737"/>
      <c r="U103" s="2737"/>
      <c r="V103" s="2737"/>
      <c r="W103" s="2737"/>
      <c r="X103" s="2737"/>
      <c r="Y103" s="2737"/>
      <c r="Z103" s="2737"/>
      <c r="AA103" s="2737"/>
      <c r="AB103" s="2737"/>
      <c r="AC103" s="2737"/>
    </row>
    <row r="104" spans="1:29" s="418" customFormat="1" ht="15.75" thickBot="1">
      <c r="A104" s="498"/>
      <c r="B104" s="488"/>
      <c r="C104" s="505"/>
      <c r="D104" s="481"/>
      <c r="E104" s="481"/>
      <c r="F104" s="481"/>
      <c r="G104" s="481"/>
      <c r="H104" s="481"/>
      <c r="I104" s="481"/>
      <c r="J104" s="481"/>
      <c r="K104" s="481"/>
      <c r="L104" s="481"/>
      <c r="M104" s="482"/>
      <c r="N104" s="2744"/>
      <c r="O104" s="2744"/>
      <c r="P104" s="2735"/>
      <c r="Q104" s="2736"/>
      <c r="R104" s="2737"/>
      <c r="S104" s="2737"/>
      <c r="T104" s="2737"/>
      <c r="U104" s="2737"/>
      <c r="V104" s="2737"/>
      <c r="W104" s="2737"/>
      <c r="X104" s="2737"/>
      <c r="Y104" s="2737"/>
      <c r="Z104" s="2737"/>
      <c r="AA104" s="2737"/>
      <c r="AB104" s="2737"/>
      <c r="AC104" s="2737"/>
    </row>
    <row r="105" spans="1:29" ht="15" thickTop="1">
      <c r="A105" s="544"/>
      <c r="B105" s="483" t="s">
        <v>1738</v>
      </c>
      <c r="C105" s="499"/>
      <c r="D105" s="499"/>
      <c r="E105" s="528"/>
      <c r="F105" s="528"/>
      <c r="G105" s="528"/>
      <c r="H105" s="528"/>
      <c r="I105" s="528"/>
      <c r="J105" s="528"/>
      <c r="K105" s="529"/>
      <c r="L105" s="530"/>
      <c r="M105" s="531"/>
      <c r="N105" s="2743"/>
      <c r="O105" s="2743"/>
      <c r="P105" s="2734"/>
      <c r="Q105" s="2729"/>
      <c r="R105" s="2715"/>
      <c r="S105" s="2715"/>
      <c r="T105" s="2715"/>
      <c r="U105" s="2715"/>
      <c r="V105" s="2715"/>
      <c r="W105" s="2715"/>
      <c r="X105" s="2715"/>
      <c r="Y105" s="2715"/>
      <c r="Z105" s="2715"/>
      <c r="AA105" s="2715"/>
      <c r="AB105" s="2715"/>
      <c r="AC105" s="2715"/>
    </row>
    <row r="106" spans="1:29" ht="15.75" thickBot="1">
      <c r="A106" s="479"/>
      <c r="B106" s="488"/>
      <c r="C106" s="489">
        <v>100</v>
      </c>
      <c r="D106" s="489">
        <f t="shared" ref="D106:M106" si="24">C106-$K34</f>
        <v>100</v>
      </c>
      <c r="E106" s="489">
        <f t="shared" si="24"/>
        <v>100</v>
      </c>
      <c r="F106" s="489">
        <f t="shared" si="24"/>
        <v>100</v>
      </c>
      <c r="G106" s="489">
        <f t="shared" si="24"/>
        <v>100</v>
      </c>
      <c r="H106" s="489">
        <f t="shared" si="24"/>
        <v>100</v>
      </c>
      <c r="I106" s="489">
        <f t="shared" si="24"/>
        <v>100</v>
      </c>
      <c r="J106" s="489">
        <f t="shared" si="24"/>
        <v>100</v>
      </c>
      <c r="K106" s="489">
        <f t="shared" si="24"/>
        <v>100</v>
      </c>
      <c r="L106" s="489">
        <f t="shared" si="24"/>
        <v>100</v>
      </c>
      <c r="M106" s="490">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4"/>
      <c r="B107" s="483" t="s">
        <v>1740</v>
      </c>
      <c r="C107" s="499"/>
      <c r="D107" s="499"/>
      <c r="E107" s="499"/>
      <c r="F107" s="528"/>
      <c r="G107" s="528"/>
      <c r="H107" s="528"/>
      <c r="I107" s="528"/>
      <c r="J107" s="528"/>
      <c r="K107" s="529"/>
      <c r="L107" s="530"/>
      <c r="M107" s="531"/>
      <c r="N107" s="2743"/>
      <c r="O107" s="2743"/>
      <c r="P107" s="2734"/>
      <c r="Q107" s="2729"/>
      <c r="R107" s="2715"/>
      <c r="S107" s="2715"/>
      <c r="T107" s="2715"/>
      <c r="U107" s="2715"/>
      <c r="V107" s="2715"/>
      <c r="W107" s="2715"/>
      <c r="X107" s="2715"/>
      <c r="Y107" s="2715"/>
      <c r="Z107" s="2715"/>
      <c r="AA107" s="2715"/>
      <c r="AB107" s="2715"/>
      <c r="AC107" s="2715"/>
    </row>
    <row r="108" spans="1:29" ht="15.75" thickBot="1">
      <c r="A108" s="479"/>
      <c r="B108" s="488"/>
      <c r="C108" s="489">
        <v>100</v>
      </c>
      <c r="D108" s="489">
        <f t="shared" ref="D108:M108" si="25">C108-$K35</f>
        <v>100</v>
      </c>
      <c r="E108" s="489">
        <f t="shared" si="25"/>
        <v>100</v>
      </c>
      <c r="F108" s="489">
        <f t="shared" si="25"/>
        <v>100</v>
      </c>
      <c r="G108" s="489">
        <f t="shared" si="25"/>
        <v>100</v>
      </c>
      <c r="H108" s="489">
        <f t="shared" si="25"/>
        <v>100</v>
      </c>
      <c r="I108" s="489">
        <f t="shared" si="25"/>
        <v>100</v>
      </c>
      <c r="J108" s="489">
        <f t="shared" si="25"/>
        <v>100</v>
      </c>
      <c r="K108" s="489">
        <f t="shared" si="25"/>
        <v>100</v>
      </c>
      <c r="L108" s="489">
        <f t="shared" si="25"/>
        <v>100</v>
      </c>
      <c r="M108" s="490">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4"/>
      <c r="B109" s="483" t="s">
        <v>1190</v>
      </c>
      <c r="C109" s="523" t="str">
        <f>C110&amp;"(含)"&amp;"-"&amp;D110</f>
        <v>0.5(含)-0.6</v>
      </c>
      <c r="D109" s="523" t="str">
        <f>D110&amp;"(含)"&amp;"-"&amp;E110</f>
        <v>0.6(含)-0.7</v>
      </c>
      <c r="E109" s="523" t="str">
        <f>E110&amp;"(含)"&amp;"-"&amp;F110</f>
        <v>0.7(含)-0.8</v>
      </c>
      <c r="F109" s="523" t="str">
        <f>F110&amp;"(含)"&amp;"-"&amp;G110</f>
        <v>0.8(含)-0.9</v>
      </c>
      <c r="G109" s="523" t="str">
        <f>G110&amp;"(含)"&amp;"-"&amp;ROUND(H110,0)&amp;"(含)"</f>
        <v>0.9(含)-1(含)</v>
      </c>
      <c r="H109" s="523"/>
      <c r="I109" s="528"/>
      <c r="J109" s="528"/>
      <c r="K109" s="529"/>
      <c r="L109" s="530"/>
      <c r="M109" s="531"/>
      <c r="N109" s="2743"/>
      <c r="O109" s="2743"/>
      <c r="P109" s="2734"/>
      <c r="Q109" s="2729"/>
      <c r="R109" s="2715"/>
      <c r="S109" s="2715"/>
      <c r="T109" s="2715"/>
      <c r="U109" s="2715"/>
      <c r="V109" s="2715"/>
      <c r="W109" s="2715"/>
      <c r="X109" s="2715"/>
      <c r="Y109" s="2715"/>
      <c r="Z109" s="2715"/>
      <c r="AA109" s="2715"/>
      <c r="AB109" s="2715"/>
      <c r="AC109" s="2715"/>
    </row>
    <row r="110" spans="1:29">
      <c r="A110" s="544"/>
      <c r="B110" s="491"/>
      <c r="C110" s="548">
        <v>0.5</v>
      </c>
      <c r="D110" s="548">
        <v>0.6</v>
      </c>
      <c r="E110" s="548">
        <v>0.7</v>
      </c>
      <c r="F110" s="548">
        <v>0.8</v>
      </c>
      <c r="G110" s="548">
        <v>0.9</v>
      </c>
      <c r="H110" s="548">
        <v>1.0001</v>
      </c>
      <c r="I110" s="567"/>
      <c r="J110" s="567"/>
      <c r="K110" s="568"/>
      <c r="L110" s="569"/>
      <c r="M110" s="570"/>
      <c r="N110" s="2743"/>
      <c r="O110" s="2743"/>
      <c r="P110" s="2734"/>
      <c r="Q110" s="2729"/>
      <c r="R110" s="2715"/>
      <c r="S110" s="2715"/>
      <c r="T110" s="2715"/>
      <c r="U110" s="2715"/>
      <c r="V110" s="2715"/>
      <c r="W110" s="2715"/>
      <c r="X110" s="2715"/>
      <c r="Y110" s="2715"/>
      <c r="Z110" s="2715"/>
      <c r="AA110" s="2715"/>
      <c r="AB110" s="2715"/>
      <c r="AC110" s="2715"/>
    </row>
    <row r="111" spans="1:29" ht="15.75" thickBot="1">
      <c r="A111" s="479"/>
      <c r="B111" s="488"/>
      <c r="C111" s="527">
        <v>100</v>
      </c>
      <c r="D111" s="489">
        <f>C111+$K36</f>
        <v>100</v>
      </c>
      <c r="E111" s="489">
        <f t="shared" ref="E111:M111" si="26">D111+$K36</f>
        <v>100</v>
      </c>
      <c r="F111" s="489">
        <f t="shared" si="26"/>
        <v>100</v>
      </c>
      <c r="G111" s="489">
        <f t="shared" si="26"/>
        <v>100</v>
      </c>
      <c r="H111" s="489">
        <f t="shared" si="26"/>
        <v>100</v>
      </c>
      <c r="I111" s="489">
        <f t="shared" si="26"/>
        <v>100</v>
      </c>
      <c r="J111" s="489">
        <f t="shared" si="26"/>
        <v>100</v>
      </c>
      <c r="K111" s="489">
        <f t="shared" si="26"/>
        <v>100</v>
      </c>
      <c r="L111" s="489">
        <f t="shared" si="26"/>
        <v>100</v>
      </c>
      <c r="M111" s="489">
        <f t="shared" si="26"/>
        <v>100</v>
      </c>
      <c r="N111" s="2744"/>
      <c r="O111" s="2744"/>
      <c r="P111" s="2734"/>
      <c r="Q111" s="2729"/>
      <c r="R111" s="2715"/>
      <c r="S111" s="2715"/>
      <c r="T111" s="2715"/>
      <c r="U111" s="2715"/>
      <c r="V111" s="2715"/>
      <c r="W111" s="2715"/>
      <c r="X111" s="2715"/>
      <c r="Y111" s="2715"/>
      <c r="Z111" s="2715"/>
      <c r="AA111" s="2715"/>
      <c r="AB111" s="2715"/>
      <c r="AC111" s="2715"/>
    </row>
    <row r="112" spans="1:29" s="418" customFormat="1" ht="15" thickTop="1">
      <c r="A112" s="538"/>
      <c r="B112" s="483" t="s">
        <v>1742</v>
      </c>
      <c r="C112" s="499"/>
      <c r="D112" s="499"/>
      <c r="E112" s="499"/>
      <c r="F112" s="499"/>
      <c r="G112" s="499"/>
      <c r="H112" s="528"/>
      <c r="I112" s="528"/>
      <c r="J112" s="528"/>
      <c r="K112" s="529"/>
      <c r="L112" s="530"/>
      <c r="M112" s="531"/>
      <c r="N112" s="2745"/>
      <c r="O112" s="2745"/>
      <c r="P112" s="2735"/>
      <c r="Q112" s="2736"/>
      <c r="R112" s="2737"/>
      <c r="S112" s="2737"/>
      <c r="T112" s="2737"/>
      <c r="U112" s="2737"/>
      <c r="V112" s="2737"/>
      <c r="W112" s="2737"/>
      <c r="X112" s="2737"/>
      <c r="Y112" s="2737"/>
      <c r="Z112" s="2737"/>
      <c r="AA112" s="2737"/>
      <c r="AB112" s="2737"/>
      <c r="AC112" s="2737"/>
    </row>
    <row r="113" spans="1:29" s="418" customFormat="1" ht="15.75" thickBot="1">
      <c r="A113" s="498"/>
      <c r="B113" s="488"/>
      <c r="C113" s="489">
        <v>100</v>
      </c>
      <c r="D113" s="489">
        <f>C113-$K37</f>
        <v>100</v>
      </c>
      <c r="E113" s="489">
        <f t="shared" ref="E113:M113" si="27">D113-$K37</f>
        <v>100</v>
      </c>
      <c r="F113" s="489">
        <f t="shared" si="27"/>
        <v>100</v>
      </c>
      <c r="G113" s="489">
        <f t="shared" si="27"/>
        <v>100</v>
      </c>
      <c r="H113" s="489">
        <f t="shared" si="27"/>
        <v>100</v>
      </c>
      <c r="I113" s="489">
        <f t="shared" si="27"/>
        <v>100</v>
      </c>
      <c r="J113" s="489">
        <f t="shared" si="27"/>
        <v>100</v>
      </c>
      <c r="K113" s="489">
        <f t="shared" si="27"/>
        <v>100</v>
      </c>
      <c r="L113" s="489">
        <f t="shared" si="27"/>
        <v>100</v>
      </c>
      <c r="M113" s="489">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4"/>
      <c r="B114" s="483" t="s">
        <v>1806</v>
      </c>
      <c r="C114" s="499"/>
      <c r="D114" s="499"/>
      <c r="E114" s="528"/>
      <c r="F114" s="528"/>
      <c r="G114" s="528"/>
      <c r="H114" s="528"/>
      <c r="I114" s="528"/>
      <c r="J114" s="528"/>
      <c r="K114" s="529"/>
      <c r="L114" s="530"/>
      <c r="M114" s="531"/>
      <c r="N114" s="2743"/>
      <c r="O114" s="2743"/>
      <c r="P114" s="2734"/>
      <c r="Q114" s="2729"/>
      <c r="R114" s="2715"/>
      <c r="S114" s="2715"/>
      <c r="T114" s="2715"/>
      <c r="U114" s="2715"/>
      <c r="V114" s="2715"/>
      <c r="W114" s="2715"/>
      <c r="X114" s="2715"/>
      <c r="Y114" s="2715"/>
      <c r="Z114" s="2715"/>
      <c r="AA114" s="2715"/>
      <c r="AB114" s="2715"/>
      <c r="AC114" s="2715"/>
    </row>
    <row r="115" spans="1:29" ht="15.75" thickBot="1">
      <c r="A115" s="479"/>
      <c r="B115" s="488"/>
      <c r="C115" s="489">
        <v>100</v>
      </c>
      <c r="D115" s="489">
        <f t="shared" ref="D115:M115" si="28">C115-$K38</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4"/>
      <c r="B116" s="483" t="s">
        <v>1807</v>
      </c>
      <c r="C116" s="499"/>
      <c r="D116" s="499"/>
      <c r="E116" s="499"/>
      <c r="F116" s="499"/>
      <c r="G116" s="499"/>
      <c r="H116" s="528"/>
      <c r="I116" s="528"/>
      <c r="J116" s="528"/>
      <c r="K116" s="529"/>
      <c r="L116" s="530"/>
      <c r="M116" s="531"/>
      <c r="N116" s="2743"/>
      <c r="O116" s="2743"/>
      <c r="P116" s="2734"/>
      <c r="Q116" s="2729"/>
      <c r="R116" s="2715"/>
      <c r="S116" s="2715"/>
      <c r="T116" s="2715"/>
      <c r="U116" s="2715"/>
      <c r="V116" s="2715"/>
      <c r="W116" s="2715"/>
      <c r="X116" s="2715"/>
      <c r="Y116" s="2715"/>
      <c r="Z116" s="2715"/>
      <c r="AA116" s="2715"/>
      <c r="AB116" s="2715"/>
      <c r="AC116" s="2715"/>
    </row>
    <row r="117" spans="1:29" ht="15.75" thickBot="1">
      <c r="A117" s="479"/>
      <c r="B117" s="488"/>
      <c r="C117" s="489">
        <v>100</v>
      </c>
      <c r="D117" s="489">
        <f>C117-$K39</f>
        <v>100</v>
      </c>
      <c r="E117" s="489">
        <f>D117-$K39</f>
        <v>100</v>
      </c>
      <c r="F117" s="489">
        <f>E117-$K39</f>
        <v>100</v>
      </c>
      <c r="G117" s="489">
        <f>F117-$K39</f>
        <v>100</v>
      </c>
      <c r="H117" s="489"/>
      <c r="I117" s="489"/>
      <c r="J117" s="489"/>
      <c r="K117" s="489"/>
      <c r="L117" s="489"/>
      <c r="M117" s="490"/>
      <c r="N117" s="2744"/>
      <c r="O117" s="2744"/>
      <c r="P117" s="2734"/>
      <c r="Q117" s="2729"/>
      <c r="R117" s="2715"/>
      <c r="S117" s="2715"/>
      <c r="T117" s="2715"/>
      <c r="U117" s="2715"/>
      <c r="V117" s="2715"/>
      <c r="W117" s="2715"/>
      <c r="X117" s="2715"/>
      <c r="Y117" s="2715"/>
      <c r="Z117" s="2715"/>
      <c r="AA117" s="2715"/>
      <c r="AB117" s="2715"/>
      <c r="AC117" s="2715"/>
    </row>
    <row r="118" spans="1:29" ht="15" thickTop="1">
      <c r="A118" s="544"/>
      <c r="B118" s="483" t="s">
        <v>1808</v>
      </c>
      <c r="C118" s="571"/>
      <c r="D118" s="571"/>
      <c r="E118" s="571"/>
      <c r="F118" s="571"/>
      <c r="G118" s="571"/>
      <c r="H118" s="500"/>
      <c r="I118" s="500"/>
      <c r="J118" s="500"/>
      <c r="K118" s="500"/>
      <c r="L118" s="501"/>
      <c r="M118" s="502"/>
      <c r="N118" s="2743"/>
      <c r="O118" s="2743"/>
      <c r="P118" s="2734"/>
      <c r="Q118" s="2729"/>
      <c r="R118" s="2715"/>
      <c r="S118" s="2715"/>
      <c r="T118" s="2715"/>
      <c r="U118" s="2715"/>
      <c r="V118" s="2715"/>
      <c r="W118" s="2715"/>
      <c r="X118" s="2715"/>
      <c r="Y118" s="2715"/>
      <c r="Z118" s="2715"/>
      <c r="AA118" s="2715"/>
      <c r="AB118" s="2715"/>
      <c r="AC118" s="2715"/>
    </row>
    <row r="119" spans="1:29" ht="15.75" thickBot="1">
      <c r="A119" s="479"/>
      <c r="B119" s="488"/>
      <c r="C119" s="505"/>
      <c r="D119" s="481"/>
      <c r="E119" s="481"/>
      <c r="F119" s="481"/>
      <c r="G119" s="481"/>
      <c r="H119" s="481"/>
      <c r="I119" s="481"/>
      <c r="J119" s="481"/>
      <c r="K119" s="481"/>
      <c r="L119" s="481"/>
      <c r="M119" s="482"/>
      <c r="N119" s="2744"/>
      <c r="O119" s="2744"/>
      <c r="P119" s="2734"/>
      <c r="Q119" s="2729"/>
      <c r="R119" s="2715"/>
      <c r="S119" s="2715"/>
      <c r="T119" s="2715"/>
      <c r="U119" s="2715"/>
      <c r="V119" s="2715"/>
      <c r="W119" s="2715"/>
      <c r="X119" s="2715"/>
      <c r="Y119" s="2715"/>
      <c r="Z119" s="2715"/>
      <c r="AA119" s="2715"/>
      <c r="AB119" s="2715"/>
      <c r="AC119" s="2715"/>
    </row>
    <row r="120" spans="1:29" s="418" customFormat="1" ht="15" thickTop="1">
      <c r="A120" s="538"/>
      <c r="B120" s="483" t="s">
        <v>1809</v>
      </c>
      <c r="C120" s="528"/>
      <c r="D120" s="528"/>
      <c r="E120" s="528"/>
      <c r="F120" s="528"/>
      <c r="G120" s="500"/>
      <c r="H120" s="500"/>
      <c r="I120" s="500"/>
      <c r="J120" s="500"/>
      <c r="K120" s="500"/>
      <c r="L120" s="501"/>
      <c r="M120" s="502"/>
      <c r="N120" s="2745"/>
      <c r="O120" s="2745"/>
      <c r="P120" s="2735"/>
      <c r="Q120" s="2736"/>
      <c r="R120" s="2737"/>
      <c r="S120" s="2737"/>
      <c r="T120" s="2737"/>
      <c r="U120" s="2737"/>
      <c r="V120" s="2737"/>
      <c r="W120" s="2737"/>
      <c r="X120" s="2737"/>
      <c r="Y120" s="2737"/>
      <c r="Z120" s="2737"/>
      <c r="AA120" s="2737"/>
      <c r="AB120" s="2737"/>
      <c r="AC120" s="2737"/>
    </row>
    <row r="121" spans="1:29" s="418" customFormat="1" ht="15.75" thickBot="1">
      <c r="A121" s="498"/>
      <c r="B121" s="480"/>
      <c r="C121" s="527">
        <v>100</v>
      </c>
      <c r="D121" s="489">
        <f>C121-$K41</f>
        <v>100</v>
      </c>
      <c r="E121" s="489">
        <f t="shared" ref="E121:M121" si="29">D121-$K41</f>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4"/>
      <c r="B122" s="483" t="s">
        <v>1744</v>
      </c>
      <c r="C122" s="499"/>
      <c r="D122" s="499"/>
      <c r="E122" s="499"/>
      <c r="F122" s="528"/>
      <c r="G122" s="528"/>
      <c r="H122" s="528"/>
      <c r="I122" s="528"/>
      <c r="J122" s="528"/>
      <c r="K122" s="529"/>
      <c r="L122" s="530"/>
      <c r="M122" s="531"/>
      <c r="N122" s="2743"/>
      <c r="O122" s="2743"/>
      <c r="P122" s="2734"/>
      <c r="Q122" s="2729"/>
      <c r="R122" s="2715"/>
      <c r="S122" s="2715"/>
      <c r="T122" s="2715"/>
      <c r="U122" s="2715"/>
      <c r="V122" s="2715"/>
      <c r="W122" s="2715"/>
      <c r="X122" s="2715"/>
      <c r="Y122" s="2715"/>
      <c r="Z122" s="2715"/>
      <c r="AA122" s="2715"/>
      <c r="AB122" s="2715"/>
      <c r="AC122" s="2715"/>
    </row>
    <row r="123" spans="1:29" ht="15.75" thickBot="1">
      <c r="A123" s="479"/>
      <c r="B123" s="488"/>
      <c r="C123" s="489">
        <v>100</v>
      </c>
      <c r="D123" s="489">
        <f t="shared" ref="D123:M123" si="30">C123-$K42</f>
        <v>100</v>
      </c>
      <c r="E123" s="489">
        <f t="shared" si="30"/>
        <v>100</v>
      </c>
      <c r="F123" s="489">
        <f t="shared" si="30"/>
        <v>100</v>
      </c>
      <c r="G123" s="489">
        <f t="shared" si="30"/>
        <v>100</v>
      </c>
      <c r="H123" s="489">
        <f t="shared" si="30"/>
        <v>100</v>
      </c>
      <c r="I123" s="489">
        <f t="shared" si="30"/>
        <v>100</v>
      </c>
      <c r="J123" s="489">
        <f t="shared" si="30"/>
        <v>100</v>
      </c>
      <c r="K123" s="489">
        <f t="shared" si="30"/>
        <v>100</v>
      </c>
      <c r="L123" s="489">
        <f t="shared" si="30"/>
        <v>100</v>
      </c>
      <c r="M123" s="490">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4"/>
      <c r="B124" s="483" t="s">
        <v>1745</v>
      </c>
      <c r="C124" s="523" t="s">
        <v>1721</v>
      </c>
      <c r="D124" s="523" t="s">
        <v>1722</v>
      </c>
      <c r="E124" s="523" t="s">
        <v>1723</v>
      </c>
      <c r="F124" s="523" t="s">
        <v>1724</v>
      </c>
      <c r="G124" s="523" t="s">
        <v>1725</v>
      </c>
      <c r="H124" s="484"/>
      <c r="I124" s="484"/>
      <c r="J124" s="484"/>
      <c r="K124" s="485"/>
      <c r="L124" s="486"/>
      <c r="M124" s="487"/>
      <c r="N124" s="2743"/>
      <c r="O124" s="2743"/>
      <c r="P124" s="2735"/>
      <c r="Q124" s="2729"/>
      <c r="R124" s="2715"/>
      <c r="S124" s="2715"/>
      <c r="T124" s="2715"/>
      <c r="U124" s="2715"/>
      <c r="V124" s="2715"/>
      <c r="W124" s="2715"/>
      <c r="X124" s="2715"/>
      <c r="Y124" s="2715"/>
      <c r="Z124" s="2715"/>
      <c r="AA124" s="2715"/>
      <c r="AB124" s="2715"/>
      <c r="AC124" s="2715"/>
    </row>
    <row r="125" spans="1:29" ht="15.75" thickBot="1">
      <c r="A125" s="479"/>
      <c r="B125" s="488"/>
      <c r="C125" s="489">
        <v>100</v>
      </c>
      <c r="D125" s="489">
        <f>C125-$K43</f>
        <v>100</v>
      </c>
      <c r="E125" s="489">
        <f>D125-$K43</f>
        <v>100</v>
      </c>
      <c r="F125" s="489">
        <f>E125-$K43</f>
        <v>100</v>
      </c>
      <c r="G125" s="489">
        <f>F125-$K43</f>
        <v>100</v>
      </c>
      <c r="H125" s="489"/>
      <c r="I125" s="489"/>
      <c r="J125" s="489"/>
      <c r="K125" s="489"/>
      <c r="L125" s="489"/>
      <c r="M125" s="490"/>
      <c r="N125" s="2744"/>
      <c r="O125" s="2744"/>
      <c r="P125" s="2734"/>
      <c r="Q125" s="2729"/>
      <c r="R125" s="2715"/>
      <c r="S125" s="2715"/>
      <c r="T125" s="2715"/>
      <c r="U125" s="2715"/>
      <c r="V125" s="2715"/>
      <c r="W125" s="2715"/>
      <c r="X125" s="2715"/>
      <c r="Y125" s="2715"/>
      <c r="Z125" s="2715"/>
      <c r="AA125" s="2715"/>
      <c r="AB125" s="2715"/>
      <c r="AC125" s="2715"/>
    </row>
    <row r="126" spans="1:29" s="418" customFormat="1" ht="15" thickTop="1">
      <c r="A126" s="538"/>
      <c r="B126" s="483">
        <f>B44</f>
        <v>111</v>
      </c>
      <c r="C126" s="499"/>
      <c r="D126" s="499"/>
      <c r="E126" s="499"/>
      <c r="F126" s="499"/>
      <c r="G126" s="499"/>
      <c r="H126" s="500"/>
      <c r="I126" s="500"/>
      <c r="J126" s="500"/>
      <c r="K126" s="500"/>
      <c r="L126" s="501"/>
      <c r="M126" s="502"/>
      <c r="N126" s="2745"/>
      <c r="O126" s="2745"/>
      <c r="P126" s="2735"/>
      <c r="Q126" s="2736"/>
      <c r="R126" s="2737"/>
      <c r="S126" s="2737"/>
      <c r="T126" s="2737"/>
      <c r="U126" s="2737"/>
      <c r="V126" s="2737"/>
      <c r="W126" s="2737"/>
      <c r="X126" s="2737"/>
      <c r="Y126" s="2737"/>
      <c r="Z126" s="2737"/>
      <c r="AA126" s="2737"/>
      <c r="AB126" s="2737"/>
      <c r="AC126" s="2737"/>
    </row>
    <row r="127" spans="1:29" s="418" customFormat="1" ht="15.75" thickBot="1">
      <c r="A127" s="498"/>
      <c r="B127" s="488"/>
      <c r="C127" s="505"/>
      <c r="D127" s="481"/>
      <c r="E127" s="481"/>
      <c r="F127" s="481"/>
      <c r="G127" s="505"/>
      <c r="H127" s="507"/>
      <c r="I127" s="507"/>
      <c r="J127" s="507"/>
      <c r="K127" s="507"/>
      <c r="L127" s="507"/>
      <c r="M127" s="508"/>
      <c r="N127" s="2745"/>
      <c r="O127" s="2745"/>
      <c r="P127" s="2735"/>
      <c r="Q127" s="2736"/>
      <c r="R127" s="2737"/>
      <c r="S127" s="2737"/>
      <c r="T127" s="2737"/>
      <c r="U127" s="2737"/>
      <c r="V127" s="2737"/>
      <c r="W127" s="2737"/>
      <c r="X127" s="2737"/>
      <c r="Y127" s="2737"/>
      <c r="Z127" s="2737"/>
      <c r="AA127" s="2737"/>
      <c r="AB127" s="2737"/>
      <c r="AC127" s="2737"/>
    </row>
    <row r="128" spans="1:29" ht="15" thickTop="1">
      <c r="A128" s="544"/>
      <c r="B128" s="483">
        <f>B45</f>
        <v>111</v>
      </c>
      <c r="C128" s="499"/>
      <c r="D128" s="499"/>
      <c r="E128" s="499"/>
      <c r="F128" s="499"/>
      <c r="G128" s="528"/>
      <c r="H128" s="528"/>
      <c r="I128" s="528"/>
      <c r="J128" s="528"/>
      <c r="K128" s="529"/>
      <c r="L128" s="530"/>
      <c r="M128" s="531"/>
      <c r="N128" s="2743"/>
      <c r="O128" s="2743"/>
      <c r="P128" s="2734"/>
      <c r="Q128" s="2729"/>
      <c r="R128" s="2715"/>
      <c r="S128" s="2715"/>
      <c r="T128" s="2715"/>
      <c r="U128" s="2715"/>
      <c r="V128" s="2715"/>
      <c r="W128" s="2715"/>
      <c r="X128" s="2715"/>
      <c r="Y128" s="2715"/>
      <c r="Z128" s="2715"/>
      <c r="AA128" s="2715"/>
      <c r="AB128" s="2715"/>
      <c r="AC128" s="2715"/>
    </row>
    <row r="129" spans="1:29" ht="15.75" thickBot="1">
      <c r="A129" s="479"/>
      <c r="B129" s="488"/>
      <c r="C129" s="505"/>
      <c r="D129" s="481"/>
      <c r="E129" s="481"/>
      <c r="F129" s="481"/>
      <c r="G129" s="481"/>
      <c r="H129" s="481"/>
      <c r="I129" s="481"/>
      <c r="J129" s="481"/>
      <c r="K129" s="481"/>
      <c r="L129" s="481"/>
      <c r="M129" s="482"/>
      <c r="N129" s="2744"/>
      <c r="O129" s="2744"/>
      <c r="P129" s="2734"/>
      <c r="Q129" s="2729"/>
      <c r="R129" s="2715"/>
      <c r="S129" s="2715"/>
      <c r="T129" s="2715"/>
      <c r="U129" s="2715"/>
      <c r="V129" s="2715"/>
      <c r="W129" s="2715"/>
      <c r="X129" s="2715"/>
      <c r="Y129" s="2715"/>
      <c r="Z129" s="2715"/>
      <c r="AA129" s="2715"/>
      <c r="AB129" s="2715"/>
      <c r="AC129" s="2715"/>
    </row>
    <row r="130" spans="1:29" ht="15" thickTop="1">
      <c r="A130" s="544"/>
      <c r="B130" s="491">
        <f>B46</f>
        <v>111</v>
      </c>
      <c r="C130" s="499"/>
      <c r="D130" s="499"/>
      <c r="E130" s="499"/>
      <c r="F130" s="499"/>
      <c r="G130" s="532"/>
      <c r="H130" s="532"/>
      <c r="I130" s="532"/>
      <c r="J130" s="532"/>
      <c r="K130" s="468"/>
      <c r="L130" s="469"/>
      <c r="M130" s="535"/>
      <c r="N130" s="2743"/>
      <c r="O130" s="2743"/>
      <c r="P130" s="2734"/>
      <c r="Q130" s="2729"/>
      <c r="R130" s="2715"/>
      <c r="S130" s="2715"/>
      <c r="T130" s="2715"/>
      <c r="U130" s="2715"/>
      <c r="V130" s="2715"/>
      <c r="W130" s="2715"/>
      <c r="X130" s="2715"/>
      <c r="Y130" s="2715"/>
      <c r="Z130" s="2715"/>
      <c r="AA130" s="2715"/>
      <c r="AB130" s="2715"/>
      <c r="AC130" s="2715"/>
    </row>
    <row r="131" spans="1:29" ht="15.75" thickBot="1">
      <c r="A131" s="1924"/>
      <c r="B131" s="514"/>
      <c r="C131" s="515"/>
      <c r="D131" s="515"/>
      <c r="E131" s="515"/>
      <c r="F131" s="515"/>
      <c r="G131" s="536"/>
      <c r="H131" s="536"/>
      <c r="I131" s="536"/>
      <c r="J131" s="536"/>
      <c r="K131" s="536"/>
      <c r="L131" s="536"/>
      <c r="M131" s="537"/>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90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1660</v>
      </c>
      <c r="B1" s="1953" t="s">
        <v>1810</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4"/>
      <c r="M2" s="2725"/>
      <c r="N2" s="2725"/>
      <c r="O2" s="2725"/>
      <c r="P2" s="695"/>
      <c r="Q2" s="695"/>
      <c r="R2" s="695"/>
      <c r="S2" s="695"/>
      <c r="T2" s="695"/>
      <c r="U2" s="695"/>
      <c r="V2" s="695"/>
      <c r="W2" s="695"/>
      <c r="X2" s="695"/>
      <c r="Y2" s="695"/>
      <c r="Z2" s="695"/>
      <c r="AA2" s="695"/>
      <c r="AB2" s="695"/>
      <c r="AC2" s="696"/>
    </row>
    <row r="3" spans="1:29" s="348" customFormat="1" ht="28.5" customHeight="1" thickBot="1">
      <c r="A3" s="199" t="s">
        <v>1464</v>
      </c>
      <c r="B3" s="554">
        <f>IF(C2="——",C50,ROUND(B2*10000/D3,0))</f>
        <v>0</v>
      </c>
      <c r="C3" s="350" t="s">
        <v>1768</v>
      </c>
      <c r="D3" s="349">
        <f>IF(D1="",'数据-汇总表'!E3,SUMIF('数据-汇总表'!$C19:$C33,D1,'数据-汇总表'!$E19:$E33))</f>
        <v>103096.20000000001</v>
      </c>
      <c r="E3" s="1950"/>
      <c r="F3" s="905"/>
      <c r="G3" s="904"/>
      <c r="H3" s="904"/>
      <c r="I3" s="904"/>
      <c r="J3" s="904"/>
      <c r="K3" s="906"/>
      <c r="L3" s="2724"/>
      <c r="M3" s="2725"/>
      <c r="N3" s="2725"/>
      <c r="O3" s="2725"/>
      <c r="P3" s="695"/>
      <c r="Q3" s="695"/>
      <c r="R3" s="695"/>
      <c r="S3" s="695"/>
      <c r="T3" s="695"/>
      <c r="U3" s="695"/>
      <c r="V3" s="695"/>
      <c r="W3" s="695"/>
      <c r="X3" s="695"/>
      <c r="Y3" s="695"/>
      <c r="Z3" s="695"/>
      <c r="AA3" s="695"/>
      <c r="AB3" s="695"/>
      <c r="AC3" s="696"/>
    </row>
    <row r="4" spans="1:29" ht="15">
      <c r="A4" s="351" t="s">
        <v>1769</v>
      </c>
      <c r="B4" s="352"/>
      <c r="C4" s="3730" t="s">
        <v>1770</v>
      </c>
      <c r="D4" s="3742"/>
      <c r="E4" s="3743" t="s">
        <v>1771</v>
      </c>
      <c r="F4" s="3744"/>
      <c r="G4" s="3730" t="s">
        <v>1772</v>
      </c>
      <c r="H4" s="3742"/>
      <c r="I4" s="3730" t="s">
        <v>1773</v>
      </c>
      <c r="J4" s="3742"/>
      <c r="K4" s="555" t="s">
        <v>1774</v>
      </c>
      <c r="L4" s="2705"/>
      <c r="M4" s="2706"/>
      <c r="N4" s="2706"/>
      <c r="O4" s="2706"/>
      <c r="P4" s="3811" t="s">
        <v>1775</v>
      </c>
      <c r="Q4" s="3812"/>
      <c r="R4" s="3815" t="s">
        <v>1771</v>
      </c>
      <c r="S4" s="3816"/>
      <c r="T4" s="3815" t="s">
        <v>1772</v>
      </c>
      <c r="U4" s="3816"/>
      <c r="V4" s="3817" t="s">
        <v>1773</v>
      </c>
      <c r="W4" s="3817"/>
      <c r="X4" s="1954"/>
      <c r="Y4" s="3815" t="s">
        <v>1775</v>
      </c>
      <c r="Z4" s="3816"/>
      <c r="AA4" s="3819" t="s">
        <v>1771</v>
      </c>
      <c r="AB4" s="3819" t="s">
        <v>1772</v>
      </c>
      <c r="AC4" s="3808" t="s">
        <v>1773</v>
      </c>
    </row>
    <row r="5" spans="1:29" ht="15">
      <c r="A5" s="354"/>
      <c r="B5" s="355"/>
      <c r="C5" s="3759" t="s">
        <v>1673</v>
      </c>
      <c r="D5" s="3760"/>
      <c r="E5" s="3766" t="s">
        <v>1674</v>
      </c>
      <c r="F5" s="3767"/>
      <c r="G5" s="3759" t="s">
        <v>1675</v>
      </c>
      <c r="H5" s="3760"/>
      <c r="I5" s="3759" t="s">
        <v>1676</v>
      </c>
      <c r="J5" s="3760"/>
      <c r="K5" s="555"/>
      <c r="L5" s="2705"/>
      <c r="M5" s="2706"/>
      <c r="N5" s="2706"/>
      <c r="O5" s="2706"/>
      <c r="P5" s="3813"/>
      <c r="Q5" s="3748"/>
      <c r="R5" s="3753"/>
      <c r="S5" s="3754"/>
      <c r="T5" s="3753"/>
      <c r="U5" s="3754"/>
      <c r="V5" s="3738"/>
      <c r="W5" s="3738"/>
      <c r="X5" s="1351"/>
      <c r="Y5" s="3753"/>
      <c r="Z5" s="3754"/>
      <c r="AA5" s="3740"/>
      <c r="AB5" s="3740"/>
      <c r="AC5" s="3809"/>
    </row>
    <row r="6" spans="1:29" ht="15.75" thickBot="1">
      <c r="A6" s="356"/>
      <c r="B6" s="357"/>
      <c r="C6" s="3757" t="s">
        <v>1677</v>
      </c>
      <c r="D6" s="3758"/>
      <c r="E6" s="3764" t="s">
        <v>1677</v>
      </c>
      <c r="F6" s="3765"/>
      <c r="G6" s="3757" t="s">
        <v>1677</v>
      </c>
      <c r="H6" s="3758"/>
      <c r="I6" s="3757" t="s">
        <v>1677</v>
      </c>
      <c r="J6" s="3758"/>
      <c r="K6" s="555" t="s">
        <v>1678</v>
      </c>
      <c r="L6" s="2705"/>
      <c r="M6" s="2706"/>
      <c r="N6" s="2706"/>
      <c r="O6" s="2706"/>
      <c r="P6" s="3814"/>
      <c r="Q6" s="3750"/>
      <c r="R6" s="3753"/>
      <c r="S6" s="3754"/>
      <c r="T6" s="3755"/>
      <c r="U6" s="3756"/>
      <c r="V6" s="3738"/>
      <c r="W6" s="3738"/>
      <c r="X6" s="1351"/>
      <c r="Y6" s="3755"/>
      <c r="Z6" s="3756"/>
      <c r="AA6" s="3741"/>
      <c r="AB6" s="3741"/>
      <c r="AC6" s="3810"/>
    </row>
    <row r="7" spans="1:29" s="106" customFormat="1" ht="15.75" thickBot="1">
      <c r="A7" s="358" t="s">
        <v>1679</v>
      </c>
      <c r="B7" s="359"/>
      <c r="C7" s="360">
        <f>'数据-取费表'!B2</f>
        <v>44992</v>
      </c>
      <c r="D7" s="361">
        <v>100</v>
      </c>
      <c r="E7" s="362"/>
      <c r="F7" s="363">
        <f>SUMIF(59:59,YEAR(E7)&amp;"-"&amp;MONTH(E7),60:60)</f>
        <v>0</v>
      </c>
      <c r="G7" s="362"/>
      <c r="H7" s="361">
        <f>SUMIF(59:59,YEAR(G7)&amp;"-"&amp;MONTH(G7),60:60)</f>
        <v>0</v>
      </c>
      <c r="I7" s="362"/>
      <c r="J7" s="361">
        <f>SUMIF(59:59,YEAR(I7)&amp;"-"&amp;MONTH(I7),60:60)</f>
        <v>0</v>
      </c>
      <c r="K7" s="556"/>
      <c r="L7" s="2707"/>
      <c r="M7" s="2708"/>
      <c r="N7" s="2708"/>
      <c r="O7" s="2708"/>
      <c r="P7" s="3818" t="s">
        <v>1680</v>
      </c>
      <c r="Q7" s="3763"/>
      <c r="R7" s="697" t="s">
        <v>14</v>
      </c>
      <c r="S7" s="698">
        <f t="shared" ref="S7:S15" si="0">F7</f>
        <v>0</v>
      </c>
      <c r="T7" s="697" t="s">
        <v>14</v>
      </c>
      <c r="U7" s="698">
        <f t="shared" ref="U7:U15" si="1">H7</f>
        <v>0</v>
      </c>
      <c r="V7" s="697" t="s">
        <v>14</v>
      </c>
      <c r="W7" s="698">
        <f t="shared" ref="W7:W15" si="2">J7</f>
        <v>0</v>
      </c>
      <c r="X7" s="699"/>
      <c r="Y7" s="3761" t="s">
        <v>1680</v>
      </c>
      <c r="Z7" s="3762"/>
      <c r="AA7" s="700" t="e">
        <f>D7/F7</f>
        <v>#DIV/0!</v>
      </c>
      <c r="AB7" s="700" t="e">
        <f>D7/H7</f>
        <v>#DIV/0!</v>
      </c>
      <c r="AC7" s="1955" t="e">
        <f>D7/J7</f>
        <v>#DIV/0!</v>
      </c>
    </row>
    <row r="8" spans="1:29" s="106" customFormat="1" ht="15.75" thickBot="1">
      <c r="A8" s="358" t="s">
        <v>1681</v>
      </c>
      <c r="B8" s="359"/>
      <c r="C8" s="364"/>
      <c r="D8" s="361">
        <v>100</v>
      </c>
      <c r="E8" s="364"/>
      <c r="F8" s="363">
        <f>SUMIF(62:62,E8,63:63)-SUMIF(62:62,C8,63:63)+100</f>
        <v>100</v>
      </c>
      <c r="G8" s="364"/>
      <c r="H8" s="361">
        <f>SUMIF(62:62,G8,63:63)-SUMIF(62:62,C8,63:63)+100</f>
        <v>100</v>
      </c>
      <c r="I8" s="364"/>
      <c r="J8" s="361">
        <f>SUMIF(62:62,I8,63:63)-SUMIF(62:62,C8,63:63)+100</f>
        <v>100</v>
      </c>
      <c r="K8" s="556"/>
      <c r="L8" s="2707"/>
      <c r="M8" s="2708"/>
      <c r="N8" s="2708"/>
      <c r="O8" s="2708"/>
      <c r="P8" s="3818" t="s">
        <v>1683</v>
      </c>
      <c r="Q8" s="3762"/>
      <c r="R8" s="697" t="s">
        <v>14</v>
      </c>
      <c r="S8" s="698">
        <f t="shared" si="0"/>
        <v>100</v>
      </c>
      <c r="T8" s="697" t="s">
        <v>14</v>
      </c>
      <c r="U8" s="698">
        <f t="shared" si="1"/>
        <v>100</v>
      </c>
      <c r="V8" s="697" t="s">
        <v>14</v>
      </c>
      <c r="W8" s="698">
        <f t="shared" si="2"/>
        <v>100</v>
      </c>
      <c r="X8" s="699"/>
      <c r="Y8" s="3761" t="s">
        <v>1683</v>
      </c>
      <c r="Z8" s="3762"/>
      <c r="AA8" s="700">
        <f t="shared" ref="AA8:AA47" si="3">D8/F8</f>
        <v>1</v>
      </c>
      <c r="AB8" s="700">
        <f t="shared" ref="AB8:AB47" si="4">D8/H8</f>
        <v>1</v>
      </c>
      <c r="AC8" s="1955">
        <f t="shared" ref="AC8:AC47" si="5">D8/J8</f>
        <v>1</v>
      </c>
    </row>
    <row r="9" spans="1:29" s="106" customFormat="1">
      <c r="A9" s="365" t="s">
        <v>1684</v>
      </c>
      <c r="B9" s="63" t="s">
        <v>1685</v>
      </c>
      <c r="C9" s="366"/>
      <c r="D9" s="122">
        <v>100</v>
      </c>
      <c r="E9" s="369"/>
      <c r="F9" s="122">
        <f>SUMIF(64:64,E9,65:65)-SUMIF(64:64,C9,65:65)+100</f>
        <v>100</v>
      </c>
      <c r="G9" s="367"/>
      <c r="H9" s="122">
        <f>SUMIF(64:64,G9,65:65)-SUMIF(64:64,C9,65:65)+100</f>
        <v>100</v>
      </c>
      <c r="I9" s="367"/>
      <c r="J9" s="122">
        <f>SUMIF(64:64,I9,65:65)-SUMIF(64:64,C9,65:65)+100</f>
        <v>100</v>
      </c>
      <c r="K9" s="556"/>
      <c r="L9" s="2707"/>
      <c r="M9" s="2708"/>
      <c r="N9" s="2708"/>
      <c r="O9" s="2708"/>
      <c r="P9" s="3732"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1955">
        <f t="shared" si="5"/>
        <v>1</v>
      </c>
    </row>
    <row r="10" spans="1:29" s="374" customFormat="1" ht="27">
      <c r="A10" s="370"/>
      <c r="B10" s="371" t="s">
        <v>1688</v>
      </c>
      <c r="C10" s="3424"/>
      <c r="D10" s="123">
        <v>100</v>
      </c>
      <c r="E10" s="3424"/>
      <c r="F10" s="123">
        <f>SUMIF(66:66,E10,67:67)-SUMIF(66:66,C10,67:67)+100</f>
        <v>100</v>
      </c>
      <c r="G10" s="3425"/>
      <c r="H10" s="123">
        <f>SUMIF(66:66,G10,67:67)-SUMIF(66:66,C10,67:67)+100</f>
        <v>100</v>
      </c>
      <c r="I10" s="3424"/>
      <c r="J10" s="123">
        <f>SUMIF(66:66,I10,67:67)-SUMIF(66:66,C10,67:67)+100</f>
        <v>100</v>
      </c>
      <c r="K10" s="556"/>
      <c r="L10" s="2709"/>
      <c r="M10" s="2710"/>
      <c r="N10" s="2710"/>
      <c r="O10" s="2710"/>
      <c r="P10" s="3732"/>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1955">
        <f t="shared" si="5"/>
        <v>1</v>
      </c>
    </row>
    <row r="11" spans="1:29" ht="15">
      <c r="A11" s="375"/>
      <c r="B11" s="371" t="s">
        <v>1689</v>
      </c>
      <c r="C11" s="376"/>
      <c r="D11" s="123">
        <v>100</v>
      </c>
      <c r="E11" s="376"/>
      <c r="F11" s="123">
        <f>LOOKUP(E11,69:69,70:70)-LOOKUP(C11,69:69,70:70)+100</f>
        <v>100</v>
      </c>
      <c r="G11" s="377"/>
      <c r="H11" s="123">
        <f>LOOKUP(G11,69:69,70:70)-LOOKUP(C11,69:69,70:70)+100</f>
        <v>100</v>
      </c>
      <c r="I11" s="376"/>
      <c r="J11" s="123">
        <f>LOOKUP(I11,69:69,70:70)-LOOKUP(C11,69:69,70:70)+100</f>
        <v>100</v>
      </c>
      <c r="K11" s="557"/>
      <c r="L11" s="2711"/>
      <c r="M11" s="2706"/>
      <c r="N11" s="2706"/>
      <c r="O11" s="2706"/>
      <c r="P11" s="3732"/>
      <c r="Q11" s="1339" t="str">
        <f t="shared" si="6"/>
        <v>容积率</v>
      </c>
      <c r="R11" s="697" t="s">
        <v>14</v>
      </c>
      <c r="S11" s="698">
        <f t="shared" si="0"/>
        <v>100</v>
      </c>
      <c r="T11" s="697" t="s">
        <v>14</v>
      </c>
      <c r="U11" s="698">
        <f t="shared" si="1"/>
        <v>100</v>
      </c>
      <c r="V11" s="697" t="s">
        <v>14</v>
      </c>
      <c r="W11" s="698">
        <f t="shared" si="2"/>
        <v>100</v>
      </c>
      <c r="X11" s="699"/>
      <c r="Y11" s="3614"/>
      <c r="Z11" s="52" t="str">
        <f t="shared" si="7"/>
        <v>容积率</v>
      </c>
      <c r="AA11" s="700">
        <f t="shared" si="3"/>
        <v>1</v>
      </c>
      <c r="AB11" s="700">
        <f t="shared" si="4"/>
        <v>1</v>
      </c>
      <c r="AC11" s="1955">
        <f t="shared" si="5"/>
        <v>1</v>
      </c>
    </row>
    <row r="12" spans="1:29" s="106" customFormat="1" ht="15">
      <c r="A12" s="378"/>
      <c r="B12" s="1889">
        <v>111</v>
      </c>
      <c r="C12" s="379"/>
      <c r="D12" s="380">
        <v>100</v>
      </c>
      <c r="E12" s="379"/>
      <c r="F12" s="123">
        <f>SUMIF(71:71,E12,72:72)-SUMIF(71:71,C12,72:72)+100</f>
        <v>100</v>
      </c>
      <c r="G12" s="1956"/>
      <c r="H12" s="123">
        <f>SUMIF(71:71,G12,72:72)-SUMIF(71:71,C12,72:72)+100</f>
        <v>100</v>
      </c>
      <c r="I12" s="379"/>
      <c r="J12" s="123">
        <f>SUMIF(71:71,I12,72:72)-SUMIF(71:71,C12,72:72)+100</f>
        <v>100</v>
      </c>
      <c r="K12" s="558"/>
      <c r="L12" s="2707"/>
      <c r="M12" s="2708"/>
      <c r="N12" s="2708"/>
      <c r="O12" s="2708"/>
      <c r="P12" s="3732"/>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1955">
        <f>D12/J12</f>
        <v>1</v>
      </c>
    </row>
    <row r="13" spans="1:29" ht="15">
      <c r="A13" s="375"/>
      <c r="B13" s="1889">
        <v>111</v>
      </c>
      <c r="C13" s="381"/>
      <c r="D13" s="382">
        <v>100</v>
      </c>
      <c r="E13" s="379"/>
      <c r="F13" s="123">
        <f>SUMIF(73:73,E13,74:74)-SUMIF(73:73,C13,74:74)+100</f>
        <v>100</v>
      </c>
      <c r="G13" s="1956"/>
      <c r="H13" s="382">
        <f>SUMIF(73:73,G13,74:74)-SUMIF(73:73,C13,74:74)+100</f>
        <v>100</v>
      </c>
      <c r="I13" s="379"/>
      <c r="J13" s="382">
        <f>SUMIF(73:73,I13,74:74)-SUMIF(73:73,C13,74:74)+100</f>
        <v>100</v>
      </c>
      <c r="K13" s="558"/>
      <c r="L13" s="2712"/>
      <c r="M13" s="2706"/>
      <c r="N13" s="2706"/>
      <c r="O13" s="2706"/>
      <c r="P13" s="3732"/>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1955">
        <f t="shared" si="5"/>
        <v>1</v>
      </c>
    </row>
    <row r="14" spans="1:29" ht="15.75" thickBot="1">
      <c r="A14" s="383"/>
      <c r="B14" s="1891">
        <v>111</v>
      </c>
      <c r="C14" s="384"/>
      <c r="D14" s="385">
        <v>100</v>
      </c>
      <c r="E14" s="572"/>
      <c r="F14" s="385">
        <f>SUMIF(75:75,E14,76:76)-SUMIF(75:75,C14,76:76)+100</f>
        <v>100</v>
      </c>
      <c r="G14" s="1956"/>
      <c r="H14" s="385">
        <f>SUMIF(75:75,G14,76:76)-SUMIF(75:75,C14,76:76)+100</f>
        <v>100</v>
      </c>
      <c r="I14" s="379"/>
      <c r="J14" s="385">
        <f>SUMIF(75:75,I14,76:76)-SUMIF(75:75,C14,76:76)+100</f>
        <v>100</v>
      </c>
      <c r="K14" s="558"/>
      <c r="L14" s="2712"/>
      <c r="M14" s="2706"/>
      <c r="N14" s="2706"/>
      <c r="O14" s="2706"/>
      <c r="P14" s="3732"/>
      <c r="Q14" s="1339">
        <f t="shared" si="6"/>
        <v>111</v>
      </c>
      <c r="R14" s="697" t="s">
        <v>14</v>
      </c>
      <c r="S14" s="698">
        <f t="shared" si="0"/>
        <v>100</v>
      </c>
      <c r="T14" s="697" t="s">
        <v>14</v>
      </c>
      <c r="U14" s="698">
        <f t="shared" si="1"/>
        <v>100</v>
      </c>
      <c r="V14" s="697" t="s">
        <v>14</v>
      </c>
      <c r="W14" s="698">
        <f t="shared" si="2"/>
        <v>100</v>
      </c>
      <c r="X14" s="699"/>
      <c r="Y14" s="3614"/>
      <c r="Z14" s="52">
        <f t="shared" si="7"/>
        <v>111</v>
      </c>
      <c r="AA14" s="700">
        <f t="shared" si="3"/>
        <v>1</v>
      </c>
      <c r="AB14" s="700">
        <f t="shared" si="4"/>
        <v>1</v>
      </c>
      <c r="AC14" s="1955">
        <f t="shared" si="5"/>
        <v>1</v>
      </c>
    </row>
    <row r="15" spans="1:29" ht="71.25">
      <c r="A15" s="387" t="s">
        <v>1690</v>
      </c>
      <c r="B15" s="573" t="s">
        <v>1811</v>
      </c>
      <c r="C15" s="1957"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59"/>
      <c r="L15" s="2712"/>
      <c r="M15" s="2706"/>
      <c r="N15" s="2706"/>
      <c r="O15" s="2706"/>
      <c r="P15" s="3803" t="s">
        <v>1691</v>
      </c>
      <c r="Q15" s="1348" t="str">
        <f t="shared" si="6"/>
        <v>办公集聚程度</v>
      </c>
      <c r="R15" s="701" t="s">
        <v>14</v>
      </c>
      <c r="S15" s="702">
        <f t="shared" si="0"/>
        <v>100</v>
      </c>
      <c r="T15" s="701" t="s">
        <v>14</v>
      </c>
      <c r="U15" s="702">
        <f t="shared" si="1"/>
        <v>100</v>
      </c>
      <c r="V15" s="701" t="s">
        <v>14</v>
      </c>
      <c r="W15" s="702">
        <f t="shared" si="2"/>
        <v>100</v>
      </c>
      <c r="X15" s="1351"/>
      <c r="Y15" s="3734" t="s">
        <v>1691</v>
      </c>
      <c r="Z15" s="1352" t="str">
        <f t="shared" si="7"/>
        <v>办公集聚程度</v>
      </c>
      <c r="AA15" s="1349">
        <f t="shared" si="3"/>
        <v>1</v>
      </c>
      <c r="AB15" s="1349">
        <f t="shared" si="4"/>
        <v>1</v>
      </c>
      <c r="AC15" s="1958">
        <f t="shared" si="5"/>
        <v>1</v>
      </c>
    </row>
    <row r="16" spans="1:29" ht="15">
      <c r="A16" s="375"/>
      <c r="B16" s="574"/>
      <c r="C16" s="1900"/>
      <c r="D16" s="395"/>
      <c r="E16" s="394"/>
      <c r="F16" s="395"/>
      <c r="G16" s="1900"/>
      <c r="H16" s="397"/>
      <c r="I16" s="394"/>
      <c r="J16" s="395"/>
      <c r="K16" s="560"/>
      <c r="L16" s="2712"/>
      <c r="M16" s="2706"/>
      <c r="N16" s="2706"/>
      <c r="O16" s="2706"/>
      <c r="P16" s="3804"/>
      <c r="Q16" s="1348"/>
      <c r="R16" s="701"/>
      <c r="S16" s="702"/>
      <c r="T16" s="701"/>
      <c r="U16" s="702"/>
      <c r="V16" s="701"/>
      <c r="W16" s="702"/>
      <c r="X16" s="1351"/>
      <c r="Y16" s="3735"/>
      <c r="Z16" s="1352"/>
      <c r="AA16" s="1349">
        <v>1</v>
      </c>
      <c r="AB16" s="1349">
        <v>1</v>
      </c>
      <c r="AC16" s="1958">
        <v>1</v>
      </c>
    </row>
    <row r="17" spans="1:29" ht="71.25">
      <c r="A17" s="375"/>
      <c r="B17" s="575" t="s">
        <v>1259</v>
      </c>
      <c r="C17" s="1959"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59"/>
      <c r="L17" s="2712"/>
      <c r="M17" s="2706"/>
      <c r="N17" s="2706"/>
      <c r="O17" s="2706"/>
      <c r="P17" s="3804"/>
      <c r="Q17" s="1348" t="str">
        <f>B17</f>
        <v>交通便捷度</v>
      </c>
      <c r="R17" s="701" t="s">
        <v>14</v>
      </c>
      <c r="S17" s="702">
        <f>F17</f>
        <v>100</v>
      </c>
      <c r="T17" s="701" t="s">
        <v>14</v>
      </c>
      <c r="U17" s="702">
        <f>H17</f>
        <v>100</v>
      </c>
      <c r="V17" s="701" t="s">
        <v>14</v>
      </c>
      <c r="W17" s="702">
        <f>J17</f>
        <v>100</v>
      </c>
      <c r="X17" s="1351"/>
      <c r="Y17" s="3735"/>
      <c r="Z17" s="1352" t="str">
        <f>Q17</f>
        <v>交通便捷度</v>
      </c>
      <c r="AA17" s="1349">
        <f t="shared" si="3"/>
        <v>1</v>
      </c>
      <c r="AB17" s="1349">
        <f t="shared" si="4"/>
        <v>1</v>
      </c>
      <c r="AC17" s="1958">
        <f t="shared" si="5"/>
        <v>1</v>
      </c>
    </row>
    <row r="18" spans="1:29" ht="15">
      <c r="A18" s="375"/>
      <c r="B18" s="576"/>
      <c r="C18" s="1960"/>
      <c r="D18" s="397"/>
      <c r="E18" s="1898"/>
      <c r="F18" s="397"/>
      <c r="G18" s="1899"/>
      <c r="H18" s="395"/>
      <c r="I18" s="1899"/>
      <c r="J18" s="395"/>
      <c r="K18" s="560"/>
      <c r="L18" s="2712"/>
      <c r="M18" s="2706"/>
      <c r="N18" s="2706"/>
      <c r="O18" s="2706"/>
      <c r="P18" s="3804"/>
      <c r="Q18" s="1348"/>
      <c r="R18" s="701"/>
      <c r="S18" s="702"/>
      <c r="T18" s="701"/>
      <c r="U18" s="702"/>
      <c r="V18" s="701"/>
      <c r="W18" s="702"/>
      <c r="X18" s="1351"/>
      <c r="Y18" s="3735"/>
      <c r="Z18" s="1352"/>
      <c r="AA18" s="1349">
        <v>1</v>
      </c>
      <c r="AB18" s="1349">
        <v>1</v>
      </c>
      <c r="AC18" s="1958">
        <v>1</v>
      </c>
    </row>
    <row r="19" spans="1:29" ht="42.75">
      <c r="A19" s="375"/>
      <c r="B19" s="575" t="s">
        <v>1812</v>
      </c>
      <c r="C19" s="1959"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59"/>
      <c r="L19" s="2712"/>
      <c r="M19" s="2706"/>
      <c r="N19" s="2706"/>
      <c r="O19" s="2706"/>
      <c r="P19" s="3804"/>
      <c r="Q19" s="1348" t="str">
        <f>B19</f>
        <v>公共配套设施</v>
      </c>
      <c r="R19" s="701" t="s">
        <v>14</v>
      </c>
      <c r="S19" s="702">
        <f>F19</f>
        <v>100</v>
      </c>
      <c r="T19" s="701" t="s">
        <v>14</v>
      </c>
      <c r="U19" s="702">
        <f>H19</f>
        <v>100</v>
      </c>
      <c r="V19" s="701" t="s">
        <v>14</v>
      </c>
      <c r="W19" s="702">
        <f>J19</f>
        <v>100</v>
      </c>
      <c r="X19" s="1351"/>
      <c r="Y19" s="3735"/>
      <c r="Z19" s="1352" t="str">
        <f>Q19</f>
        <v>公共配套设施</v>
      </c>
      <c r="AA19" s="1349">
        <f t="shared" si="3"/>
        <v>1</v>
      </c>
      <c r="AB19" s="1349">
        <f t="shared" si="4"/>
        <v>1</v>
      </c>
      <c r="AC19" s="1958">
        <f t="shared" si="5"/>
        <v>1</v>
      </c>
    </row>
    <row r="20" spans="1:29" ht="15">
      <c r="A20" s="375"/>
      <c r="B20" s="576"/>
      <c r="C20" s="1900"/>
      <c r="D20" s="395"/>
      <c r="E20" s="1893"/>
      <c r="F20" s="395"/>
      <c r="G20" s="1894"/>
      <c r="H20" s="395"/>
      <c r="I20" s="1894"/>
      <c r="J20" s="395"/>
      <c r="K20" s="560"/>
      <c r="L20" s="2712"/>
      <c r="M20" s="2706"/>
      <c r="N20" s="2706"/>
      <c r="O20" s="2706"/>
      <c r="P20" s="3804"/>
      <c r="Q20" s="1348"/>
      <c r="R20" s="701"/>
      <c r="S20" s="702"/>
      <c r="T20" s="701"/>
      <c r="U20" s="702"/>
      <c r="V20" s="701"/>
      <c r="W20" s="702"/>
      <c r="X20" s="1351"/>
      <c r="Y20" s="3735"/>
      <c r="Z20" s="1352"/>
      <c r="AA20" s="1349">
        <v>1</v>
      </c>
      <c r="AB20" s="1349">
        <v>1</v>
      </c>
      <c r="AC20" s="1958">
        <v>1</v>
      </c>
    </row>
    <row r="21" spans="1:29" ht="28.5">
      <c r="A21" s="375"/>
      <c r="B21" s="577" t="s">
        <v>1813</v>
      </c>
      <c r="C21" s="1959"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59"/>
      <c r="L21" s="2712"/>
      <c r="M21" s="2706"/>
      <c r="N21" s="2706"/>
      <c r="O21" s="2706"/>
      <c r="P21" s="3804"/>
      <c r="Q21" s="1348" t="str">
        <f>B21</f>
        <v>基础设施水平</v>
      </c>
      <c r="R21" s="701" t="s">
        <v>14</v>
      </c>
      <c r="S21" s="702">
        <f>F21</f>
        <v>100</v>
      </c>
      <c r="T21" s="701" t="s">
        <v>14</v>
      </c>
      <c r="U21" s="702">
        <f>H21</f>
        <v>100</v>
      </c>
      <c r="V21" s="701" t="s">
        <v>14</v>
      </c>
      <c r="W21" s="702">
        <f>J21</f>
        <v>100</v>
      </c>
      <c r="X21" s="1351"/>
      <c r="Y21" s="3735"/>
      <c r="Z21" s="1352" t="str">
        <f>Q21</f>
        <v>基础设施水平</v>
      </c>
      <c r="AA21" s="1349">
        <f t="shared" ref="AA21" si="8">D21/F21</f>
        <v>1</v>
      </c>
      <c r="AB21" s="1349">
        <f t="shared" ref="AB21" si="9">D21/H21</f>
        <v>1</v>
      </c>
      <c r="AC21" s="1958">
        <f t="shared" ref="AC21" si="10">D21/J21</f>
        <v>1</v>
      </c>
    </row>
    <row r="22" spans="1:29" ht="15">
      <c r="A22" s="375"/>
      <c r="B22" s="577"/>
      <c r="C22" s="1960"/>
      <c r="D22" s="395"/>
      <c r="E22" s="394"/>
      <c r="F22" s="395"/>
      <c r="G22" s="1900"/>
      <c r="H22" s="395"/>
      <c r="I22" s="1900"/>
      <c r="J22" s="395"/>
      <c r="K22" s="1126"/>
      <c r="L22" s="2712"/>
      <c r="M22" s="2706"/>
      <c r="N22" s="2706"/>
      <c r="O22" s="2706"/>
      <c r="P22" s="3804"/>
      <c r="Q22" s="1348"/>
      <c r="R22" s="701"/>
      <c r="S22" s="702"/>
      <c r="T22" s="701"/>
      <c r="U22" s="702"/>
      <c r="V22" s="701"/>
      <c r="W22" s="702"/>
      <c r="X22" s="1351"/>
      <c r="Y22" s="3735"/>
      <c r="Z22" s="1352"/>
      <c r="AA22" s="1349">
        <v>1</v>
      </c>
      <c r="AB22" s="1349">
        <v>1</v>
      </c>
      <c r="AC22" s="1958">
        <v>1</v>
      </c>
    </row>
    <row r="23" spans="1:29" ht="42.75">
      <c r="A23" s="375"/>
      <c r="B23" s="575" t="s">
        <v>1814</v>
      </c>
      <c r="C23" s="1959"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59"/>
      <c r="L23" s="2712"/>
      <c r="M23" s="2706"/>
      <c r="N23" s="2706"/>
      <c r="O23" s="2706"/>
      <c r="P23" s="3804"/>
      <c r="Q23" s="1348" t="str">
        <f>B23</f>
        <v>环境质量</v>
      </c>
      <c r="R23" s="701" t="s">
        <v>14</v>
      </c>
      <c r="S23" s="702">
        <f>F23</f>
        <v>100</v>
      </c>
      <c r="T23" s="701" t="s">
        <v>14</v>
      </c>
      <c r="U23" s="702">
        <f>H23</f>
        <v>100</v>
      </c>
      <c r="V23" s="701" t="s">
        <v>14</v>
      </c>
      <c r="W23" s="702">
        <f>J23</f>
        <v>100</v>
      </c>
      <c r="X23" s="1351"/>
      <c r="Y23" s="3735"/>
      <c r="Z23" s="1352" t="str">
        <f>Q23</f>
        <v>环境质量</v>
      </c>
      <c r="AA23" s="1349">
        <f t="shared" si="3"/>
        <v>1</v>
      </c>
      <c r="AB23" s="1349">
        <f t="shared" si="4"/>
        <v>1</v>
      </c>
      <c r="AC23" s="1958">
        <f t="shared" si="5"/>
        <v>1</v>
      </c>
    </row>
    <row r="24" spans="1:29" ht="15">
      <c r="A24" s="375"/>
      <c r="B24" s="577"/>
      <c r="C24" s="1900"/>
      <c r="D24" s="395"/>
      <c r="E24" s="1893"/>
      <c r="F24" s="395"/>
      <c r="G24" s="1894"/>
      <c r="H24" s="395"/>
      <c r="I24" s="1894"/>
      <c r="J24" s="395"/>
      <c r="K24" s="560"/>
      <c r="L24" s="2712"/>
      <c r="M24" s="2706"/>
      <c r="N24" s="2706"/>
      <c r="O24" s="2706"/>
      <c r="P24" s="3804"/>
      <c r="Q24" s="1348"/>
      <c r="R24" s="701"/>
      <c r="S24" s="702"/>
      <c r="T24" s="701"/>
      <c r="U24" s="702"/>
      <c r="V24" s="701"/>
      <c r="W24" s="702"/>
      <c r="X24" s="1351"/>
      <c r="Y24" s="3735"/>
      <c r="Z24" s="1352"/>
      <c r="AA24" s="1349">
        <v>1</v>
      </c>
      <c r="AB24" s="1349">
        <v>1</v>
      </c>
      <c r="AC24" s="1958">
        <v>1</v>
      </c>
    </row>
    <row r="25" spans="1:29" ht="27">
      <c r="A25" s="354"/>
      <c r="B25" s="575" t="s">
        <v>1815</v>
      </c>
      <c r="C25" s="1904"/>
      <c r="D25" s="382">
        <v>100</v>
      </c>
      <c r="E25" s="381"/>
      <c r="F25" s="382">
        <f>SUMIF(87:87,E26,88:88)-SUMIF(87:87,C26,88:88)+100</f>
        <v>100</v>
      </c>
      <c r="G25" s="1904"/>
      <c r="H25" s="382">
        <f>SUMIF(87:87,G26,88:88)-SUMIF(87:87,C26,88:88)+100</f>
        <v>100</v>
      </c>
      <c r="I25" s="381"/>
      <c r="J25" s="382">
        <f>SUMIF(87:87,I26,88:88)-SUMIF(87:87,C26,88:88)+100</f>
        <v>100</v>
      </c>
      <c r="K25" s="559"/>
      <c r="L25" s="2712"/>
      <c r="M25" s="2706"/>
      <c r="N25" s="2706"/>
      <c r="O25" s="2706"/>
      <c r="P25" s="3804"/>
      <c r="Q25" s="1348" t="str">
        <f>B25</f>
        <v>毗邻道路的类型与等级</v>
      </c>
      <c r="R25" s="701" t="s">
        <v>14</v>
      </c>
      <c r="S25" s="702">
        <f>F25</f>
        <v>100</v>
      </c>
      <c r="T25" s="701" t="s">
        <v>14</v>
      </c>
      <c r="U25" s="702">
        <f>H25</f>
        <v>100</v>
      </c>
      <c r="V25" s="701" t="s">
        <v>14</v>
      </c>
      <c r="W25" s="702">
        <f>J25</f>
        <v>100</v>
      </c>
      <c r="X25" s="1351"/>
      <c r="Y25" s="3735"/>
      <c r="Z25" s="1352" t="str">
        <f>Q25</f>
        <v>毗邻道路的类型与等级</v>
      </c>
      <c r="AA25" s="1349">
        <f t="shared" si="3"/>
        <v>1</v>
      </c>
      <c r="AB25" s="1349">
        <f t="shared" si="4"/>
        <v>1</v>
      </c>
      <c r="AC25" s="1958">
        <f t="shared" si="5"/>
        <v>1</v>
      </c>
    </row>
    <row r="26" spans="1:29" ht="15">
      <c r="A26" s="354"/>
      <c r="B26" s="576"/>
      <c r="C26" s="578"/>
      <c r="D26" s="382"/>
      <c r="E26" s="561"/>
      <c r="F26" s="382"/>
      <c r="G26" s="578"/>
      <c r="H26" s="382"/>
      <c r="I26" s="561"/>
      <c r="J26" s="382"/>
      <c r="K26" s="560"/>
      <c r="L26" s="2712"/>
      <c r="M26" s="2706"/>
      <c r="N26" s="2706"/>
      <c r="O26" s="2706"/>
      <c r="P26" s="3804"/>
      <c r="Q26" s="1348"/>
      <c r="R26" s="701"/>
      <c r="S26" s="702"/>
      <c r="T26" s="701"/>
      <c r="U26" s="702"/>
      <c r="V26" s="701"/>
      <c r="W26" s="702"/>
      <c r="X26" s="1351"/>
      <c r="Y26" s="3735"/>
      <c r="Z26" s="1352"/>
      <c r="AA26" s="1349">
        <v>1</v>
      </c>
      <c r="AB26" s="1349">
        <v>1</v>
      </c>
      <c r="AC26" s="1958">
        <v>1</v>
      </c>
    </row>
    <row r="27" spans="1:29" ht="15">
      <c r="A27" s="375"/>
      <c r="B27" s="576" t="s">
        <v>1783</v>
      </c>
      <c r="C27" s="578"/>
      <c r="D27" s="382">
        <v>100</v>
      </c>
      <c r="E27" s="561"/>
      <c r="F27" s="382">
        <f>SUMIF(89:89,E27,90:90)-SUMIF(89:89,C27,90:90)+100</f>
        <v>100</v>
      </c>
      <c r="G27" s="578"/>
      <c r="H27" s="382">
        <f>SUMIF(89:89,G27,90:90)-SUMIF(89:89,C27,90:90)+100</f>
        <v>100</v>
      </c>
      <c r="I27" s="561"/>
      <c r="J27" s="382">
        <f>SUMIF(89:89,I27,90:90)-SUMIF(89:89,C27,90:90)+100</f>
        <v>100</v>
      </c>
      <c r="K27" s="557"/>
      <c r="L27" s="2712"/>
      <c r="M27" s="2706"/>
      <c r="N27" s="2706"/>
      <c r="O27" s="2706"/>
      <c r="P27" s="3804"/>
      <c r="Q27" s="1348" t="str">
        <f t="shared" ref="Q27:Q47" si="11">B27</f>
        <v>楼层</v>
      </c>
      <c r="R27" s="701" t="s">
        <v>14</v>
      </c>
      <c r="S27" s="702">
        <f>F27</f>
        <v>100</v>
      </c>
      <c r="T27" s="701" t="s">
        <v>14</v>
      </c>
      <c r="U27" s="702">
        <f>H27</f>
        <v>100</v>
      </c>
      <c r="V27" s="701" t="s">
        <v>14</v>
      </c>
      <c r="W27" s="702">
        <f>J27</f>
        <v>100</v>
      </c>
      <c r="X27" s="1351"/>
      <c r="Y27" s="3735"/>
      <c r="Z27" s="1352" t="str">
        <f>Q27</f>
        <v>楼层</v>
      </c>
      <c r="AA27" s="1349">
        <f t="shared" si="3"/>
        <v>1</v>
      </c>
      <c r="AB27" s="1349">
        <f t="shared" si="4"/>
        <v>1</v>
      </c>
      <c r="AC27" s="1958">
        <f t="shared" si="5"/>
        <v>1</v>
      </c>
    </row>
    <row r="28" spans="1:29" s="106" customFormat="1" ht="15">
      <c r="A28" s="378"/>
      <c r="B28" s="575" t="s">
        <v>1816</v>
      </c>
      <c r="C28" s="1961"/>
      <c r="D28" s="409">
        <v>100</v>
      </c>
      <c r="E28" s="1952"/>
      <c r="F28" s="409">
        <f>SUMIF(91:91,E28,92:92)-SUMIF(91:91,C28,92:92)+100</f>
        <v>100</v>
      </c>
      <c r="G28" s="1961"/>
      <c r="H28" s="409">
        <f>SUMIF(91:91,G28,92:92)-SUMIF(91:91,C28,92:92)+100</f>
        <v>100</v>
      </c>
      <c r="I28" s="1952"/>
      <c r="J28" s="409">
        <f>SUMIF(91:91,I28,92:92)-SUMIF(91:91,C28,92:92)+100</f>
        <v>100</v>
      </c>
      <c r="K28" s="557"/>
      <c r="L28" s="2707"/>
      <c r="M28" s="2708"/>
      <c r="N28" s="2708"/>
      <c r="O28" s="2708"/>
      <c r="P28" s="3804"/>
      <c r="Q28" s="1339" t="str">
        <f t="shared" si="11"/>
        <v>朝向</v>
      </c>
      <c r="R28" s="697" t="s">
        <v>14</v>
      </c>
      <c r="S28" s="698">
        <f>F28</f>
        <v>100</v>
      </c>
      <c r="T28" s="697" t="s">
        <v>14</v>
      </c>
      <c r="U28" s="698">
        <f>H28</f>
        <v>100</v>
      </c>
      <c r="V28" s="697" t="s">
        <v>14</v>
      </c>
      <c r="W28" s="698">
        <f>J28</f>
        <v>100</v>
      </c>
      <c r="X28" s="699"/>
      <c r="Y28" s="3735"/>
      <c r="Z28" s="52" t="str">
        <f>Q28</f>
        <v>朝向</v>
      </c>
      <c r="AA28" s="1349">
        <f>D28/F28</f>
        <v>1</v>
      </c>
      <c r="AB28" s="1349">
        <f>D28/H28</f>
        <v>1</v>
      </c>
      <c r="AC28" s="1958">
        <f>D28/J28</f>
        <v>1</v>
      </c>
    </row>
    <row r="29" spans="1:29" ht="15">
      <c r="A29" s="375"/>
      <c r="B29" s="1962">
        <v>111</v>
      </c>
      <c r="C29" s="1904"/>
      <c r="D29" s="382">
        <v>100</v>
      </c>
      <c r="E29" s="379"/>
      <c r="F29" s="382">
        <f>SUMIF(93:93,E29,94:94)-SUMIF(93:93,C29,94:94)+100</f>
        <v>100</v>
      </c>
      <c r="G29" s="1956"/>
      <c r="H29" s="382">
        <f>SUMIF(93:93,G29,94:94)-SUMIF(93:93,C29,94:94)+100</f>
        <v>100</v>
      </c>
      <c r="I29" s="379"/>
      <c r="J29" s="382">
        <f>SUMIF(93:93,I29,94:94)-SUMIF(93:93,C29,94:94)+100</f>
        <v>100</v>
      </c>
      <c r="K29" s="558"/>
      <c r="L29" s="2712"/>
      <c r="M29" s="2706"/>
      <c r="N29" s="2706"/>
      <c r="O29" s="2706"/>
      <c r="P29" s="3804"/>
      <c r="Q29" s="1348">
        <f t="shared" si="11"/>
        <v>111</v>
      </c>
      <c r="R29" s="701" t="s">
        <v>14</v>
      </c>
      <c r="S29" s="702">
        <f t="shared" ref="S29:S47" si="12">F29</f>
        <v>100</v>
      </c>
      <c r="T29" s="701" t="s">
        <v>14</v>
      </c>
      <c r="U29" s="702">
        <f t="shared" ref="U29:U47" si="13">H29</f>
        <v>100</v>
      </c>
      <c r="V29" s="701" t="s">
        <v>14</v>
      </c>
      <c r="W29" s="702">
        <f t="shared" ref="W29:W47" si="14">J29</f>
        <v>100</v>
      </c>
      <c r="X29" s="1351"/>
      <c r="Y29" s="3735"/>
      <c r="Z29" s="1352">
        <f t="shared" ref="Z29:Z47" si="15">Q29</f>
        <v>111</v>
      </c>
      <c r="AA29" s="1349">
        <f t="shared" si="3"/>
        <v>1</v>
      </c>
      <c r="AB29" s="1349">
        <f t="shared" si="4"/>
        <v>1</v>
      </c>
      <c r="AC29" s="1958">
        <f t="shared" si="5"/>
        <v>1</v>
      </c>
    </row>
    <row r="30" spans="1:29" ht="15">
      <c r="A30" s="375"/>
      <c r="B30" s="1962">
        <v>111</v>
      </c>
      <c r="C30" s="1904"/>
      <c r="D30" s="382">
        <v>100</v>
      </c>
      <c r="E30" s="379"/>
      <c r="F30" s="382">
        <f>SUMIF(95:95,E30,96:96)-SUMIF(95:95,C30,96:96)+100</f>
        <v>100</v>
      </c>
      <c r="G30" s="1956"/>
      <c r="H30" s="382">
        <f>SUMIF(95:95,G30,96:96)-SUMIF(95:95,C30,96:96)+100</f>
        <v>100</v>
      </c>
      <c r="I30" s="379"/>
      <c r="J30" s="382">
        <f>SUMIF(95:95,I30,96:96)-SUMIF(95:95,C30,96:96)+100</f>
        <v>100</v>
      </c>
      <c r="K30" s="558"/>
      <c r="L30" s="2712"/>
      <c r="M30" s="2706"/>
      <c r="N30" s="2706"/>
      <c r="O30" s="2706"/>
      <c r="P30" s="3804"/>
      <c r="Q30" s="1348">
        <f t="shared" si="11"/>
        <v>111</v>
      </c>
      <c r="R30" s="701" t="s">
        <v>14</v>
      </c>
      <c r="S30" s="702">
        <f t="shared" si="12"/>
        <v>100</v>
      </c>
      <c r="T30" s="701" t="s">
        <v>14</v>
      </c>
      <c r="U30" s="702">
        <f t="shared" si="13"/>
        <v>100</v>
      </c>
      <c r="V30" s="701" t="s">
        <v>14</v>
      </c>
      <c r="W30" s="702">
        <f t="shared" si="14"/>
        <v>100</v>
      </c>
      <c r="X30" s="1351"/>
      <c r="Y30" s="3735"/>
      <c r="Z30" s="1352">
        <f t="shared" si="15"/>
        <v>111</v>
      </c>
      <c r="AA30" s="1349">
        <f t="shared" si="3"/>
        <v>1</v>
      </c>
      <c r="AB30" s="1349">
        <f t="shared" si="4"/>
        <v>1</v>
      </c>
      <c r="AC30" s="1958">
        <f t="shared" si="5"/>
        <v>1</v>
      </c>
    </row>
    <row r="31" spans="1:29" ht="15">
      <c r="A31" s="375"/>
      <c r="B31" s="1962">
        <v>111</v>
      </c>
      <c r="C31" s="1904"/>
      <c r="D31" s="382">
        <v>100</v>
      </c>
      <c r="E31" s="379"/>
      <c r="F31" s="382">
        <f>SUMIF(97:97,E31,98:98)-SUMIF(97:97,C31,98:98)+100</f>
        <v>100</v>
      </c>
      <c r="G31" s="1956"/>
      <c r="H31" s="382">
        <f>SUMIF(97:97,G31,98:98)-SUMIF(97:97,C31,98:98)+100</f>
        <v>100</v>
      </c>
      <c r="I31" s="379"/>
      <c r="J31" s="382">
        <f>SUMIF(97:97,I31,98:98)-SUMIF(97:97,C31,98:98)+100</f>
        <v>100</v>
      </c>
      <c r="K31" s="558"/>
      <c r="L31" s="2712"/>
      <c r="M31" s="2706"/>
      <c r="N31" s="2706"/>
      <c r="O31" s="2706"/>
      <c r="P31" s="3804"/>
      <c r="Q31" s="1348">
        <f t="shared" si="11"/>
        <v>111</v>
      </c>
      <c r="R31" s="701" t="s">
        <v>14</v>
      </c>
      <c r="S31" s="702">
        <f t="shared" si="12"/>
        <v>100</v>
      </c>
      <c r="T31" s="701" t="s">
        <v>14</v>
      </c>
      <c r="U31" s="702">
        <f t="shared" si="13"/>
        <v>100</v>
      </c>
      <c r="V31" s="701" t="s">
        <v>14</v>
      </c>
      <c r="W31" s="702">
        <f t="shared" si="14"/>
        <v>100</v>
      </c>
      <c r="X31" s="1351"/>
      <c r="Y31" s="3735"/>
      <c r="Z31" s="1352">
        <f t="shared" si="15"/>
        <v>111</v>
      </c>
      <c r="AA31" s="1349">
        <f t="shared" si="3"/>
        <v>1</v>
      </c>
      <c r="AB31" s="1349">
        <f t="shared" si="4"/>
        <v>1</v>
      </c>
      <c r="AC31" s="1958">
        <f t="shared" si="5"/>
        <v>1</v>
      </c>
    </row>
    <row r="32" spans="1:29" ht="15.75" thickBot="1">
      <c r="A32" s="383"/>
      <c r="B32" s="579">
        <v>111</v>
      </c>
      <c r="C32" s="1905"/>
      <c r="D32" s="385">
        <v>100</v>
      </c>
      <c r="E32" s="572"/>
      <c r="F32" s="385">
        <f>SUMIF(99:99,E32,100:100)-SUMIF(99:99,C32,100:100)+100</f>
        <v>100</v>
      </c>
      <c r="G32" s="1956"/>
      <c r="H32" s="385">
        <f>SUMIF(99:99,G32,100:100)-SUMIF(99:99,C32,100:100)+100</f>
        <v>100</v>
      </c>
      <c r="I32" s="379"/>
      <c r="J32" s="385">
        <f>SUMIF(99:99,I32,100:100)-SUMIF(99:99,C32,100:100)+100</f>
        <v>100</v>
      </c>
      <c r="K32" s="558"/>
      <c r="L32" s="2712"/>
      <c r="M32" s="2706"/>
      <c r="N32" s="2706"/>
      <c r="O32" s="2706"/>
      <c r="P32" s="3804"/>
      <c r="Q32" s="1348">
        <f t="shared" si="11"/>
        <v>111</v>
      </c>
      <c r="R32" s="701" t="s">
        <v>14</v>
      </c>
      <c r="S32" s="702">
        <f t="shared" si="12"/>
        <v>100</v>
      </c>
      <c r="T32" s="701" t="s">
        <v>14</v>
      </c>
      <c r="U32" s="702">
        <f t="shared" si="13"/>
        <v>100</v>
      </c>
      <c r="V32" s="701" t="s">
        <v>14</v>
      </c>
      <c r="W32" s="702">
        <f t="shared" si="14"/>
        <v>100</v>
      </c>
      <c r="X32" s="1351"/>
      <c r="Y32" s="3735"/>
      <c r="Z32" s="1352">
        <f t="shared" si="15"/>
        <v>111</v>
      </c>
      <c r="AA32" s="1349">
        <f t="shared" si="3"/>
        <v>1</v>
      </c>
      <c r="AB32" s="1349">
        <f t="shared" si="4"/>
        <v>1</v>
      </c>
      <c r="AC32" s="1958">
        <f t="shared" si="5"/>
        <v>1</v>
      </c>
    </row>
    <row r="33" spans="1:29" ht="15">
      <c r="A33" s="387" t="s">
        <v>1694</v>
      </c>
      <c r="B33" s="63" t="s">
        <v>1817</v>
      </c>
      <c r="C33" s="1963"/>
      <c r="D33" s="414">
        <v>100</v>
      </c>
      <c r="E33" s="1963"/>
      <c r="F33" s="408">
        <f>SUMIF(101:101,E33,102:102)-SUMIF(101:101,C33,102:102)+100</f>
        <v>100</v>
      </c>
      <c r="G33" s="1963"/>
      <c r="H33" s="382">
        <f>SUMIF(101:101,G33,102:102)-SUMIF(101:101,C33,102:102)+100</f>
        <v>100</v>
      </c>
      <c r="I33" s="1963"/>
      <c r="J33" s="414">
        <f>SUMIF(101:101,I33,102:102)-SUMIF(101:101,C33,102:102)+100</f>
        <v>100</v>
      </c>
      <c r="K33" s="557"/>
      <c r="L33" s="2712"/>
      <c r="M33" s="2706"/>
      <c r="N33" s="2706"/>
      <c r="O33" s="2706"/>
      <c r="P33" s="3799" t="s">
        <v>1696</v>
      </c>
      <c r="Q33" s="1348" t="str">
        <f t="shared" si="11"/>
        <v>建筑类型</v>
      </c>
      <c r="R33" s="701" t="s">
        <v>14</v>
      </c>
      <c r="S33" s="702">
        <f t="shared" si="12"/>
        <v>100</v>
      </c>
      <c r="T33" s="701" t="s">
        <v>14</v>
      </c>
      <c r="U33" s="702">
        <f t="shared" si="13"/>
        <v>100</v>
      </c>
      <c r="V33" s="701" t="s">
        <v>14</v>
      </c>
      <c r="W33" s="702">
        <f t="shared" si="14"/>
        <v>100</v>
      </c>
      <c r="X33" s="1351"/>
      <c r="Y33" s="3737" t="s">
        <v>1696</v>
      </c>
      <c r="Z33" s="1352" t="str">
        <f t="shared" si="15"/>
        <v>建筑类型</v>
      </c>
      <c r="AA33" s="1349">
        <f t="shared" si="3"/>
        <v>1</v>
      </c>
      <c r="AB33" s="1349">
        <f t="shared" si="4"/>
        <v>1</v>
      </c>
      <c r="AC33" s="1958">
        <f t="shared" si="5"/>
        <v>1</v>
      </c>
    </row>
    <row r="34" spans="1:29" s="418" customFormat="1" ht="15">
      <c r="A34" s="415"/>
      <c r="B34" s="371" t="s">
        <v>1697</v>
      </c>
      <c r="C34" s="416"/>
      <c r="D34" s="123">
        <v>100</v>
      </c>
      <c r="E34" s="377"/>
      <c r="F34" s="372" t="e">
        <f>LOOKUP(E34,104:104,105:105)-LOOKUP(C34,104:104,105:105)+100</f>
        <v>#N/A</v>
      </c>
      <c r="G34" s="376"/>
      <c r="H34" s="123" t="e">
        <f>LOOKUP(G34,104:104,105:105)-LOOKUP(C34,104:104,105:105)+100</f>
        <v>#N/A</v>
      </c>
      <c r="I34" s="376"/>
      <c r="J34" s="123" t="e">
        <f>LOOKUP(I34,104:104,105:105)-LOOKUP(C34,104:104,105:105)+100</f>
        <v>#N/A</v>
      </c>
      <c r="K34" s="558"/>
      <c r="L34" s="2711"/>
      <c r="M34" s="2713"/>
      <c r="N34" s="2713"/>
      <c r="O34" s="2713"/>
      <c r="P34" s="3800"/>
      <c r="Q34" s="703" t="str">
        <f t="shared" si="11"/>
        <v>项目建筑规模</v>
      </c>
      <c r="R34" s="704" t="s">
        <v>14</v>
      </c>
      <c r="S34" s="705" t="e">
        <f t="shared" si="12"/>
        <v>#N/A</v>
      </c>
      <c r="T34" s="704" t="s">
        <v>14</v>
      </c>
      <c r="U34" s="705" t="e">
        <f t="shared" si="13"/>
        <v>#N/A</v>
      </c>
      <c r="V34" s="704" t="s">
        <v>14</v>
      </c>
      <c r="W34" s="705" t="e">
        <f t="shared" si="14"/>
        <v>#N/A</v>
      </c>
      <c r="X34" s="706"/>
      <c r="Y34" s="3737"/>
      <c r="Z34" s="707" t="str">
        <f t="shared" si="15"/>
        <v>项目建筑规模</v>
      </c>
      <c r="AA34" s="1349" t="e">
        <f t="shared" si="3"/>
        <v>#N/A</v>
      </c>
      <c r="AB34" s="1349" t="e">
        <f t="shared" si="4"/>
        <v>#N/A</v>
      </c>
      <c r="AC34" s="1958" t="e">
        <f t="shared" si="5"/>
        <v>#N/A</v>
      </c>
    </row>
    <row r="35" spans="1:29" ht="15">
      <c r="A35" s="419"/>
      <c r="B35" s="371" t="s">
        <v>1698</v>
      </c>
      <c r="C35" s="407"/>
      <c r="D35" s="382">
        <v>100</v>
      </c>
      <c r="E35" s="407"/>
      <c r="F35" s="408">
        <f>SUMIF(106:106,E35,107:107)-SUMIF(106:106,C35,107:107)+100</f>
        <v>100</v>
      </c>
      <c r="G35" s="407"/>
      <c r="H35" s="382">
        <f>SUMIF(106:106,G35,107:107)-SUMIF(106:106,C35,107:107)+100</f>
        <v>100</v>
      </c>
      <c r="I35" s="407"/>
      <c r="J35" s="382">
        <f>SUMIF(106:106,I35,107:107)-SUMIF(106:106,C35,107:107)+100</f>
        <v>100</v>
      </c>
      <c r="K35" s="557"/>
      <c r="L35" s="2712"/>
      <c r="M35" s="2706"/>
      <c r="N35" s="2706"/>
      <c r="O35" s="2706"/>
      <c r="P35" s="3800"/>
      <c r="Q35" s="1348" t="str">
        <f t="shared" si="11"/>
        <v>建筑结构</v>
      </c>
      <c r="R35" s="701" t="s">
        <v>14</v>
      </c>
      <c r="S35" s="702">
        <f t="shared" si="12"/>
        <v>100</v>
      </c>
      <c r="T35" s="701" t="s">
        <v>14</v>
      </c>
      <c r="U35" s="702">
        <f t="shared" si="13"/>
        <v>100</v>
      </c>
      <c r="V35" s="701" t="s">
        <v>14</v>
      </c>
      <c r="W35" s="702">
        <f t="shared" si="14"/>
        <v>100</v>
      </c>
      <c r="X35" s="1351"/>
      <c r="Y35" s="3737"/>
      <c r="Z35" s="1352" t="str">
        <f t="shared" si="15"/>
        <v>建筑结构</v>
      </c>
      <c r="AA35" s="1349">
        <f t="shared" si="3"/>
        <v>1</v>
      </c>
      <c r="AB35" s="1349">
        <f t="shared" si="4"/>
        <v>1</v>
      </c>
      <c r="AC35" s="1958">
        <f t="shared" si="5"/>
        <v>1</v>
      </c>
    </row>
    <row r="36" spans="1:29" ht="15">
      <c r="A36" s="419"/>
      <c r="B36" s="371" t="s">
        <v>1785</v>
      </c>
      <c r="C36" s="407"/>
      <c r="D36" s="382">
        <v>100</v>
      </c>
      <c r="E36" s="407"/>
      <c r="F36" s="408">
        <f>SUMIF(108:108,E36,109:109)-SUMIF(108:108,C36,109:109)+100</f>
        <v>100</v>
      </c>
      <c r="G36" s="407"/>
      <c r="H36" s="382">
        <f>SUMIF(108:108,G36,109:109)-SUMIF(108:108,C36,109:109)+100</f>
        <v>100</v>
      </c>
      <c r="I36" s="407"/>
      <c r="J36" s="382">
        <f>SUMIF(108:108,I36,109:109)-SUMIF(108:108,C36,109:109)+100</f>
        <v>100</v>
      </c>
      <c r="K36" s="557"/>
      <c r="L36" s="2712"/>
      <c r="M36" s="2706"/>
      <c r="N36" s="2706"/>
      <c r="O36" s="2706"/>
      <c r="P36" s="3800"/>
      <c r="Q36" s="1348" t="str">
        <f t="shared" si="11"/>
        <v>公共部分装修</v>
      </c>
      <c r="R36" s="701" t="s">
        <v>14</v>
      </c>
      <c r="S36" s="702">
        <f t="shared" si="12"/>
        <v>100</v>
      </c>
      <c r="T36" s="701" t="s">
        <v>14</v>
      </c>
      <c r="U36" s="702">
        <f t="shared" si="13"/>
        <v>100</v>
      </c>
      <c r="V36" s="701" t="s">
        <v>14</v>
      </c>
      <c r="W36" s="702">
        <f t="shared" si="14"/>
        <v>100</v>
      </c>
      <c r="X36" s="1351"/>
      <c r="Y36" s="3737"/>
      <c r="Z36" s="1352" t="str">
        <f t="shared" si="15"/>
        <v>公共部分装修</v>
      </c>
      <c r="AA36" s="1349">
        <f t="shared" si="3"/>
        <v>1</v>
      </c>
      <c r="AB36" s="1349">
        <f t="shared" si="4"/>
        <v>1</v>
      </c>
      <c r="AC36" s="1958">
        <f t="shared" si="5"/>
        <v>1</v>
      </c>
    </row>
    <row r="37" spans="1:29" ht="15">
      <c r="A37" s="419"/>
      <c r="B37" s="371" t="s">
        <v>1786</v>
      </c>
      <c r="C37" s="421"/>
      <c r="D37" s="382">
        <v>100</v>
      </c>
      <c r="E37" s="421"/>
      <c r="F37" s="408" t="e">
        <f>LOOKUP(E37,111:111,112:112)-LOOKUP(C37,111:111,112:112)+100</f>
        <v>#N/A</v>
      </c>
      <c r="G37" s="421"/>
      <c r="H37" s="408" t="e">
        <f>LOOKUP(G37,111:111,112:112)-LOOKUP(C37,111:111,112:112)+100</f>
        <v>#N/A</v>
      </c>
      <c r="I37" s="421"/>
      <c r="J37" s="382" t="e">
        <f>LOOKUP(I37,111:111,112:112)-LOOKUP(C37,111:111,112:112)+100</f>
        <v>#N/A</v>
      </c>
      <c r="K37" s="557"/>
      <c r="L37" s="2712"/>
      <c r="M37" s="2706"/>
      <c r="N37" s="2706"/>
      <c r="O37" s="2706"/>
      <c r="P37" s="3800"/>
      <c r="Q37" s="1348" t="str">
        <f t="shared" si="11"/>
        <v>成新度</v>
      </c>
      <c r="R37" s="701" t="s">
        <v>14</v>
      </c>
      <c r="S37" s="702" t="e">
        <f t="shared" si="12"/>
        <v>#N/A</v>
      </c>
      <c r="T37" s="701" t="s">
        <v>14</v>
      </c>
      <c r="U37" s="702" t="e">
        <f t="shared" si="13"/>
        <v>#N/A</v>
      </c>
      <c r="V37" s="701" t="s">
        <v>14</v>
      </c>
      <c r="W37" s="702" t="e">
        <f t="shared" si="14"/>
        <v>#N/A</v>
      </c>
      <c r="X37" s="1351"/>
      <c r="Y37" s="3737"/>
      <c r="Z37" s="1352" t="str">
        <f t="shared" si="15"/>
        <v>成新度</v>
      </c>
      <c r="AA37" s="1349" t="e">
        <f t="shared" si="3"/>
        <v>#N/A</v>
      </c>
      <c r="AB37" s="1349" t="e">
        <f t="shared" si="4"/>
        <v>#N/A</v>
      </c>
      <c r="AC37" s="1958" t="e">
        <f t="shared" si="5"/>
        <v>#N/A</v>
      </c>
    </row>
    <row r="38" spans="1:29" s="106" customFormat="1" ht="15">
      <c r="A38" s="420"/>
      <c r="B38" s="371" t="s">
        <v>1818</v>
      </c>
      <c r="C38" s="407"/>
      <c r="D38" s="123">
        <v>100</v>
      </c>
      <c r="E38" s="407"/>
      <c r="F38" s="408">
        <f>SUMIF(113:113,E38,114:114)-SUMIF(113:113,C38,114:114)+100</f>
        <v>100</v>
      </c>
      <c r="G38" s="407"/>
      <c r="H38" s="382">
        <f>SUMIF(113:113,G38,114:114)-SUMIF(113:113,C38,114:114)+100</f>
        <v>100</v>
      </c>
      <c r="I38" s="407"/>
      <c r="J38" s="382">
        <f>SUMIF(113:113,I38,114:114)-SUMIF(113:113,C38,114:114)+100</f>
        <v>100</v>
      </c>
      <c r="K38" s="557"/>
      <c r="L38" s="2707"/>
      <c r="M38" s="2708"/>
      <c r="N38" s="2708"/>
      <c r="O38" s="2708"/>
      <c r="P38" s="3800"/>
      <c r="Q38" s="1339" t="str">
        <f t="shared" si="11"/>
        <v>写字楼等级</v>
      </c>
      <c r="R38" s="697" t="s">
        <v>14</v>
      </c>
      <c r="S38" s="698">
        <f t="shared" si="12"/>
        <v>100</v>
      </c>
      <c r="T38" s="697" t="s">
        <v>14</v>
      </c>
      <c r="U38" s="698">
        <f t="shared" si="13"/>
        <v>100</v>
      </c>
      <c r="V38" s="697" t="s">
        <v>14</v>
      </c>
      <c r="W38" s="698">
        <f t="shared" si="14"/>
        <v>100</v>
      </c>
      <c r="X38" s="699"/>
      <c r="Y38" s="3737"/>
      <c r="Z38" s="52" t="str">
        <f t="shared" si="15"/>
        <v>写字楼等级</v>
      </c>
      <c r="AA38" s="700">
        <f t="shared" si="3"/>
        <v>1</v>
      </c>
      <c r="AB38" s="700">
        <f t="shared" si="4"/>
        <v>1</v>
      </c>
      <c r="AC38" s="1955">
        <f t="shared" si="5"/>
        <v>1</v>
      </c>
    </row>
    <row r="39" spans="1:29" ht="15">
      <c r="A39" s="419"/>
      <c r="B39" s="371" t="s">
        <v>1819</v>
      </c>
      <c r="C39" s="407"/>
      <c r="D39" s="382">
        <v>100</v>
      </c>
      <c r="E39" s="407"/>
      <c r="F39" s="408">
        <f>SUMIF(115:115,E39,116:116)-SUMIF(115:115,C39,116:116)+100</f>
        <v>100</v>
      </c>
      <c r="G39" s="407"/>
      <c r="H39" s="382">
        <f>SUMIF(115:115,G39,116:116)-SUMIF(115:115,C39,116:116)+100</f>
        <v>100</v>
      </c>
      <c r="I39" s="407"/>
      <c r="J39" s="382">
        <f>SUMIF(115:115,I39,116:116)-SUMIF(115:115,C39,116:116)+100</f>
        <v>100</v>
      </c>
      <c r="K39" s="557"/>
      <c r="L39" s="2712"/>
      <c r="M39" s="2706"/>
      <c r="N39" s="2706"/>
      <c r="O39" s="2706"/>
      <c r="P39" s="3800" t="s">
        <v>1696</v>
      </c>
      <c r="Q39" s="1348" t="str">
        <f t="shared" si="11"/>
        <v>物业管理</v>
      </c>
      <c r="R39" s="701" t="s">
        <v>14</v>
      </c>
      <c r="S39" s="702">
        <f t="shared" si="12"/>
        <v>100</v>
      </c>
      <c r="T39" s="701" t="s">
        <v>14</v>
      </c>
      <c r="U39" s="702">
        <f t="shared" si="13"/>
        <v>100</v>
      </c>
      <c r="V39" s="701" t="s">
        <v>14</v>
      </c>
      <c r="W39" s="702">
        <f t="shared" si="14"/>
        <v>100</v>
      </c>
      <c r="X39" s="1351"/>
      <c r="Y39" s="3737" t="s">
        <v>1696</v>
      </c>
      <c r="Z39" s="1352" t="str">
        <f t="shared" si="15"/>
        <v>物业管理</v>
      </c>
      <c r="AA39" s="1349">
        <f t="shared" si="3"/>
        <v>1</v>
      </c>
      <c r="AB39" s="1349">
        <f t="shared" si="4"/>
        <v>1</v>
      </c>
      <c r="AC39" s="1958">
        <f t="shared" si="5"/>
        <v>1</v>
      </c>
    </row>
    <row r="40" spans="1:29" ht="15">
      <c r="A40" s="419"/>
      <c r="B40" s="371" t="s">
        <v>1787</v>
      </c>
      <c r="C40" s="407"/>
      <c r="D40" s="382">
        <v>100</v>
      </c>
      <c r="E40" s="407"/>
      <c r="F40" s="408">
        <f>SUMIF(117:117,E40,118:118)-SUMIF(117:117,C40,118:118)+100</f>
        <v>100</v>
      </c>
      <c r="G40" s="407"/>
      <c r="H40" s="382">
        <f>SUMIF(117:117,G40,118:118)-SUMIF(117:117,C40,118:118)+100</f>
        <v>100</v>
      </c>
      <c r="I40" s="407"/>
      <c r="J40" s="382">
        <f>SUMIF(117:117,I40,118:118)-SUMIF(117:117,C40,118:118)+100</f>
        <v>100</v>
      </c>
      <c r="K40" s="557"/>
      <c r="L40" s="2712"/>
      <c r="M40" s="2706"/>
      <c r="N40" s="2706"/>
      <c r="O40" s="2706"/>
      <c r="P40" s="3800"/>
      <c r="Q40" s="1348" t="str">
        <f t="shared" si="11"/>
        <v>市政基础设施</v>
      </c>
      <c r="R40" s="701" t="s">
        <v>14</v>
      </c>
      <c r="S40" s="702">
        <f t="shared" si="12"/>
        <v>100</v>
      </c>
      <c r="T40" s="701" t="s">
        <v>14</v>
      </c>
      <c r="U40" s="702">
        <f t="shared" si="13"/>
        <v>100</v>
      </c>
      <c r="V40" s="701" t="s">
        <v>14</v>
      </c>
      <c r="W40" s="702">
        <f t="shared" si="14"/>
        <v>100</v>
      </c>
      <c r="X40" s="1351"/>
      <c r="Y40" s="3737"/>
      <c r="Z40" s="1352" t="str">
        <f t="shared" si="15"/>
        <v>市政基础设施</v>
      </c>
      <c r="AA40" s="1349">
        <f t="shared" si="3"/>
        <v>1</v>
      </c>
      <c r="AB40" s="1349">
        <f t="shared" si="4"/>
        <v>1</v>
      </c>
      <c r="AC40" s="1958">
        <f t="shared" si="5"/>
        <v>1</v>
      </c>
    </row>
    <row r="41" spans="1:29" ht="15">
      <c r="A41" s="419"/>
      <c r="B41" s="371" t="s">
        <v>1789</v>
      </c>
      <c r="C41" s="561"/>
      <c r="D41" s="382">
        <v>100</v>
      </c>
      <c r="E41" s="561"/>
      <c r="F41" s="408">
        <f>SUMIF(119:119,E41,120:120)-SUMIF(119:119,C41,120:120)+100</f>
        <v>100</v>
      </c>
      <c r="G41" s="561"/>
      <c r="H41" s="382">
        <f>SUMIF(119:119,G41,120:120)-SUMIF(119:119,C41,120:120)+100</f>
        <v>100</v>
      </c>
      <c r="I41" s="561"/>
      <c r="J41" s="382">
        <f>SUMIF(119:119,I41,120:120)-SUMIF(119:119,C41,120:120)+100</f>
        <v>100</v>
      </c>
      <c r="K41" s="557"/>
      <c r="L41" s="2712"/>
      <c r="M41" s="2706"/>
      <c r="N41" s="2706"/>
      <c r="O41" s="2706"/>
      <c r="P41" s="3800"/>
      <c r="Q41" s="1348" t="str">
        <f t="shared" si="11"/>
        <v>层高</v>
      </c>
      <c r="R41" s="701" t="s">
        <v>14</v>
      </c>
      <c r="S41" s="702">
        <f t="shared" si="12"/>
        <v>100</v>
      </c>
      <c r="T41" s="701" t="s">
        <v>14</v>
      </c>
      <c r="U41" s="702">
        <f t="shared" si="13"/>
        <v>100</v>
      </c>
      <c r="V41" s="701" t="s">
        <v>14</v>
      </c>
      <c r="W41" s="702">
        <f t="shared" si="14"/>
        <v>100</v>
      </c>
      <c r="X41" s="1351"/>
      <c r="Y41" s="3737"/>
      <c r="Z41" s="1352" t="str">
        <f t="shared" si="15"/>
        <v>层高</v>
      </c>
      <c r="AA41" s="1349">
        <f t="shared" si="3"/>
        <v>1</v>
      </c>
      <c r="AB41" s="1349">
        <f t="shared" si="4"/>
        <v>1</v>
      </c>
      <c r="AC41" s="1958">
        <f t="shared" si="5"/>
        <v>1</v>
      </c>
    </row>
    <row r="42" spans="1:29" s="418" customFormat="1" ht="15">
      <c r="A42" s="415"/>
      <c r="B42" s="1350" t="s">
        <v>1820</v>
      </c>
      <c r="C42" s="381"/>
      <c r="D42" s="382">
        <v>100</v>
      </c>
      <c r="E42" s="381"/>
      <c r="F42" s="408">
        <f>SUMIF(121:121,E42,122:122)-SUMIF(121:121,C42,122:122)+100</f>
        <v>100</v>
      </c>
      <c r="G42" s="381"/>
      <c r="H42" s="382">
        <f>SUMIF(121:121,G42,122:122)-SUMIF(121:121,C42,122:122)+100</f>
        <v>100</v>
      </c>
      <c r="I42" s="381"/>
      <c r="J42" s="382">
        <f>SUMIF(121:121,I42,122:122)-SUMIF(121:121,C42,122:122)+100</f>
        <v>100</v>
      </c>
      <c r="K42" s="558"/>
      <c r="L42" s="2711"/>
      <c r="M42" s="2713"/>
      <c r="N42" s="2713"/>
      <c r="O42" s="2713"/>
      <c r="P42" s="3800"/>
      <c r="Q42" s="703" t="str">
        <f t="shared" si="11"/>
        <v>单套建筑面积</v>
      </c>
      <c r="R42" s="704" t="s">
        <v>14</v>
      </c>
      <c r="S42" s="705">
        <f t="shared" si="12"/>
        <v>100</v>
      </c>
      <c r="T42" s="704" t="s">
        <v>14</v>
      </c>
      <c r="U42" s="705">
        <f t="shared" si="13"/>
        <v>100</v>
      </c>
      <c r="V42" s="704" t="s">
        <v>14</v>
      </c>
      <c r="W42" s="705">
        <f t="shared" si="14"/>
        <v>100</v>
      </c>
      <c r="X42" s="706"/>
      <c r="Y42" s="3737"/>
      <c r="Z42" s="707" t="str">
        <f t="shared" si="15"/>
        <v>单套建筑面积</v>
      </c>
      <c r="AA42" s="1349">
        <f t="shared" si="3"/>
        <v>1</v>
      </c>
      <c r="AB42" s="1349">
        <f t="shared" si="4"/>
        <v>1</v>
      </c>
      <c r="AC42" s="1958">
        <f t="shared" si="5"/>
        <v>1</v>
      </c>
    </row>
    <row r="43" spans="1:29" ht="15">
      <c r="A43" s="419"/>
      <c r="B43" s="371" t="s">
        <v>1792</v>
      </c>
      <c r="C43" s="407"/>
      <c r="D43" s="382">
        <v>100</v>
      </c>
      <c r="E43" s="407"/>
      <c r="F43" s="408">
        <f>SUMIF(123:123,E43,124:124)-SUMIF(123:123,C43,124:124)+100</f>
        <v>100</v>
      </c>
      <c r="G43" s="407"/>
      <c r="H43" s="382">
        <f>SUMIF(123:123,G43,124:124)-SUMIF(123:123,C43,124:124)+100</f>
        <v>100</v>
      </c>
      <c r="I43" s="407"/>
      <c r="J43" s="382">
        <f>SUMIF(123:123,I43,124:124)-SUMIF(123:123,C43,124:124)+100</f>
        <v>100</v>
      </c>
      <c r="K43" s="557"/>
      <c r="L43" s="2712"/>
      <c r="M43" s="2706"/>
      <c r="N43" s="2706"/>
      <c r="O43" s="2706"/>
      <c r="P43" s="3800"/>
      <c r="Q43" s="1348" t="str">
        <f t="shared" si="11"/>
        <v>内部装修</v>
      </c>
      <c r="R43" s="701" t="s">
        <v>14</v>
      </c>
      <c r="S43" s="702">
        <f t="shared" si="12"/>
        <v>100</v>
      </c>
      <c r="T43" s="701" t="s">
        <v>14</v>
      </c>
      <c r="U43" s="702">
        <f t="shared" si="13"/>
        <v>100</v>
      </c>
      <c r="V43" s="701" t="s">
        <v>14</v>
      </c>
      <c r="W43" s="702">
        <f t="shared" si="14"/>
        <v>100</v>
      </c>
      <c r="X43" s="1351"/>
      <c r="Y43" s="3737"/>
      <c r="Z43" s="1352" t="str">
        <f t="shared" si="15"/>
        <v>内部装修</v>
      </c>
      <c r="AA43" s="1349">
        <f t="shared" si="3"/>
        <v>1</v>
      </c>
      <c r="AB43" s="1349">
        <f t="shared" si="4"/>
        <v>1</v>
      </c>
      <c r="AC43" s="1958">
        <f t="shared" si="5"/>
        <v>1</v>
      </c>
    </row>
    <row r="44" spans="1:29" ht="15">
      <c r="A44" s="419"/>
      <c r="B44" s="371" t="s">
        <v>1707</v>
      </c>
      <c r="C44" s="407"/>
      <c r="D44" s="382">
        <v>100</v>
      </c>
      <c r="E44" s="1902"/>
      <c r="F44" s="408">
        <f>SUMIF(125:125,E44,126:126)-SUMIF(125:125,C44,126:126)+100</f>
        <v>100</v>
      </c>
      <c r="G44" s="1902"/>
      <c r="H44" s="382">
        <f>SUMIF(125:125,G44,126:126)-SUMIF(125:125,C44,126:126)+100</f>
        <v>100</v>
      </c>
      <c r="I44" s="1902"/>
      <c r="J44" s="382">
        <f>SUMIF(125:125,I44,126:126)-SUMIF(125:125,C44,126:126)+100</f>
        <v>100</v>
      </c>
      <c r="K44" s="557"/>
      <c r="L44" s="2712"/>
      <c r="M44" s="2706"/>
      <c r="N44" s="2706"/>
      <c r="O44" s="2706"/>
      <c r="P44" s="3800"/>
      <c r="Q44" s="1348" t="str">
        <f t="shared" si="11"/>
        <v>内部装修维护情况</v>
      </c>
      <c r="R44" s="701" t="s">
        <v>14</v>
      </c>
      <c r="S44" s="702">
        <f t="shared" si="12"/>
        <v>100</v>
      </c>
      <c r="T44" s="701" t="s">
        <v>14</v>
      </c>
      <c r="U44" s="702">
        <f t="shared" si="13"/>
        <v>100</v>
      </c>
      <c r="V44" s="701" t="s">
        <v>14</v>
      </c>
      <c r="W44" s="702">
        <f t="shared" si="14"/>
        <v>100</v>
      </c>
      <c r="X44" s="1351"/>
      <c r="Y44" s="3737"/>
      <c r="Z44" s="1352" t="str">
        <f t="shared" si="15"/>
        <v>内部装修维护情况</v>
      </c>
      <c r="AA44" s="1349">
        <f t="shared" si="3"/>
        <v>1</v>
      </c>
      <c r="AB44" s="1349">
        <f t="shared" si="4"/>
        <v>1</v>
      </c>
      <c r="AC44" s="1958">
        <f t="shared" si="5"/>
        <v>1</v>
      </c>
    </row>
    <row r="45" spans="1:29" s="106" customFormat="1" ht="15">
      <c r="A45" s="420"/>
      <c r="B45" s="1129">
        <v>111</v>
      </c>
      <c r="C45" s="416"/>
      <c r="D45" s="123">
        <v>100</v>
      </c>
      <c r="E45" s="379"/>
      <c r="F45" s="372">
        <f>SUMIF(127:127,E45,128:128)-SUMIF(127:127,C45,128:128)+100</f>
        <v>100</v>
      </c>
      <c r="G45" s="379"/>
      <c r="H45" s="123">
        <f>SUMIF(127:127,G45,128:128)-SUMIF(127:127,C45,128:128)+100</f>
        <v>100</v>
      </c>
      <c r="I45" s="379"/>
      <c r="J45" s="123">
        <f>SUMIF(127:127,I45,128:128)-SUMIF(127:127,C45,128:128)+100</f>
        <v>100</v>
      </c>
      <c r="K45" s="558"/>
      <c r="L45" s="2707"/>
      <c r="M45" s="2708"/>
      <c r="N45" s="2708"/>
      <c r="O45" s="2708"/>
      <c r="P45" s="3800"/>
      <c r="Q45" s="1339">
        <f t="shared" si="11"/>
        <v>111</v>
      </c>
      <c r="R45" s="697" t="s">
        <v>14</v>
      </c>
      <c r="S45" s="698">
        <f t="shared" si="12"/>
        <v>100</v>
      </c>
      <c r="T45" s="697" t="s">
        <v>14</v>
      </c>
      <c r="U45" s="698">
        <f t="shared" si="13"/>
        <v>100</v>
      </c>
      <c r="V45" s="697" t="s">
        <v>14</v>
      </c>
      <c r="W45" s="698">
        <f t="shared" si="14"/>
        <v>100</v>
      </c>
      <c r="X45" s="699"/>
      <c r="Y45" s="3737"/>
      <c r="Z45" s="52">
        <f t="shared" si="15"/>
        <v>111</v>
      </c>
      <c r="AA45" s="700">
        <f t="shared" si="3"/>
        <v>1</v>
      </c>
      <c r="AB45" s="700">
        <f t="shared" si="4"/>
        <v>1</v>
      </c>
      <c r="AC45" s="1955">
        <f t="shared" si="5"/>
        <v>1</v>
      </c>
    </row>
    <row r="46" spans="1:29" ht="15">
      <c r="A46" s="419"/>
      <c r="B46" s="1129">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58"/>
      <c r="L46" s="2712"/>
      <c r="M46" s="2706"/>
      <c r="N46" s="2706"/>
      <c r="O46" s="2706"/>
      <c r="P46" s="3800"/>
      <c r="Q46" s="1348">
        <f t="shared" si="11"/>
        <v>111</v>
      </c>
      <c r="R46" s="701" t="s">
        <v>14</v>
      </c>
      <c r="S46" s="702">
        <f t="shared" si="12"/>
        <v>100</v>
      </c>
      <c r="T46" s="701" t="s">
        <v>14</v>
      </c>
      <c r="U46" s="702">
        <f t="shared" si="13"/>
        <v>100</v>
      </c>
      <c r="V46" s="701" t="s">
        <v>14</v>
      </c>
      <c r="W46" s="702">
        <f t="shared" si="14"/>
        <v>100</v>
      </c>
      <c r="X46" s="1351"/>
      <c r="Y46" s="3737"/>
      <c r="Z46" s="1352">
        <f t="shared" si="15"/>
        <v>111</v>
      </c>
      <c r="AA46" s="1349">
        <f t="shared" si="3"/>
        <v>1</v>
      </c>
      <c r="AB46" s="1349">
        <f t="shared" si="4"/>
        <v>1</v>
      </c>
      <c r="AC46" s="1958">
        <f t="shared" si="5"/>
        <v>1</v>
      </c>
    </row>
    <row r="47" spans="1:29" ht="15.75" thickBot="1">
      <c r="A47" s="425"/>
      <c r="B47" s="1891">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58"/>
      <c r="L47" s="2712"/>
      <c r="M47" s="2706"/>
      <c r="N47" s="2706"/>
      <c r="O47" s="2706"/>
      <c r="P47" s="3801"/>
      <c r="Q47" s="1348">
        <f t="shared" si="11"/>
        <v>111</v>
      </c>
      <c r="R47" s="701" t="s">
        <v>14</v>
      </c>
      <c r="S47" s="702">
        <f t="shared" si="12"/>
        <v>100</v>
      </c>
      <c r="T47" s="701" t="s">
        <v>14</v>
      </c>
      <c r="U47" s="702">
        <f t="shared" si="13"/>
        <v>100</v>
      </c>
      <c r="V47" s="701" t="s">
        <v>14</v>
      </c>
      <c r="W47" s="702">
        <f t="shared" si="14"/>
        <v>100</v>
      </c>
      <c r="X47" s="1351"/>
      <c r="Y47" s="3802"/>
      <c r="Z47" s="1352">
        <f t="shared" si="15"/>
        <v>111</v>
      </c>
      <c r="AA47" s="1349">
        <f t="shared" si="3"/>
        <v>1</v>
      </c>
      <c r="AB47" s="1349">
        <f t="shared" si="4"/>
        <v>1</v>
      </c>
      <c r="AC47" s="1958">
        <f t="shared" si="5"/>
        <v>1</v>
      </c>
    </row>
    <row r="48" spans="1:29" ht="15">
      <c r="A48" s="426" t="s">
        <v>1708</v>
      </c>
      <c r="B48" s="427"/>
      <c r="C48" s="1150" t="s">
        <v>0</v>
      </c>
      <c r="D48" s="1151"/>
      <c r="E48" s="1152"/>
      <c r="F48" s="1153"/>
      <c r="G48" s="1154"/>
      <c r="H48" s="1155"/>
      <c r="I48" s="1152"/>
      <c r="J48" s="432"/>
      <c r="K48" s="710"/>
      <c r="L48" s="2714"/>
      <c r="M48" s="2706"/>
      <c r="N48" s="2706"/>
      <c r="O48" s="2706"/>
      <c r="P48" s="3732" t="str">
        <f>A48</f>
        <v>成交单价（元/平方米）</v>
      </c>
      <c r="Q48" s="3733"/>
      <c r="R48" s="3798">
        <f>E48</f>
        <v>0</v>
      </c>
      <c r="S48" s="3798"/>
      <c r="T48" s="3798">
        <f>G48</f>
        <v>0</v>
      </c>
      <c r="U48" s="3798"/>
      <c r="V48" s="3798">
        <f>I48</f>
        <v>0</v>
      </c>
      <c r="W48" s="3798"/>
      <c r="X48" s="393"/>
      <c r="Y48" s="708"/>
      <c r="Z48" s="393"/>
      <c r="AA48" s="393"/>
      <c r="AB48" s="393"/>
      <c r="AC48" s="574"/>
    </row>
    <row r="49" spans="1:29" ht="15.75" thickBot="1">
      <c r="A49" s="433" t="s">
        <v>1793</v>
      </c>
      <c r="B49" s="434"/>
      <c r="C49" s="1156" t="e">
        <f>R50</f>
        <v>#DIV/0!</v>
      </c>
      <c r="D49" s="2313" t="s">
        <v>2138</v>
      </c>
      <c r="E49" s="1157" t="e">
        <f>R49</f>
        <v>#DIV/0!</v>
      </c>
      <c r="F49" s="2314"/>
      <c r="G49" s="1156" t="e">
        <f>T49</f>
        <v>#DIV/0!</v>
      </c>
      <c r="H49" s="2314"/>
      <c r="I49" s="1157" t="e">
        <f>V49</f>
        <v>#DIV/0!</v>
      </c>
      <c r="J49" s="2314"/>
      <c r="K49" s="2316">
        <f>F49+H49+J49</f>
        <v>0</v>
      </c>
      <c r="L49" s="2714"/>
      <c r="M49" s="2706"/>
      <c r="N49" s="2706"/>
      <c r="O49" s="2706"/>
      <c r="P49" s="3732" t="str">
        <f>A49</f>
        <v>比较价值（元/平方米）</v>
      </c>
      <c r="Q49" s="3733"/>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393"/>
      <c r="Y49" s="393"/>
      <c r="Z49" s="393"/>
      <c r="AA49" s="393"/>
      <c r="AB49" s="393"/>
      <c r="AC49" s="574"/>
    </row>
    <row r="50" spans="1:29" ht="15.75" thickBot="1">
      <c r="A50" s="437" t="s">
        <v>1794</v>
      </c>
      <c r="B50" s="438"/>
      <c r="C50" s="1159" t="e">
        <f>R50</f>
        <v>#DIV/0!</v>
      </c>
      <c r="D50" s="1159"/>
      <c r="E50" s="1159"/>
      <c r="F50" s="1159"/>
      <c r="G50" s="1159"/>
      <c r="H50" s="1159"/>
      <c r="I50" s="1159"/>
      <c r="J50" s="439"/>
      <c r="K50" s="711"/>
      <c r="L50" s="2714"/>
      <c r="M50" s="2706"/>
      <c r="N50" s="2706"/>
      <c r="O50" s="2706"/>
      <c r="P50" s="3805" t="str">
        <f>A50</f>
        <v>估价对象XX用房的比较价值（楼面单价，元/平方米）</v>
      </c>
      <c r="Q50" s="3806"/>
      <c r="R50" s="3807" t="e">
        <f>IF(F1="售价",ROUND(IF(D49="简单平均",AVERAGE(R49:V49),R49*F49+T49*H49+V49*J49),0),ROUND(IF(D49="简单平均",AVERAGE(R49:V49),R49*F49+T49*H49+V49*J49),1))</f>
        <v>#DIV/0!</v>
      </c>
      <c r="S50" s="3807"/>
      <c r="T50" s="3807"/>
      <c r="U50" s="3807"/>
      <c r="V50" s="3807"/>
      <c r="W50" s="3807"/>
      <c r="X50" s="1942"/>
      <c r="Y50" s="1942"/>
      <c r="Z50" s="1942"/>
      <c r="AA50" s="1942"/>
      <c r="AB50" s="1942"/>
      <c r="AC50" s="1943"/>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2" t="s">
        <v>1795</v>
      </c>
      <c r="D53" s="443"/>
      <c r="E53" s="444" t="e">
        <f>IF(E48&lt;E49,E49/E48-1,E48/E49-1)</f>
        <v>#DIV/0!</v>
      </c>
      <c r="F53" s="445" t="e">
        <f>IF(OR(E53&gt;=0.3,E53&lt;=-0.3),"超过30%","")</f>
        <v>#DIV/0!</v>
      </c>
      <c r="G53" s="444" t="e">
        <f>IF(G48&lt;G49,G49/G48-1,G48/G49-1)</f>
        <v>#DIV/0!</v>
      </c>
      <c r="H53" s="445" t="e">
        <f>IF(OR(G53&gt;=0.3,G53&lt;=-0.3),"超过30%","")</f>
        <v>#DIV/0!</v>
      </c>
      <c r="I53" s="444" t="e">
        <f>IF(I48&lt;I49,I49/I48-1,I48/I49-1)</f>
        <v>#DIV/0!</v>
      </c>
      <c r="J53" s="445"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2" t="s">
        <v>1796</v>
      </c>
      <c r="D54" s="446"/>
      <c r="E54" s="444" t="e">
        <f>IF(E49&lt;G49,G49/E49-1,E49/G49-1)</f>
        <v>#DIV/0!</v>
      </c>
      <c r="F54" s="445" t="e">
        <f>IF(OR(E54&gt;=0.2,E54&lt;=-0.2),"超过20%","")</f>
        <v>#DIV/0!</v>
      </c>
      <c r="G54" s="444" t="e">
        <f>IF(G49&lt;I49,I49/G49-1,G49/I49-1)</f>
        <v>#DIV/0!</v>
      </c>
      <c r="H54" s="445" t="e">
        <f>IF(OR(G54&gt;=0.2,G54&lt;=-0.2),"超过20%","")</f>
        <v>#DIV/0!</v>
      </c>
      <c r="I54" s="444" t="e">
        <f>IF(I49&lt;E49,E49/I49-1,I49/E49-1)</f>
        <v>#DIV/0!</v>
      </c>
      <c r="J54" s="445"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7" customFormat="1" ht="13.5" customHeight="1">
      <c r="A55" s="2718"/>
      <c r="B55" s="2718"/>
      <c r="C55" s="442" t="s">
        <v>1797</v>
      </c>
      <c r="D55" s="446"/>
      <c r="E55" s="444" t="e">
        <f>IF(E48&lt;G48,G48/E48-1,E48/G48-1)</f>
        <v>#DIV/0!</v>
      </c>
      <c r="F55" s="445" t="e">
        <f>IF(OR(E55&gt;=0.3,E55&lt;=-0.3),"超过30%","")</f>
        <v>#DIV/0!</v>
      </c>
      <c r="G55" s="444" t="e">
        <f>IF(G48&lt;I48,I48/G48-1,G48/I48-1)</f>
        <v>#DIV/0!</v>
      </c>
      <c r="H55" s="445" t="e">
        <f>IF(OR(G55&gt;=0.3,G55&lt;=-0.3),"超过30%","")</f>
        <v>#DIV/0!</v>
      </c>
      <c r="I55" s="444" t="e">
        <f>IF(I48&lt;E48,E48/I48-1,I48/E48-1)</f>
        <v>#DIV/0!</v>
      </c>
      <c r="J55" s="445"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7"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0" t="s">
        <v>1798</v>
      </c>
      <c r="B58" s="686"/>
      <c r="C58" s="691"/>
      <c r="D58" s="691"/>
      <c r="E58" s="691"/>
      <c r="F58" s="692"/>
      <c r="G58" s="692"/>
      <c r="H58" s="691"/>
      <c r="I58" s="691"/>
      <c r="J58" s="691"/>
      <c r="K58" s="693"/>
      <c r="L58" s="938"/>
      <c r="M58" s="936"/>
      <c r="N58" s="2759"/>
      <c r="O58" s="2759"/>
      <c r="P58" s="2748"/>
      <c r="Q58" s="2729"/>
      <c r="R58" s="2715"/>
      <c r="S58" s="2715"/>
      <c r="T58" s="2715"/>
      <c r="U58" s="2715"/>
      <c r="V58" s="2715"/>
      <c r="W58" s="2715"/>
      <c r="X58" s="2715"/>
      <c r="Y58" s="2715"/>
      <c r="Z58" s="2715"/>
      <c r="AA58" s="2715"/>
      <c r="AB58" s="2715"/>
      <c r="AC58" s="2715"/>
    </row>
    <row r="59" spans="1:29" s="453" customFormat="1" ht="15">
      <c r="A59" s="450" t="s">
        <v>1679</v>
      </c>
      <c r="B59" s="451"/>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49"/>
      <c r="Q59" s="2731"/>
      <c r="R59" s="2731"/>
      <c r="S59" s="2731"/>
      <c r="T59" s="2731"/>
      <c r="U59" s="2731"/>
      <c r="V59" s="2731"/>
      <c r="W59" s="2731"/>
      <c r="X59" s="2731"/>
      <c r="Y59" s="2731"/>
      <c r="Z59" s="2731"/>
      <c r="AA59" s="2731"/>
      <c r="AB59" s="2731"/>
      <c r="AC59" s="2731"/>
    </row>
    <row r="60" spans="1:29" s="106" customFormat="1" ht="15">
      <c r="A60" s="454"/>
      <c r="B60" s="455"/>
      <c r="C60" s="1179">
        <v>100</v>
      </c>
      <c r="D60" s="457"/>
      <c r="E60" s="457"/>
      <c r="F60" s="457"/>
      <c r="G60" s="457"/>
      <c r="H60" s="457"/>
      <c r="I60" s="457"/>
      <c r="J60" s="457"/>
      <c r="K60" s="457"/>
      <c r="L60" s="457"/>
      <c r="M60" s="458"/>
      <c r="N60" s="457"/>
      <c r="O60" s="458"/>
      <c r="P60" s="2750"/>
      <c r="Q60" s="2652"/>
      <c r="R60" s="2652"/>
      <c r="S60" s="2652"/>
      <c r="T60" s="2652"/>
      <c r="U60" s="2652"/>
      <c r="V60" s="2652"/>
      <c r="W60" s="2652"/>
      <c r="X60" s="2652"/>
      <c r="Y60" s="2652"/>
      <c r="Z60" s="2652"/>
      <c r="AA60" s="2652"/>
      <c r="AB60" s="2652"/>
      <c r="AC60" s="2652"/>
    </row>
    <row r="61" spans="1:29" s="106" customFormat="1" ht="15.75" thickBot="1">
      <c r="A61" s="460" t="s">
        <v>1716</v>
      </c>
      <c r="B61" s="461"/>
      <c r="C61" s="462"/>
      <c r="D61" s="463"/>
      <c r="E61" s="463"/>
      <c r="F61" s="463"/>
      <c r="G61" s="463"/>
      <c r="H61" s="463"/>
      <c r="I61" s="463"/>
      <c r="J61" s="463"/>
      <c r="K61" s="463"/>
      <c r="L61" s="463"/>
      <c r="M61" s="464"/>
      <c r="N61" s="463"/>
      <c r="O61" s="464"/>
      <c r="P61" s="2750"/>
      <c r="Q61" s="2729"/>
      <c r="R61" s="2652"/>
      <c r="S61" s="2652"/>
      <c r="T61" s="2652"/>
      <c r="U61" s="2652"/>
      <c r="V61" s="2652"/>
      <c r="W61" s="2652"/>
      <c r="X61" s="2652"/>
      <c r="Y61" s="2652"/>
      <c r="Z61" s="2652"/>
      <c r="AA61" s="2652"/>
      <c r="AB61" s="2652"/>
      <c r="AC61" s="2652"/>
    </row>
    <row r="62" spans="1:29" s="106" customFormat="1" ht="15">
      <c r="A62" s="466" t="s">
        <v>1681</v>
      </c>
      <c r="B62" s="455"/>
      <c r="C62" s="467" t="s">
        <v>1776</v>
      </c>
      <c r="D62" s="468"/>
      <c r="E62" s="468"/>
      <c r="F62" s="468"/>
      <c r="G62" s="468"/>
      <c r="H62" s="468"/>
      <c r="I62" s="468"/>
      <c r="J62" s="468"/>
      <c r="K62" s="468"/>
      <c r="L62" s="469"/>
      <c r="M62" s="470"/>
      <c r="N62" s="2742"/>
      <c r="O62" s="2742"/>
      <c r="P62" s="2751"/>
      <c r="Q62" s="2729"/>
      <c r="R62" s="2652"/>
      <c r="S62" s="2652"/>
      <c r="T62" s="2652"/>
      <c r="U62" s="2652"/>
      <c r="V62" s="2652"/>
      <c r="W62" s="2652"/>
      <c r="X62" s="2652"/>
      <c r="Y62" s="2652"/>
      <c r="Z62" s="2652"/>
      <c r="AA62" s="2652"/>
      <c r="AB62" s="2652"/>
      <c r="AC62" s="2652"/>
    </row>
    <row r="63" spans="1:29" s="106" customFormat="1" ht="15.75" thickBot="1">
      <c r="A63" s="466"/>
      <c r="B63" s="455"/>
      <c r="C63" s="456">
        <v>100</v>
      </c>
      <c r="D63" s="457"/>
      <c r="E63" s="457"/>
      <c r="F63" s="457"/>
      <c r="G63" s="457"/>
      <c r="H63" s="457"/>
      <c r="I63" s="457"/>
      <c r="J63" s="457"/>
      <c r="K63" s="457"/>
      <c r="L63" s="457"/>
      <c r="M63" s="459"/>
      <c r="N63" s="2742"/>
      <c r="O63" s="2742"/>
      <c r="P63" s="2750"/>
      <c r="Q63" s="2729"/>
      <c r="R63" s="2652"/>
      <c r="S63" s="2652"/>
      <c r="T63" s="2652"/>
      <c r="U63" s="2652"/>
      <c r="V63" s="2652"/>
      <c r="W63" s="2652"/>
      <c r="X63" s="2652"/>
      <c r="Y63" s="2652"/>
      <c r="Z63" s="2652"/>
      <c r="AA63" s="2652"/>
      <c r="AB63" s="2652"/>
      <c r="AC63" s="2652"/>
    </row>
    <row r="64" spans="1:29">
      <c r="A64" s="472" t="s">
        <v>1719</v>
      </c>
      <c r="B64" s="473" t="s">
        <v>1685</v>
      </c>
      <c r="C64" s="474">
        <f>C9</f>
        <v>0</v>
      </c>
      <c r="D64" s="475"/>
      <c r="E64" s="475"/>
      <c r="F64" s="475"/>
      <c r="G64" s="475"/>
      <c r="H64" s="475"/>
      <c r="I64" s="475"/>
      <c r="J64" s="475"/>
      <c r="K64" s="476"/>
      <c r="L64" s="477"/>
      <c r="M64" s="478"/>
      <c r="N64" s="2743"/>
      <c r="O64" s="2743"/>
      <c r="P64" s="2752"/>
      <c r="Q64" s="2729"/>
      <c r="R64" s="2715"/>
      <c r="S64" s="2715"/>
      <c r="T64" s="2715"/>
      <c r="U64" s="2715"/>
      <c r="V64" s="2715"/>
      <c r="W64" s="2715"/>
      <c r="X64" s="2715"/>
      <c r="Y64" s="2715"/>
      <c r="Z64" s="2715"/>
      <c r="AA64" s="2715"/>
      <c r="AB64" s="2715"/>
      <c r="AC64" s="2715"/>
    </row>
    <row r="65" spans="1:29" ht="15.75" thickBot="1">
      <c r="A65" s="479"/>
      <c r="B65" s="480"/>
      <c r="C65" s="481">
        <v>100</v>
      </c>
      <c r="D65" s="481"/>
      <c r="E65" s="481"/>
      <c r="F65" s="481"/>
      <c r="G65" s="481"/>
      <c r="H65" s="481"/>
      <c r="I65" s="481"/>
      <c r="J65" s="481"/>
      <c r="K65" s="481"/>
      <c r="L65" s="481"/>
      <c r="M65" s="482"/>
      <c r="N65" s="2744"/>
      <c r="O65" s="2744"/>
      <c r="P65" s="2752"/>
      <c r="Q65" s="2729"/>
      <c r="R65" s="2715"/>
      <c r="S65" s="2715"/>
      <c r="T65" s="2715"/>
      <c r="U65" s="2715"/>
      <c r="V65" s="2715"/>
      <c r="W65" s="2715"/>
      <c r="X65" s="2715"/>
      <c r="Y65" s="2715"/>
      <c r="Z65" s="2715"/>
      <c r="AA65" s="2715"/>
      <c r="AB65" s="2715"/>
      <c r="AC65" s="2715"/>
    </row>
    <row r="66" spans="1:29" ht="27.75" thickTop="1">
      <c r="A66" s="479"/>
      <c r="B66" s="483" t="s">
        <v>1688</v>
      </c>
      <c r="C66" s="528"/>
      <c r="D66" s="528"/>
      <c r="E66" s="528"/>
      <c r="F66" s="528"/>
      <c r="G66" s="528"/>
      <c r="H66" s="528"/>
      <c r="I66" s="528"/>
      <c r="J66" s="528"/>
      <c r="K66" s="529"/>
      <c r="L66" s="530"/>
      <c r="M66" s="531"/>
      <c r="N66" s="2743"/>
      <c r="O66" s="2743"/>
      <c r="P66" s="2752"/>
      <c r="Q66" s="2729"/>
      <c r="R66" s="2715"/>
      <c r="S66" s="2715"/>
      <c r="T66" s="2715"/>
      <c r="U66" s="2715"/>
      <c r="V66" s="2715"/>
      <c r="W66" s="2715"/>
      <c r="X66" s="2715"/>
      <c r="Y66" s="2715"/>
      <c r="Z66" s="2715"/>
      <c r="AA66" s="2715"/>
      <c r="AB66" s="2715"/>
      <c r="AC66" s="2715"/>
    </row>
    <row r="67" spans="1:29" ht="15.75" thickBot="1">
      <c r="A67" s="479"/>
      <c r="B67" s="488"/>
      <c r="C67" s="481"/>
      <c r="D67" s="481"/>
      <c r="E67" s="481"/>
      <c r="F67" s="481"/>
      <c r="G67" s="481"/>
      <c r="H67" s="481"/>
      <c r="I67" s="481"/>
      <c r="J67" s="481"/>
      <c r="K67" s="481"/>
      <c r="L67" s="481"/>
      <c r="M67" s="482"/>
      <c r="N67" s="2744"/>
      <c r="O67" s="2744"/>
      <c r="P67" s="2752"/>
      <c r="Q67" s="2729"/>
      <c r="R67" s="2715"/>
      <c r="S67" s="2715"/>
      <c r="T67" s="2715"/>
      <c r="U67" s="2715"/>
      <c r="V67" s="2715"/>
      <c r="W67" s="2715"/>
      <c r="X67" s="2715"/>
      <c r="Y67" s="2715"/>
      <c r="Z67" s="2715"/>
      <c r="AA67" s="2715"/>
      <c r="AB67" s="2715"/>
      <c r="AC67" s="2715"/>
    </row>
    <row r="68" spans="1:29" ht="15.75" thickTop="1">
      <c r="A68" s="479"/>
      <c r="B68" s="491" t="s">
        <v>1689</v>
      </c>
      <c r="C68" s="492" t="str">
        <f>C69&amp;"（含）"&amp;"-"&amp;D69</f>
        <v>0（含）-3</v>
      </c>
      <c r="D68" s="492" t="str">
        <f t="shared" ref="D68:L68" si="17">D69&amp;"（含）"&amp;"-"&amp;E69</f>
        <v>3（含）-</v>
      </c>
      <c r="E68" s="492" t="str">
        <f t="shared" si="17"/>
        <v>（含）-</v>
      </c>
      <c r="F68" s="492" t="str">
        <f t="shared" si="17"/>
        <v>（含）-</v>
      </c>
      <c r="G68" s="492" t="str">
        <f t="shared" si="17"/>
        <v>（含）-</v>
      </c>
      <c r="H68" s="492" t="str">
        <f t="shared" si="17"/>
        <v>（含）-</v>
      </c>
      <c r="I68" s="492" t="str">
        <f t="shared" si="17"/>
        <v>（含）-</v>
      </c>
      <c r="J68" s="492" t="str">
        <f t="shared" si="17"/>
        <v>（含）-</v>
      </c>
      <c r="K68" s="492" t="str">
        <f t="shared" si="17"/>
        <v>（含）-</v>
      </c>
      <c r="L68" s="492" t="str">
        <f t="shared" si="17"/>
        <v>（含）-</v>
      </c>
      <c r="M68" s="395"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79"/>
      <c r="B69" s="493"/>
      <c r="C69" s="494">
        <v>0</v>
      </c>
      <c r="D69" s="494">
        <v>3</v>
      </c>
      <c r="E69" s="494"/>
      <c r="F69" s="494"/>
      <c r="G69" s="494"/>
      <c r="H69" s="494"/>
      <c r="I69" s="494"/>
      <c r="J69" s="494"/>
      <c r="K69" s="495"/>
      <c r="L69" s="496"/>
      <c r="M69" s="497"/>
      <c r="N69" s="2743"/>
      <c r="O69" s="2743"/>
      <c r="P69" s="2752"/>
      <c r="Q69" s="2729"/>
      <c r="R69" s="2715"/>
      <c r="S69" s="2715"/>
      <c r="T69" s="2715"/>
      <c r="U69" s="2715"/>
      <c r="V69" s="2715"/>
      <c r="W69" s="2715"/>
      <c r="X69" s="2715"/>
      <c r="Y69" s="2715"/>
      <c r="Z69" s="2715"/>
      <c r="AA69" s="2715"/>
      <c r="AB69" s="2715"/>
      <c r="AC69" s="2715"/>
    </row>
    <row r="70" spans="1:29" ht="15.75" thickBot="1">
      <c r="A70" s="479"/>
      <c r="B70" s="480"/>
      <c r="C70" s="489">
        <v>100</v>
      </c>
      <c r="D70" s="489">
        <f t="shared" ref="D70:M70" si="18">C70-$K11</f>
        <v>100</v>
      </c>
      <c r="E70" s="489">
        <f t="shared" si="18"/>
        <v>100</v>
      </c>
      <c r="F70" s="489">
        <f t="shared" si="18"/>
        <v>100</v>
      </c>
      <c r="G70" s="489">
        <f t="shared" si="18"/>
        <v>100</v>
      </c>
      <c r="H70" s="489">
        <f t="shared" si="18"/>
        <v>100</v>
      </c>
      <c r="I70" s="489">
        <f t="shared" si="18"/>
        <v>100</v>
      </c>
      <c r="J70" s="489">
        <f t="shared" si="18"/>
        <v>100</v>
      </c>
      <c r="K70" s="489">
        <f t="shared" si="18"/>
        <v>100</v>
      </c>
      <c r="L70" s="489">
        <f t="shared" si="18"/>
        <v>100</v>
      </c>
      <c r="M70" s="490">
        <f t="shared" si="18"/>
        <v>100</v>
      </c>
      <c r="N70" s="2744"/>
      <c r="O70" s="2744"/>
      <c r="P70" s="2752"/>
      <c r="Q70" s="2729"/>
      <c r="R70" s="2715"/>
      <c r="S70" s="2715"/>
      <c r="T70" s="2715"/>
      <c r="U70" s="2715"/>
      <c r="V70" s="2715"/>
      <c r="W70" s="2715"/>
      <c r="X70" s="2715"/>
      <c r="Y70" s="2715"/>
      <c r="Z70" s="2715"/>
      <c r="AA70" s="2715"/>
      <c r="AB70" s="2715"/>
      <c r="AC70" s="2715"/>
    </row>
    <row r="71" spans="1:29" s="418" customFormat="1" ht="15.75" thickTop="1">
      <c r="A71" s="498"/>
      <c r="B71" s="483">
        <f>B12</f>
        <v>111</v>
      </c>
      <c r="C71" s="499"/>
      <c r="D71" s="499"/>
      <c r="E71" s="499"/>
      <c r="F71" s="499"/>
      <c r="G71" s="499"/>
      <c r="H71" s="500"/>
      <c r="I71" s="500"/>
      <c r="J71" s="500"/>
      <c r="K71" s="500"/>
      <c r="L71" s="501"/>
      <c r="M71" s="502"/>
      <c r="N71" s="2745"/>
      <c r="O71" s="2745"/>
      <c r="P71" s="2753"/>
      <c r="Q71" s="2736"/>
      <c r="R71" s="2737"/>
      <c r="S71" s="2737"/>
      <c r="T71" s="2737"/>
      <c r="U71" s="2737"/>
      <c r="V71" s="2737"/>
      <c r="W71" s="2737"/>
      <c r="X71" s="2737"/>
      <c r="Y71" s="2737"/>
      <c r="Z71" s="2737"/>
      <c r="AA71" s="2737"/>
      <c r="AB71" s="2737"/>
      <c r="AC71" s="2737"/>
    </row>
    <row r="72" spans="1:29" s="418" customFormat="1" ht="15.75" thickBot="1">
      <c r="A72" s="498"/>
      <c r="B72" s="488"/>
      <c r="C72" s="505"/>
      <c r="D72" s="481"/>
      <c r="E72" s="481"/>
      <c r="F72" s="481"/>
      <c r="G72" s="481"/>
      <c r="H72" s="481"/>
      <c r="I72" s="481"/>
      <c r="J72" s="481"/>
      <c r="K72" s="481"/>
      <c r="L72" s="481"/>
      <c r="M72" s="482"/>
      <c r="N72" s="2744"/>
      <c r="O72" s="2744"/>
      <c r="P72" s="2753"/>
      <c r="Q72" s="2736"/>
      <c r="R72" s="2737"/>
      <c r="S72" s="2737"/>
      <c r="T72" s="2737"/>
      <c r="U72" s="2737"/>
      <c r="V72" s="2737"/>
      <c r="W72" s="2737"/>
      <c r="X72" s="2737"/>
      <c r="Y72" s="2737"/>
      <c r="Z72" s="2737"/>
      <c r="AA72" s="2737"/>
      <c r="AB72" s="2737"/>
      <c r="AC72" s="2737"/>
    </row>
    <row r="73" spans="1:29" s="418" customFormat="1" ht="15.75" thickTop="1">
      <c r="A73" s="498"/>
      <c r="B73" s="483">
        <f>B13</f>
        <v>111</v>
      </c>
      <c r="C73" s="499"/>
      <c r="D73" s="499"/>
      <c r="E73" s="499"/>
      <c r="F73" s="499"/>
      <c r="G73" s="499"/>
      <c r="H73" s="500"/>
      <c r="I73" s="500"/>
      <c r="J73" s="500"/>
      <c r="K73" s="500"/>
      <c r="L73" s="501"/>
      <c r="M73" s="502"/>
      <c r="N73" s="2745"/>
      <c r="O73" s="2745"/>
      <c r="P73" s="2754"/>
      <c r="Q73" s="2739"/>
      <c r="R73" s="2737"/>
      <c r="S73" s="2737"/>
      <c r="T73" s="2737"/>
      <c r="U73" s="2737"/>
      <c r="V73" s="2737"/>
      <c r="W73" s="2737"/>
      <c r="X73" s="2737"/>
      <c r="Y73" s="2737"/>
      <c r="Z73" s="2737"/>
      <c r="AA73" s="2737"/>
      <c r="AB73" s="2737"/>
      <c r="AC73" s="2737"/>
    </row>
    <row r="74" spans="1:29" s="418" customFormat="1" ht="15.75" thickBot="1">
      <c r="A74" s="498"/>
      <c r="B74" s="488"/>
      <c r="C74" s="505"/>
      <c r="D74" s="505"/>
      <c r="E74" s="505"/>
      <c r="F74" s="505"/>
      <c r="G74" s="505"/>
      <c r="H74" s="507"/>
      <c r="I74" s="507"/>
      <c r="J74" s="507"/>
      <c r="K74" s="507"/>
      <c r="L74" s="507"/>
      <c r="M74" s="508"/>
      <c r="N74" s="2745"/>
      <c r="O74" s="2745"/>
      <c r="P74" s="2753"/>
      <c r="Q74" s="2736"/>
      <c r="R74" s="2737"/>
      <c r="S74" s="2737"/>
      <c r="T74" s="2737"/>
      <c r="U74" s="2737"/>
      <c r="V74" s="2737"/>
      <c r="W74" s="2737"/>
      <c r="X74" s="2737"/>
      <c r="Y74" s="2737"/>
      <c r="Z74" s="2737"/>
      <c r="AA74" s="2737"/>
      <c r="AB74" s="2737"/>
      <c r="AC74" s="2737"/>
    </row>
    <row r="75" spans="1:29" s="418" customFormat="1" ht="15.75" thickTop="1">
      <c r="A75" s="498"/>
      <c r="B75" s="491">
        <f>B14</f>
        <v>111</v>
      </c>
      <c r="C75" s="468"/>
      <c r="D75" s="468"/>
      <c r="E75" s="468"/>
      <c r="F75" s="468"/>
      <c r="G75" s="468"/>
      <c r="H75" s="509"/>
      <c r="I75" s="509"/>
      <c r="J75" s="509"/>
      <c r="K75" s="509"/>
      <c r="L75" s="510"/>
      <c r="M75" s="511"/>
      <c r="N75" s="2745"/>
      <c r="O75" s="2745"/>
      <c r="P75" s="2755"/>
      <c r="Q75" s="2736"/>
      <c r="R75" s="2737"/>
      <c r="S75" s="2737"/>
      <c r="T75" s="2737"/>
      <c r="U75" s="2737"/>
      <c r="V75" s="2737"/>
      <c r="W75" s="2737"/>
      <c r="X75" s="2737"/>
      <c r="Y75" s="2737"/>
      <c r="Z75" s="2737"/>
      <c r="AA75" s="2737"/>
      <c r="AB75" s="2737"/>
      <c r="AC75" s="2737"/>
    </row>
    <row r="76" spans="1:29" s="418" customFormat="1" ht="15.75" thickBot="1">
      <c r="A76" s="513"/>
      <c r="B76" s="514"/>
      <c r="C76" s="515"/>
      <c r="D76" s="515"/>
      <c r="E76" s="515"/>
      <c r="F76" s="515"/>
      <c r="G76" s="515"/>
      <c r="H76" s="516"/>
      <c r="I76" s="516"/>
      <c r="J76" s="516"/>
      <c r="K76" s="516"/>
      <c r="L76" s="516"/>
      <c r="M76" s="517"/>
      <c r="N76" s="2745"/>
      <c r="O76" s="2745"/>
      <c r="P76" s="2753"/>
      <c r="Q76" s="2736"/>
      <c r="R76" s="2737"/>
      <c r="S76" s="2737"/>
      <c r="T76" s="2737"/>
      <c r="U76" s="2737"/>
      <c r="V76" s="2737"/>
      <c r="W76" s="2737"/>
      <c r="X76" s="2737"/>
      <c r="Y76" s="2737"/>
      <c r="Z76" s="2737"/>
      <c r="AA76" s="2737"/>
      <c r="AB76" s="2737"/>
      <c r="AC76" s="2737"/>
    </row>
    <row r="77" spans="1:29">
      <c r="A77" s="472" t="s">
        <v>1690</v>
      </c>
      <c r="B77" s="473" t="s">
        <v>1821</v>
      </c>
      <c r="C77" s="518" t="s">
        <v>1721</v>
      </c>
      <c r="D77" s="518" t="s">
        <v>1722</v>
      </c>
      <c r="E77" s="518" t="s">
        <v>1723</v>
      </c>
      <c r="F77" s="518" t="s">
        <v>1724</v>
      </c>
      <c r="G77" s="518" t="s">
        <v>1725</v>
      </c>
      <c r="H77" s="474"/>
      <c r="I77" s="474"/>
      <c r="J77" s="474"/>
      <c r="K77" s="519"/>
      <c r="L77" s="520"/>
      <c r="M77" s="521"/>
      <c r="N77" s="2743"/>
      <c r="O77" s="2743"/>
      <c r="P77" s="2756"/>
      <c r="Q77" s="2729"/>
      <c r="R77" s="2715"/>
      <c r="S77" s="2715"/>
      <c r="T77" s="2715"/>
      <c r="U77" s="2715"/>
      <c r="V77" s="2715"/>
      <c r="W77" s="2715"/>
      <c r="X77" s="2715"/>
      <c r="Y77" s="2715"/>
      <c r="Z77" s="2715"/>
      <c r="AA77" s="2715"/>
      <c r="AB77" s="2715"/>
      <c r="AC77" s="2715"/>
    </row>
    <row r="78" spans="1:29" ht="15.75" thickBot="1">
      <c r="A78" s="479"/>
      <c r="B78" s="488"/>
      <c r="C78" s="489">
        <v>100</v>
      </c>
      <c r="D78" s="489">
        <f>C78-$K15</f>
        <v>100</v>
      </c>
      <c r="E78" s="489">
        <f>D78-$K15</f>
        <v>100</v>
      </c>
      <c r="F78" s="489">
        <f>E78-$K15</f>
        <v>100</v>
      </c>
      <c r="G78" s="489">
        <f>F78-$K15</f>
        <v>100</v>
      </c>
      <c r="H78" s="489"/>
      <c r="I78" s="489"/>
      <c r="J78" s="489"/>
      <c r="K78" s="489"/>
      <c r="L78" s="489"/>
      <c r="M78" s="490"/>
      <c r="N78" s="2744"/>
      <c r="O78" s="2744"/>
      <c r="P78" s="2752"/>
      <c r="Q78" s="2729"/>
      <c r="R78" s="2715"/>
      <c r="S78" s="2715"/>
      <c r="T78" s="2715"/>
      <c r="U78" s="2715"/>
      <c r="V78" s="2715"/>
      <c r="W78" s="2715"/>
      <c r="X78" s="2715"/>
      <c r="Y78" s="2715"/>
      <c r="Z78" s="2715"/>
      <c r="AA78" s="2715"/>
      <c r="AB78" s="2715"/>
      <c r="AC78" s="2715"/>
    </row>
    <row r="79" spans="1:29" ht="15.75" thickTop="1">
      <c r="A79" s="479"/>
      <c r="B79" s="483" t="s">
        <v>1726</v>
      </c>
      <c r="C79" s="523" t="s">
        <v>1721</v>
      </c>
      <c r="D79" s="523" t="s">
        <v>1722</v>
      </c>
      <c r="E79" s="523" t="s">
        <v>1723</v>
      </c>
      <c r="F79" s="523" t="s">
        <v>1724</v>
      </c>
      <c r="G79" s="523" t="s">
        <v>1725</v>
      </c>
      <c r="H79" s="484"/>
      <c r="I79" s="484"/>
      <c r="J79" s="484"/>
      <c r="K79" s="485"/>
      <c r="L79" s="486"/>
      <c r="M79" s="487"/>
      <c r="N79" s="2743"/>
      <c r="O79" s="2743"/>
      <c r="P79" s="2752"/>
      <c r="Q79" s="2729"/>
      <c r="R79" s="2715"/>
      <c r="S79" s="2715"/>
      <c r="T79" s="2715"/>
      <c r="U79" s="2715"/>
      <c r="V79" s="2715"/>
      <c r="W79" s="2715"/>
      <c r="X79" s="2715"/>
      <c r="Y79" s="2715"/>
      <c r="Z79" s="2715"/>
      <c r="AA79" s="2715"/>
      <c r="AB79" s="2715"/>
      <c r="AC79" s="2715"/>
    </row>
    <row r="80" spans="1:29" ht="15.75" thickBot="1">
      <c r="A80" s="479"/>
      <c r="B80" s="488"/>
      <c r="C80" s="489">
        <v>100</v>
      </c>
      <c r="D80" s="489">
        <f>C80-$K17</f>
        <v>100</v>
      </c>
      <c r="E80" s="489">
        <f>D80-$K17</f>
        <v>100</v>
      </c>
      <c r="F80" s="489">
        <f>E80-$K17</f>
        <v>100</v>
      </c>
      <c r="G80" s="489">
        <f>F80-$K17</f>
        <v>100</v>
      </c>
      <c r="H80" s="489"/>
      <c r="I80" s="489"/>
      <c r="J80" s="489"/>
      <c r="K80" s="489"/>
      <c r="L80" s="489"/>
      <c r="M80" s="490"/>
      <c r="N80" s="2744"/>
      <c r="O80" s="2744"/>
      <c r="P80" s="2752"/>
      <c r="Q80" s="2729"/>
      <c r="R80" s="2715"/>
      <c r="S80" s="2715"/>
      <c r="T80" s="2715"/>
      <c r="U80" s="2715"/>
      <c r="V80" s="2715"/>
      <c r="W80" s="2715"/>
      <c r="X80" s="2715"/>
      <c r="Y80" s="2715"/>
      <c r="Z80" s="2715"/>
      <c r="AA80" s="2715"/>
      <c r="AB80" s="2715"/>
      <c r="AC80" s="2715"/>
    </row>
    <row r="81" spans="1:29" ht="15.75" thickTop="1">
      <c r="A81" s="479"/>
      <c r="B81" s="483" t="s">
        <v>1727</v>
      </c>
      <c r="C81" s="523" t="s">
        <v>1721</v>
      </c>
      <c r="D81" s="523" t="s">
        <v>1722</v>
      </c>
      <c r="E81" s="523" t="s">
        <v>1723</v>
      </c>
      <c r="F81" s="523" t="s">
        <v>1724</v>
      </c>
      <c r="G81" s="523" t="s">
        <v>1725</v>
      </c>
      <c r="H81" s="484"/>
      <c r="I81" s="484"/>
      <c r="J81" s="484"/>
      <c r="K81" s="485"/>
      <c r="L81" s="486"/>
      <c r="M81" s="487"/>
      <c r="N81" s="2743"/>
      <c r="O81" s="2743"/>
      <c r="P81" s="2752"/>
      <c r="Q81" s="2729"/>
      <c r="R81" s="2715"/>
      <c r="S81" s="2715"/>
      <c r="T81" s="2715"/>
      <c r="U81" s="2715"/>
      <c r="V81" s="2715"/>
      <c r="W81" s="2715"/>
      <c r="X81" s="2715"/>
      <c r="Y81" s="2715"/>
      <c r="Z81" s="2715"/>
      <c r="AA81" s="2715"/>
      <c r="AB81" s="2715"/>
      <c r="AC81" s="2715"/>
    </row>
    <row r="82" spans="1:29" ht="15.75" thickBot="1">
      <c r="A82" s="479"/>
      <c r="B82" s="488"/>
      <c r="C82" s="489">
        <v>100</v>
      </c>
      <c r="D82" s="489">
        <f>C82-$K19</f>
        <v>100</v>
      </c>
      <c r="E82" s="489">
        <f>D82-$K19</f>
        <v>100</v>
      </c>
      <c r="F82" s="489">
        <f>E82-$K19</f>
        <v>100</v>
      </c>
      <c r="G82" s="489">
        <f>F82-$K19</f>
        <v>100</v>
      </c>
      <c r="H82" s="489"/>
      <c r="I82" s="489"/>
      <c r="J82" s="489"/>
      <c r="K82" s="489"/>
      <c r="L82" s="489"/>
      <c r="M82" s="490"/>
      <c r="N82" s="2744"/>
      <c r="O82" s="2744"/>
      <c r="P82" s="2752"/>
      <c r="Q82" s="2729"/>
      <c r="R82" s="2715"/>
      <c r="S82" s="2715"/>
      <c r="T82" s="2715"/>
      <c r="U82" s="2715"/>
      <c r="V82" s="2715"/>
      <c r="W82" s="2715"/>
      <c r="X82" s="2715"/>
      <c r="Y82" s="2715"/>
      <c r="Z82" s="2715"/>
      <c r="AA82" s="2715"/>
      <c r="AB82" s="2715"/>
      <c r="AC82" s="2715"/>
    </row>
    <row r="83" spans="1:29" ht="15.75" thickTop="1">
      <c r="A83" s="479"/>
      <c r="B83" s="491" t="s">
        <v>1813</v>
      </c>
      <c r="C83" s="604" t="s">
        <v>1799</v>
      </c>
      <c r="D83" s="604" t="s">
        <v>1800</v>
      </c>
      <c r="E83" s="604" t="s">
        <v>1801</v>
      </c>
      <c r="F83" s="604" t="s">
        <v>1802</v>
      </c>
      <c r="G83" s="604" t="s">
        <v>1803</v>
      </c>
      <c r="H83" s="484"/>
      <c r="I83" s="484"/>
      <c r="J83" s="484"/>
      <c r="K83" s="484"/>
      <c r="L83" s="484"/>
      <c r="M83" s="1125"/>
      <c r="N83" s="2744"/>
      <c r="O83" s="2744"/>
      <c r="P83" s="2752"/>
      <c r="Q83" s="2729"/>
      <c r="R83" s="2715"/>
      <c r="S83" s="2715"/>
      <c r="T83" s="2715"/>
      <c r="U83" s="2715"/>
      <c r="V83" s="2715"/>
      <c r="W83" s="2715"/>
      <c r="X83" s="2715"/>
      <c r="Y83" s="2715"/>
      <c r="Z83" s="2715"/>
      <c r="AA83" s="2715"/>
      <c r="AB83" s="2715"/>
      <c r="AC83" s="2715"/>
    </row>
    <row r="84" spans="1:29" ht="15.75" thickBot="1">
      <c r="A84" s="479"/>
      <c r="B84" s="491"/>
      <c r="C84" s="489">
        <v>100</v>
      </c>
      <c r="D84" s="489">
        <f>C84-$K21</f>
        <v>100</v>
      </c>
      <c r="E84" s="489">
        <f>D84-$K21</f>
        <v>100</v>
      </c>
      <c r="F84" s="489">
        <f>E84-$K21</f>
        <v>100</v>
      </c>
      <c r="G84" s="489">
        <f>F84-$K21</f>
        <v>100</v>
      </c>
      <c r="H84" s="604"/>
      <c r="I84" s="604"/>
      <c r="J84" s="604"/>
      <c r="K84" s="604"/>
      <c r="L84" s="604"/>
      <c r="M84" s="397"/>
      <c r="N84" s="2744"/>
      <c r="O84" s="2744"/>
      <c r="P84" s="2752"/>
      <c r="Q84" s="2729"/>
      <c r="R84" s="2715"/>
      <c r="S84" s="2715"/>
      <c r="T84" s="2715"/>
      <c r="U84" s="2715"/>
      <c r="V84" s="2715"/>
      <c r="W84" s="2715"/>
      <c r="X84" s="2715"/>
      <c r="Y84" s="2715"/>
      <c r="Z84" s="2715"/>
      <c r="AA84" s="2715"/>
      <c r="AB84" s="2715"/>
      <c r="AC84" s="2715"/>
    </row>
    <row r="85" spans="1:29" ht="15.75" thickTop="1">
      <c r="A85" s="479"/>
      <c r="B85" s="483" t="s">
        <v>1822</v>
      </c>
      <c r="C85" s="523" t="s">
        <v>1721</v>
      </c>
      <c r="D85" s="523" t="s">
        <v>1722</v>
      </c>
      <c r="E85" s="523" t="s">
        <v>1723</v>
      </c>
      <c r="F85" s="523" t="s">
        <v>1724</v>
      </c>
      <c r="G85" s="523" t="s">
        <v>1725</v>
      </c>
      <c r="H85" s="484"/>
      <c r="I85" s="484"/>
      <c r="J85" s="484"/>
      <c r="K85" s="485"/>
      <c r="L85" s="486"/>
      <c r="M85" s="487"/>
      <c r="N85" s="2743"/>
      <c r="O85" s="2743"/>
      <c r="P85" s="2752"/>
      <c r="Q85" s="2729"/>
      <c r="R85" s="2715"/>
      <c r="S85" s="2715"/>
      <c r="T85" s="2715"/>
      <c r="U85" s="2715"/>
      <c r="V85" s="2715"/>
      <c r="W85" s="2715"/>
      <c r="X85" s="2715"/>
      <c r="Y85" s="2715"/>
      <c r="Z85" s="2715"/>
      <c r="AA85" s="2715"/>
      <c r="AB85" s="2715"/>
      <c r="AC85" s="2715"/>
    </row>
    <row r="86" spans="1:29" ht="15.75" thickBot="1">
      <c r="A86" s="479"/>
      <c r="B86" s="488"/>
      <c r="C86" s="489">
        <v>100</v>
      </c>
      <c r="D86" s="489">
        <f>C86-$K23</f>
        <v>100</v>
      </c>
      <c r="E86" s="489">
        <f>D86-$K23</f>
        <v>100</v>
      </c>
      <c r="F86" s="489">
        <f>E86-$K23</f>
        <v>100</v>
      </c>
      <c r="G86" s="489">
        <f>F86-$K23</f>
        <v>100</v>
      </c>
      <c r="H86" s="489"/>
      <c r="I86" s="489"/>
      <c r="J86" s="489"/>
      <c r="K86" s="489"/>
      <c r="L86" s="489"/>
      <c r="M86" s="490"/>
      <c r="N86" s="2744"/>
      <c r="O86" s="2744"/>
      <c r="P86" s="2752"/>
      <c r="Q86" s="2729"/>
      <c r="R86" s="2715"/>
      <c r="S86" s="2715"/>
      <c r="T86" s="2715"/>
      <c r="U86" s="2715"/>
      <c r="V86" s="2715"/>
      <c r="W86" s="2715"/>
      <c r="X86" s="2715"/>
      <c r="Y86" s="2715"/>
      <c r="Z86" s="2715"/>
      <c r="AA86" s="2715"/>
      <c r="AB86" s="2715"/>
      <c r="AC86" s="2715"/>
    </row>
    <row r="87" spans="1:29" s="106" customFormat="1" ht="27.75" thickTop="1">
      <c r="A87" s="524"/>
      <c r="B87" s="483" t="s">
        <v>1823</v>
      </c>
      <c r="C87" s="499"/>
      <c r="D87" s="499"/>
      <c r="E87" s="499"/>
      <c r="F87" s="499"/>
      <c r="G87" s="499"/>
      <c r="H87" s="499"/>
      <c r="I87" s="499"/>
      <c r="J87" s="499"/>
      <c r="K87" s="499"/>
      <c r="L87" s="525"/>
      <c r="M87" s="526"/>
      <c r="N87" s="2742"/>
      <c r="O87" s="2742"/>
      <c r="P87" s="2752"/>
      <c r="Q87" s="2729"/>
      <c r="R87" s="2652"/>
      <c r="S87" s="2652"/>
      <c r="T87" s="2652"/>
      <c r="U87" s="2652"/>
      <c r="V87" s="2652"/>
      <c r="W87" s="2652"/>
      <c r="X87" s="2652"/>
      <c r="Y87" s="2652"/>
      <c r="Z87" s="2652"/>
      <c r="AA87" s="2652"/>
      <c r="AB87" s="2652"/>
      <c r="AC87" s="2652"/>
    </row>
    <row r="88" spans="1:29" s="106" customFormat="1" ht="15.75" thickBot="1">
      <c r="A88" s="524"/>
      <c r="B88" s="488"/>
      <c r="C88" s="527">
        <v>100</v>
      </c>
      <c r="D88" s="489">
        <f t="shared" ref="D88:M88" si="19">C88-$K25</f>
        <v>100</v>
      </c>
      <c r="E88" s="489">
        <f t="shared" si="19"/>
        <v>100</v>
      </c>
      <c r="F88" s="489">
        <f t="shared" si="19"/>
        <v>100</v>
      </c>
      <c r="G88" s="489">
        <f t="shared" si="19"/>
        <v>100</v>
      </c>
      <c r="H88" s="489">
        <f t="shared" si="19"/>
        <v>100</v>
      </c>
      <c r="I88" s="489">
        <f t="shared" si="19"/>
        <v>100</v>
      </c>
      <c r="J88" s="489">
        <f t="shared" si="19"/>
        <v>100</v>
      </c>
      <c r="K88" s="489">
        <f t="shared" si="19"/>
        <v>100</v>
      </c>
      <c r="L88" s="489">
        <f t="shared" si="19"/>
        <v>100</v>
      </c>
      <c r="M88" s="489">
        <f t="shared" si="19"/>
        <v>100</v>
      </c>
      <c r="N88" s="2744"/>
      <c r="O88" s="2744"/>
      <c r="P88" s="2752"/>
      <c r="Q88" s="2729"/>
      <c r="R88" s="2652"/>
      <c r="S88" s="2652"/>
      <c r="T88" s="2652"/>
      <c r="U88" s="2652"/>
      <c r="V88" s="2652"/>
      <c r="W88" s="2652"/>
      <c r="X88" s="2652"/>
      <c r="Y88" s="2652"/>
      <c r="Z88" s="2652"/>
      <c r="AA88" s="2652"/>
      <c r="AB88" s="2652"/>
      <c r="AC88" s="2652"/>
    </row>
    <row r="89" spans="1:29" s="106" customFormat="1" ht="15.75" thickTop="1">
      <c r="A89" s="524"/>
      <c r="B89" s="483" t="str">
        <f>B27</f>
        <v>楼层</v>
      </c>
      <c r="C89" s="499"/>
      <c r="D89" s="499"/>
      <c r="E89" s="499"/>
      <c r="F89" s="1923"/>
      <c r="G89" s="499"/>
      <c r="H89" s="499"/>
      <c r="I89" s="499"/>
      <c r="J89" s="499"/>
      <c r="K89" s="499"/>
      <c r="L89" s="499"/>
      <c r="M89" s="526"/>
      <c r="N89" s="2742"/>
      <c r="O89" s="2742"/>
      <c r="P89" s="2752"/>
      <c r="Q89" s="2729"/>
      <c r="R89" s="2652"/>
      <c r="S89" s="2652"/>
      <c r="T89" s="2652"/>
      <c r="U89" s="2652"/>
      <c r="V89" s="2652"/>
      <c r="W89" s="2652"/>
      <c r="X89" s="2652"/>
      <c r="Y89" s="2652"/>
      <c r="Z89" s="2652"/>
      <c r="AA89" s="2652"/>
      <c r="AB89" s="2652"/>
      <c r="AC89" s="2652"/>
    </row>
    <row r="90" spans="1:29" s="106" customFormat="1" ht="15.75" thickBot="1">
      <c r="A90" s="524"/>
      <c r="B90" s="488"/>
      <c r="C90" s="527">
        <v>100</v>
      </c>
      <c r="D90" s="489">
        <f>C90-$K27</f>
        <v>100</v>
      </c>
      <c r="E90" s="489">
        <f t="shared" ref="E90:M90" si="20">D90-$K27</f>
        <v>100</v>
      </c>
      <c r="F90" s="489">
        <f t="shared" si="20"/>
        <v>100</v>
      </c>
      <c r="G90" s="489">
        <f t="shared" si="20"/>
        <v>100</v>
      </c>
      <c r="H90" s="489">
        <f t="shared" si="20"/>
        <v>100</v>
      </c>
      <c r="I90" s="489">
        <f t="shared" si="20"/>
        <v>100</v>
      </c>
      <c r="J90" s="489">
        <f t="shared" si="20"/>
        <v>100</v>
      </c>
      <c r="K90" s="489">
        <f t="shared" si="20"/>
        <v>100</v>
      </c>
      <c r="L90" s="489">
        <f t="shared" si="20"/>
        <v>100</v>
      </c>
      <c r="M90" s="489">
        <f t="shared" si="20"/>
        <v>100</v>
      </c>
      <c r="N90" s="2744"/>
      <c r="O90" s="2744"/>
      <c r="P90" s="2752"/>
      <c r="Q90" s="2729"/>
      <c r="R90" s="2652"/>
      <c r="S90" s="2652"/>
      <c r="T90" s="2652"/>
      <c r="U90" s="2652"/>
      <c r="V90" s="2652"/>
      <c r="W90" s="2652"/>
      <c r="X90" s="2652"/>
      <c r="Y90" s="2652"/>
      <c r="Z90" s="2652"/>
      <c r="AA90" s="2652"/>
      <c r="AB90" s="2652"/>
      <c r="AC90" s="2652"/>
    </row>
    <row r="91" spans="1:29" s="418" customFormat="1" ht="15.75" thickTop="1">
      <c r="A91" s="498"/>
      <c r="B91" s="483" t="str">
        <f>B28</f>
        <v>朝向</v>
      </c>
      <c r="C91" s="499"/>
      <c r="D91" s="499"/>
      <c r="E91" s="499"/>
      <c r="F91" s="499"/>
      <c r="G91" s="499"/>
      <c r="H91" s="500"/>
      <c r="I91" s="500"/>
      <c r="J91" s="500"/>
      <c r="K91" s="500"/>
      <c r="L91" s="501"/>
      <c r="M91" s="502"/>
      <c r="N91" s="2745"/>
      <c r="O91" s="2745"/>
      <c r="P91" s="2753"/>
      <c r="Q91" s="2736"/>
      <c r="R91" s="2737"/>
      <c r="S91" s="2737"/>
      <c r="T91" s="2737"/>
      <c r="U91" s="2737"/>
      <c r="V91" s="2737"/>
      <c r="W91" s="2737"/>
      <c r="X91" s="2737"/>
      <c r="Y91" s="2737"/>
      <c r="Z91" s="2737"/>
      <c r="AA91" s="2737"/>
      <c r="AB91" s="2737"/>
      <c r="AC91" s="2737"/>
    </row>
    <row r="92" spans="1:29" s="418" customFormat="1" ht="15.75" thickBot="1">
      <c r="A92" s="498"/>
      <c r="B92" s="488"/>
      <c r="C92" s="527">
        <v>100</v>
      </c>
      <c r="D92" s="489">
        <f t="shared" ref="D92:M92" si="21">C92-$K28</f>
        <v>100</v>
      </c>
      <c r="E92" s="489">
        <f t="shared" si="21"/>
        <v>100</v>
      </c>
      <c r="F92" s="489">
        <f t="shared" si="21"/>
        <v>100</v>
      </c>
      <c r="G92" s="489">
        <f t="shared" si="21"/>
        <v>100</v>
      </c>
      <c r="H92" s="489">
        <f t="shared" si="21"/>
        <v>100</v>
      </c>
      <c r="I92" s="489">
        <f t="shared" si="21"/>
        <v>100</v>
      </c>
      <c r="J92" s="489">
        <f t="shared" si="21"/>
        <v>100</v>
      </c>
      <c r="K92" s="489">
        <f t="shared" si="21"/>
        <v>100</v>
      </c>
      <c r="L92" s="489">
        <f t="shared" si="21"/>
        <v>100</v>
      </c>
      <c r="M92" s="489">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79"/>
      <c r="B93" s="483">
        <f>B29</f>
        <v>111</v>
      </c>
      <c r="C93" s="499"/>
      <c r="D93" s="499"/>
      <c r="E93" s="499"/>
      <c r="F93" s="499"/>
      <c r="G93" s="499"/>
      <c r="H93" s="499"/>
      <c r="I93" s="499"/>
      <c r="J93" s="499"/>
      <c r="K93" s="499"/>
      <c r="L93" s="525"/>
      <c r="M93" s="526"/>
      <c r="N93" s="2743"/>
      <c r="O93" s="2743"/>
      <c r="P93" s="2752"/>
      <c r="Q93" s="2729"/>
      <c r="R93" s="2715"/>
      <c r="S93" s="2715"/>
      <c r="T93" s="2715"/>
      <c r="U93" s="2715"/>
      <c r="V93" s="2715"/>
      <c r="W93" s="2715"/>
      <c r="X93" s="2715"/>
      <c r="Y93" s="2715"/>
      <c r="Z93" s="2715"/>
      <c r="AA93" s="2715"/>
      <c r="AB93" s="2715"/>
      <c r="AC93" s="2715"/>
    </row>
    <row r="94" spans="1:29" ht="15.75" thickBot="1">
      <c r="A94" s="479"/>
      <c r="B94" s="488"/>
      <c r="C94" s="505"/>
      <c r="D94" s="481"/>
      <c r="E94" s="481"/>
      <c r="F94" s="481"/>
      <c r="G94" s="481"/>
      <c r="H94" s="481"/>
      <c r="I94" s="481"/>
      <c r="J94" s="481"/>
      <c r="K94" s="481"/>
      <c r="L94" s="481"/>
      <c r="M94" s="482"/>
      <c r="N94" s="2744"/>
      <c r="O94" s="2744"/>
      <c r="P94" s="2752"/>
      <c r="Q94" s="2729"/>
      <c r="R94" s="2715"/>
      <c r="S94" s="2715"/>
      <c r="T94" s="2715"/>
      <c r="U94" s="2715"/>
      <c r="V94" s="2715"/>
      <c r="W94" s="2715"/>
      <c r="X94" s="2715"/>
      <c r="Y94" s="2715"/>
      <c r="Z94" s="2715"/>
      <c r="AA94" s="2715"/>
      <c r="AB94" s="2715"/>
      <c r="AC94" s="2715"/>
    </row>
    <row r="95" spans="1:29" ht="15.75" thickTop="1">
      <c r="A95" s="479"/>
      <c r="B95" s="483">
        <f>B30</f>
        <v>111</v>
      </c>
      <c r="C95" s="499"/>
      <c r="D95" s="499"/>
      <c r="E95" s="499"/>
      <c r="F95" s="499"/>
      <c r="G95" s="528"/>
      <c r="H95" s="528"/>
      <c r="I95" s="528"/>
      <c r="J95" s="528"/>
      <c r="K95" s="529"/>
      <c r="L95" s="530"/>
      <c r="M95" s="531"/>
      <c r="N95" s="2743"/>
      <c r="O95" s="2743"/>
      <c r="P95" s="2752"/>
      <c r="Q95" s="2729"/>
      <c r="R95" s="2715"/>
      <c r="S95" s="2715"/>
      <c r="T95" s="2715"/>
      <c r="U95" s="2715"/>
      <c r="V95" s="2715"/>
      <c r="W95" s="2715"/>
      <c r="X95" s="2715"/>
      <c r="Y95" s="2715"/>
      <c r="Z95" s="2715"/>
      <c r="AA95" s="2715"/>
      <c r="AB95" s="2715"/>
      <c r="AC95" s="2715"/>
    </row>
    <row r="96" spans="1:29" ht="15.75" thickBot="1">
      <c r="A96" s="479"/>
      <c r="B96" s="488"/>
      <c r="C96" s="505"/>
      <c r="D96" s="505"/>
      <c r="E96" s="505"/>
      <c r="F96" s="505"/>
      <c r="G96" s="481"/>
      <c r="H96" s="481"/>
      <c r="I96" s="481"/>
      <c r="J96" s="481"/>
      <c r="K96" s="481"/>
      <c r="L96" s="481"/>
      <c r="M96" s="482"/>
      <c r="N96" s="2744"/>
      <c r="O96" s="2744"/>
      <c r="P96" s="2752"/>
      <c r="Q96" s="2729"/>
      <c r="R96" s="2715"/>
      <c r="S96" s="2715"/>
      <c r="T96" s="2715"/>
      <c r="U96" s="2715"/>
      <c r="V96" s="2715"/>
      <c r="W96" s="2715"/>
      <c r="X96" s="2715"/>
      <c r="Y96" s="2715"/>
      <c r="Z96" s="2715"/>
      <c r="AA96" s="2715"/>
      <c r="AB96" s="2715"/>
      <c r="AC96" s="2715"/>
    </row>
    <row r="97" spans="1:29" ht="15.75" thickTop="1">
      <c r="A97" s="479"/>
      <c r="B97" s="483">
        <f>B31</f>
        <v>111</v>
      </c>
      <c r="C97" s="499"/>
      <c r="D97" s="499"/>
      <c r="E97" s="499"/>
      <c r="F97" s="499"/>
      <c r="G97" s="528"/>
      <c r="H97" s="528"/>
      <c r="I97" s="528"/>
      <c r="J97" s="528"/>
      <c r="K97" s="529"/>
      <c r="L97" s="530"/>
      <c r="M97" s="531"/>
      <c r="N97" s="2743"/>
      <c r="O97" s="2743"/>
      <c r="P97" s="2752"/>
      <c r="Q97" s="2729"/>
      <c r="R97" s="2715"/>
      <c r="S97" s="2715"/>
      <c r="T97" s="2715"/>
      <c r="U97" s="2715"/>
      <c r="V97" s="2715"/>
      <c r="W97" s="2715"/>
      <c r="X97" s="2715"/>
      <c r="Y97" s="2715"/>
      <c r="Z97" s="2715"/>
      <c r="AA97" s="2715"/>
      <c r="AB97" s="2715"/>
      <c r="AC97" s="2715"/>
    </row>
    <row r="98" spans="1:29" ht="15.75" thickBot="1">
      <c r="A98" s="479"/>
      <c r="B98" s="488"/>
      <c r="C98" s="505"/>
      <c r="D98" s="481"/>
      <c r="E98" s="481"/>
      <c r="F98" s="481"/>
      <c r="G98" s="481"/>
      <c r="H98" s="481"/>
      <c r="I98" s="481"/>
      <c r="J98" s="481"/>
      <c r="K98" s="481"/>
      <c r="L98" s="481"/>
      <c r="M98" s="482"/>
      <c r="N98" s="2744"/>
      <c r="O98" s="2744"/>
      <c r="P98" s="2752"/>
      <c r="Q98" s="2729"/>
      <c r="R98" s="2715"/>
      <c r="S98" s="2715"/>
      <c r="T98" s="2715"/>
      <c r="U98" s="2715"/>
      <c r="V98" s="2715"/>
      <c r="W98" s="2715"/>
      <c r="X98" s="2715"/>
      <c r="Y98" s="2715"/>
      <c r="Z98" s="2715"/>
      <c r="AA98" s="2715"/>
      <c r="AB98" s="2715"/>
      <c r="AC98" s="2715"/>
    </row>
    <row r="99" spans="1:29" ht="15.75" thickTop="1">
      <c r="A99" s="479"/>
      <c r="B99" s="491">
        <f>B32</f>
        <v>111</v>
      </c>
      <c r="C99" s="468"/>
      <c r="D99" s="468"/>
      <c r="E99" s="468"/>
      <c r="F99" s="468"/>
      <c r="G99" s="532"/>
      <c r="H99" s="532"/>
      <c r="I99" s="532"/>
      <c r="J99" s="532"/>
      <c r="K99" s="533"/>
      <c r="L99" s="534"/>
      <c r="M99" s="535"/>
      <c r="N99" s="2743"/>
      <c r="O99" s="2743"/>
      <c r="P99" s="2752"/>
      <c r="Q99" s="2729"/>
      <c r="R99" s="2715"/>
      <c r="S99" s="2715"/>
      <c r="T99" s="2715"/>
      <c r="U99" s="2715"/>
      <c r="V99" s="2715"/>
      <c r="W99" s="2715"/>
      <c r="X99" s="2715"/>
      <c r="Y99" s="2715"/>
      <c r="Z99" s="2715"/>
      <c r="AA99" s="2715"/>
      <c r="AB99" s="2715"/>
      <c r="AC99" s="2715"/>
    </row>
    <row r="100" spans="1:29" ht="15.75" thickBot="1">
      <c r="A100" s="1924"/>
      <c r="B100" s="514"/>
      <c r="C100" s="515"/>
      <c r="D100" s="515"/>
      <c r="E100" s="515"/>
      <c r="F100" s="515"/>
      <c r="G100" s="536"/>
      <c r="H100" s="536"/>
      <c r="I100" s="536"/>
      <c r="J100" s="536"/>
      <c r="K100" s="536"/>
      <c r="L100" s="536"/>
      <c r="M100" s="537"/>
      <c r="N100" s="2744"/>
      <c r="O100" s="2744"/>
      <c r="P100" s="2752"/>
      <c r="Q100" s="2729"/>
      <c r="R100" s="2715"/>
      <c r="S100" s="2715"/>
      <c r="T100" s="2715"/>
      <c r="U100" s="2715"/>
      <c r="V100" s="2715"/>
      <c r="W100" s="2715"/>
      <c r="X100" s="2715"/>
      <c r="Y100" s="2715"/>
      <c r="Z100" s="2715"/>
      <c r="AA100" s="2715"/>
      <c r="AB100" s="2715"/>
      <c r="AC100" s="2715"/>
    </row>
    <row r="101" spans="1:29">
      <c r="A101" s="472" t="s">
        <v>1694</v>
      </c>
      <c r="B101" s="473" t="s">
        <v>1736</v>
      </c>
      <c r="C101" s="475"/>
      <c r="D101" s="475"/>
      <c r="E101" s="475"/>
      <c r="F101" s="475"/>
      <c r="G101" s="475"/>
      <c r="H101" s="475"/>
      <c r="I101" s="475"/>
      <c r="J101" s="475"/>
      <c r="K101" s="476"/>
      <c r="L101" s="477"/>
      <c r="M101" s="478"/>
      <c r="N101" s="2743"/>
      <c r="O101" s="2743"/>
      <c r="P101" s="2752"/>
      <c r="Q101" s="2729"/>
      <c r="R101" s="2715"/>
      <c r="S101" s="2715"/>
      <c r="T101" s="2715"/>
      <c r="U101" s="2715"/>
      <c r="V101" s="2715"/>
      <c r="W101" s="2715"/>
      <c r="X101" s="2715"/>
      <c r="Y101" s="2715"/>
      <c r="Z101" s="2715"/>
      <c r="AA101" s="2715"/>
      <c r="AB101" s="2715"/>
      <c r="AC101" s="2715"/>
    </row>
    <row r="102" spans="1:29" ht="15.75" thickBot="1">
      <c r="A102" s="479"/>
      <c r="B102" s="488"/>
      <c r="C102" s="489">
        <v>100</v>
      </c>
      <c r="D102" s="489">
        <f t="shared" ref="D102:M102" si="22">C102-$K33</f>
        <v>100</v>
      </c>
      <c r="E102" s="489">
        <f t="shared" si="22"/>
        <v>100</v>
      </c>
      <c r="F102" s="489">
        <f t="shared" si="22"/>
        <v>100</v>
      </c>
      <c r="G102" s="489">
        <f t="shared" si="22"/>
        <v>100</v>
      </c>
      <c r="H102" s="489">
        <f t="shared" si="22"/>
        <v>100</v>
      </c>
      <c r="I102" s="489">
        <f t="shared" si="22"/>
        <v>100</v>
      </c>
      <c r="J102" s="489">
        <f t="shared" si="22"/>
        <v>100</v>
      </c>
      <c r="K102" s="489">
        <f t="shared" si="22"/>
        <v>100</v>
      </c>
      <c r="L102" s="489">
        <f t="shared" si="22"/>
        <v>100</v>
      </c>
      <c r="M102" s="490">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79"/>
      <c r="B103" s="483" t="s">
        <v>1737</v>
      </c>
      <c r="C103" s="523" t="str">
        <f>C104&amp;"(含)"&amp;"-"&amp;D104</f>
        <v>(含)-</v>
      </c>
      <c r="D103" s="523" t="str">
        <f t="shared" ref="D103:L103" si="23">D104&amp;"(含)"&amp;"-"&amp;E104</f>
        <v>(含)-</v>
      </c>
      <c r="E103" s="523" t="str">
        <f t="shared" si="23"/>
        <v>(含)-</v>
      </c>
      <c r="F103" s="523" t="str">
        <f t="shared" si="23"/>
        <v>(含)-</v>
      </c>
      <c r="G103" s="523" t="str">
        <f t="shared" si="23"/>
        <v>(含)-</v>
      </c>
      <c r="H103" s="523" t="str">
        <f t="shared" si="23"/>
        <v>(含)-</v>
      </c>
      <c r="I103" s="523" t="str">
        <f t="shared" si="23"/>
        <v>(含)-</v>
      </c>
      <c r="J103" s="523" t="str">
        <f t="shared" si="23"/>
        <v>(含)-</v>
      </c>
      <c r="K103" s="523" t="str">
        <f t="shared" si="23"/>
        <v>(含)-</v>
      </c>
      <c r="L103" s="523" t="str">
        <f t="shared" si="23"/>
        <v>(含)-</v>
      </c>
      <c r="M103" s="566"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18" customFormat="1">
      <c r="A104" s="538"/>
      <c r="B104" s="539"/>
      <c r="C104" s="540"/>
      <c r="D104" s="540"/>
      <c r="E104" s="540"/>
      <c r="F104" s="540"/>
      <c r="G104" s="540"/>
      <c r="H104" s="540"/>
      <c r="I104" s="540"/>
      <c r="J104" s="541"/>
      <c r="K104" s="541"/>
      <c r="L104" s="542"/>
      <c r="M104" s="543"/>
      <c r="N104" s="2745"/>
      <c r="O104" s="2745"/>
      <c r="P104" s="2753"/>
      <c r="Q104" s="2736"/>
      <c r="R104" s="2737"/>
      <c r="S104" s="2737"/>
      <c r="T104" s="2737"/>
      <c r="U104" s="2737"/>
      <c r="V104" s="2737"/>
      <c r="W104" s="2737"/>
      <c r="X104" s="2737"/>
      <c r="Y104" s="2737"/>
      <c r="Z104" s="2737"/>
      <c r="AA104" s="2737"/>
      <c r="AB104" s="2737"/>
      <c r="AC104" s="2737"/>
    </row>
    <row r="105" spans="1:29" s="418" customFormat="1" ht="15.75" thickBot="1">
      <c r="A105" s="498"/>
      <c r="B105" s="488"/>
      <c r="C105" s="505"/>
      <c r="D105" s="481"/>
      <c r="E105" s="481"/>
      <c r="F105" s="481"/>
      <c r="G105" s="481"/>
      <c r="H105" s="481"/>
      <c r="I105" s="481"/>
      <c r="J105" s="481"/>
      <c r="K105" s="481"/>
      <c r="L105" s="481"/>
      <c r="M105" s="482"/>
      <c r="N105" s="2744"/>
      <c r="O105" s="2744"/>
      <c r="P105" s="2753"/>
      <c r="Q105" s="2736"/>
      <c r="R105" s="2737"/>
      <c r="S105" s="2737"/>
      <c r="T105" s="2737"/>
      <c r="U105" s="2737"/>
      <c r="V105" s="2737"/>
      <c r="W105" s="2737"/>
      <c r="X105" s="2737"/>
      <c r="Y105" s="2737"/>
      <c r="Z105" s="2737"/>
      <c r="AA105" s="2737"/>
      <c r="AB105" s="2737"/>
      <c r="AC105" s="2737"/>
    </row>
    <row r="106" spans="1:29" ht="15" thickTop="1">
      <c r="A106" s="544"/>
      <c r="B106" s="483" t="s">
        <v>1738</v>
      </c>
      <c r="C106" s="499"/>
      <c r="D106" s="499"/>
      <c r="E106" s="528"/>
      <c r="F106" s="528"/>
      <c r="G106" s="528"/>
      <c r="H106" s="528"/>
      <c r="I106" s="528"/>
      <c r="J106" s="528"/>
      <c r="K106" s="529"/>
      <c r="L106" s="530"/>
      <c r="M106" s="531"/>
      <c r="N106" s="2743"/>
      <c r="O106" s="2743"/>
      <c r="P106" s="2752"/>
      <c r="Q106" s="2729"/>
      <c r="R106" s="2715"/>
      <c r="S106" s="2715"/>
      <c r="T106" s="2715"/>
      <c r="U106" s="2715"/>
      <c r="V106" s="2715"/>
      <c r="W106" s="2715"/>
      <c r="X106" s="2715"/>
      <c r="Y106" s="2715"/>
      <c r="Z106" s="2715"/>
      <c r="AA106" s="2715"/>
      <c r="AB106" s="2715"/>
      <c r="AC106" s="2715"/>
    </row>
    <row r="107" spans="1:29" ht="15.75" thickBot="1">
      <c r="A107" s="479"/>
      <c r="B107" s="488"/>
      <c r="C107" s="489">
        <v>100</v>
      </c>
      <c r="D107" s="489">
        <f t="shared" ref="D107:M107" si="24">C107-$K35</f>
        <v>100</v>
      </c>
      <c r="E107" s="489">
        <f t="shared" si="24"/>
        <v>100</v>
      </c>
      <c r="F107" s="489">
        <f t="shared" si="24"/>
        <v>100</v>
      </c>
      <c r="G107" s="489">
        <f t="shared" si="24"/>
        <v>100</v>
      </c>
      <c r="H107" s="489">
        <f t="shared" si="24"/>
        <v>100</v>
      </c>
      <c r="I107" s="489">
        <f t="shared" si="24"/>
        <v>100</v>
      </c>
      <c r="J107" s="489">
        <f t="shared" si="24"/>
        <v>100</v>
      </c>
      <c r="K107" s="489">
        <f t="shared" si="24"/>
        <v>100</v>
      </c>
      <c r="L107" s="489">
        <f t="shared" si="24"/>
        <v>100</v>
      </c>
      <c r="M107" s="490">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4"/>
      <c r="B108" s="483" t="s">
        <v>1740</v>
      </c>
      <c r="C108" s="499"/>
      <c r="D108" s="499"/>
      <c r="E108" s="499"/>
      <c r="F108" s="528"/>
      <c r="G108" s="528"/>
      <c r="H108" s="528"/>
      <c r="I108" s="528"/>
      <c r="J108" s="528"/>
      <c r="K108" s="529"/>
      <c r="L108" s="530"/>
      <c r="M108" s="531"/>
      <c r="N108" s="2743"/>
      <c r="O108" s="2743"/>
      <c r="P108" s="2752"/>
      <c r="Q108" s="2729"/>
      <c r="R108" s="2715"/>
      <c r="S108" s="2715"/>
      <c r="T108" s="2715"/>
      <c r="U108" s="2715"/>
      <c r="V108" s="2715"/>
      <c r="W108" s="2715"/>
      <c r="X108" s="2715"/>
      <c r="Y108" s="2715"/>
      <c r="Z108" s="2715"/>
      <c r="AA108" s="2715"/>
      <c r="AB108" s="2715"/>
      <c r="AC108" s="2715"/>
    </row>
    <row r="109" spans="1:29" ht="15.75" thickBot="1">
      <c r="A109" s="479"/>
      <c r="B109" s="488"/>
      <c r="C109" s="489">
        <v>100</v>
      </c>
      <c r="D109" s="489">
        <f t="shared" ref="D109:M109" si="25">C109-$K36</f>
        <v>100</v>
      </c>
      <c r="E109" s="489">
        <f t="shared" si="25"/>
        <v>100</v>
      </c>
      <c r="F109" s="489">
        <f t="shared" si="25"/>
        <v>100</v>
      </c>
      <c r="G109" s="489">
        <f t="shared" si="25"/>
        <v>100</v>
      </c>
      <c r="H109" s="489">
        <f t="shared" si="25"/>
        <v>100</v>
      </c>
      <c r="I109" s="489">
        <f t="shared" si="25"/>
        <v>100</v>
      </c>
      <c r="J109" s="489">
        <f t="shared" si="25"/>
        <v>100</v>
      </c>
      <c r="K109" s="489">
        <f t="shared" si="25"/>
        <v>100</v>
      </c>
      <c r="L109" s="489">
        <f t="shared" si="25"/>
        <v>100</v>
      </c>
      <c r="M109" s="490">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4"/>
      <c r="B110" s="483" t="s">
        <v>1190</v>
      </c>
      <c r="C110" s="523" t="str">
        <f>C111&amp;"(含)"&amp;"-"&amp;D111</f>
        <v>0.5(含)-0.6</v>
      </c>
      <c r="D110" s="523" t="str">
        <f>D111&amp;"(含)"&amp;"-"&amp;E111</f>
        <v>0.6(含)-0.7</v>
      </c>
      <c r="E110" s="523" t="str">
        <f>E111&amp;"(含)"&amp;"-"&amp;F111</f>
        <v>0.7(含)-0.8</v>
      </c>
      <c r="F110" s="523" t="str">
        <f>F111&amp;"(含)"&amp;"-"&amp;G111</f>
        <v>0.8(含)-0.9</v>
      </c>
      <c r="G110" s="523" t="str">
        <f>G111&amp;"(含)"&amp;"-"&amp;ROUND(H111,0)&amp;"(含)"</f>
        <v>0.9(含)-1(含)</v>
      </c>
      <c r="H110" s="523"/>
      <c r="I110" s="528"/>
      <c r="J110" s="528"/>
      <c r="K110" s="529"/>
      <c r="L110" s="530"/>
      <c r="M110" s="531"/>
      <c r="N110" s="2743"/>
      <c r="O110" s="2743"/>
      <c r="P110" s="2752"/>
      <c r="Q110" s="2729"/>
      <c r="R110" s="2715"/>
      <c r="S110" s="2715"/>
      <c r="T110" s="2715"/>
      <c r="U110" s="2715"/>
      <c r="V110" s="2715"/>
      <c r="W110" s="2715"/>
      <c r="X110" s="2715"/>
      <c r="Y110" s="2715"/>
      <c r="Z110" s="2715"/>
      <c r="AA110" s="2715"/>
      <c r="AB110" s="2715"/>
      <c r="AC110" s="2715"/>
    </row>
    <row r="111" spans="1:29">
      <c r="A111" s="544"/>
      <c r="B111" s="491"/>
      <c r="C111" s="548">
        <v>0.5</v>
      </c>
      <c r="D111" s="548">
        <v>0.6</v>
      </c>
      <c r="E111" s="548">
        <v>0.7</v>
      </c>
      <c r="F111" s="548">
        <v>0.8</v>
      </c>
      <c r="G111" s="548">
        <v>0.9</v>
      </c>
      <c r="H111" s="548">
        <v>1.0001</v>
      </c>
      <c r="I111" s="567"/>
      <c r="J111" s="567"/>
      <c r="K111" s="568"/>
      <c r="L111" s="569"/>
      <c r="M111" s="570"/>
      <c r="N111" s="2743"/>
      <c r="O111" s="2743"/>
      <c r="P111" s="2752"/>
      <c r="Q111" s="2729"/>
      <c r="R111" s="2715"/>
      <c r="S111" s="2715"/>
      <c r="T111" s="2715"/>
      <c r="U111" s="2715"/>
      <c r="V111" s="2715"/>
      <c r="W111" s="2715"/>
      <c r="X111" s="2715"/>
      <c r="Y111" s="2715"/>
      <c r="Z111" s="2715"/>
      <c r="AA111" s="2715"/>
      <c r="AB111" s="2715"/>
      <c r="AC111" s="2715"/>
    </row>
    <row r="112" spans="1:29" ht="15.75" thickBot="1">
      <c r="A112" s="479"/>
      <c r="B112" s="488"/>
      <c r="C112" s="527">
        <v>100</v>
      </c>
      <c r="D112" s="489">
        <f>C112+$K37</f>
        <v>100</v>
      </c>
      <c r="E112" s="489">
        <f t="shared" ref="E112:M112" si="26">D112+$K37</f>
        <v>100</v>
      </c>
      <c r="F112" s="489">
        <f t="shared" si="26"/>
        <v>100</v>
      </c>
      <c r="G112" s="489">
        <f t="shared" si="26"/>
        <v>100</v>
      </c>
      <c r="H112" s="489">
        <f t="shared" si="26"/>
        <v>100</v>
      </c>
      <c r="I112" s="489">
        <f t="shared" si="26"/>
        <v>100</v>
      </c>
      <c r="J112" s="489">
        <f t="shared" si="26"/>
        <v>100</v>
      </c>
      <c r="K112" s="489">
        <f t="shared" si="26"/>
        <v>100</v>
      </c>
      <c r="L112" s="489">
        <f t="shared" si="26"/>
        <v>100</v>
      </c>
      <c r="M112" s="489">
        <f t="shared" si="26"/>
        <v>100</v>
      </c>
      <c r="N112" s="2744"/>
      <c r="O112" s="2744"/>
      <c r="P112" s="2752"/>
      <c r="Q112" s="2729"/>
      <c r="R112" s="2715"/>
      <c r="S112" s="2715"/>
      <c r="T112" s="2715"/>
      <c r="U112" s="2715"/>
      <c r="V112" s="2715"/>
      <c r="W112" s="2715"/>
      <c r="X112" s="2715"/>
      <c r="Y112" s="2715"/>
      <c r="Z112" s="2715"/>
      <c r="AA112" s="2715"/>
      <c r="AB112" s="2715"/>
      <c r="AC112" s="2715"/>
    </row>
    <row r="113" spans="1:29" s="418" customFormat="1" ht="15" thickTop="1">
      <c r="A113" s="538"/>
      <c r="B113" s="483" t="s">
        <v>1824</v>
      </c>
      <c r="C113" s="499"/>
      <c r="D113" s="499"/>
      <c r="E113" s="499"/>
      <c r="F113" s="499"/>
      <c r="G113" s="499"/>
      <c r="H113" s="528"/>
      <c r="I113" s="528"/>
      <c r="J113" s="528"/>
      <c r="K113" s="529"/>
      <c r="L113" s="530"/>
      <c r="M113" s="531"/>
      <c r="N113" s="2745"/>
      <c r="O113" s="2745"/>
      <c r="P113" s="2753"/>
      <c r="Q113" s="2736"/>
      <c r="R113" s="2737"/>
      <c r="S113" s="2737"/>
      <c r="T113" s="2737"/>
      <c r="U113" s="2737"/>
      <c r="V113" s="2737"/>
      <c r="W113" s="2737"/>
      <c r="X113" s="2737"/>
      <c r="Y113" s="2737"/>
      <c r="Z113" s="2737"/>
      <c r="AA113" s="2737"/>
      <c r="AB113" s="2737"/>
      <c r="AC113" s="2737"/>
    </row>
    <row r="114" spans="1:29" s="418" customFormat="1" ht="15.75" thickBot="1">
      <c r="A114" s="498"/>
      <c r="B114" s="488"/>
      <c r="C114" s="489">
        <v>100</v>
      </c>
      <c r="D114" s="489">
        <f>C114-$K38</f>
        <v>100</v>
      </c>
      <c r="E114" s="489">
        <f t="shared" ref="E114:M114" si="27">D114-$K38</f>
        <v>100</v>
      </c>
      <c r="F114" s="489">
        <f t="shared" si="27"/>
        <v>100</v>
      </c>
      <c r="G114" s="489">
        <f t="shared" si="27"/>
        <v>100</v>
      </c>
      <c r="H114" s="489">
        <f t="shared" si="27"/>
        <v>100</v>
      </c>
      <c r="I114" s="489">
        <f t="shared" si="27"/>
        <v>100</v>
      </c>
      <c r="J114" s="489">
        <f t="shared" si="27"/>
        <v>100</v>
      </c>
      <c r="K114" s="489">
        <f t="shared" si="27"/>
        <v>100</v>
      </c>
      <c r="L114" s="489">
        <f t="shared" si="27"/>
        <v>100</v>
      </c>
      <c r="M114" s="489">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4"/>
      <c r="B115" s="483" t="s">
        <v>1741</v>
      </c>
      <c r="C115" s="499"/>
      <c r="D115" s="499"/>
      <c r="E115" s="528"/>
      <c r="F115" s="528"/>
      <c r="G115" s="528"/>
      <c r="H115" s="528"/>
      <c r="I115" s="528"/>
      <c r="J115" s="528"/>
      <c r="K115" s="529"/>
      <c r="L115" s="530"/>
      <c r="M115" s="531"/>
      <c r="N115" s="2743"/>
      <c r="O115" s="2743"/>
      <c r="P115" s="2752"/>
      <c r="Q115" s="2729"/>
      <c r="R115" s="2715"/>
      <c r="S115" s="2715"/>
      <c r="T115" s="2715"/>
      <c r="U115" s="2715"/>
      <c r="V115" s="2715"/>
      <c r="W115" s="2715"/>
      <c r="X115" s="2715"/>
      <c r="Y115" s="2715"/>
      <c r="Z115" s="2715"/>
      <c r="AA115" s="2715"/>
      <c r="AB115" s="2715"/>
      <c r="AC115" s="2715"/>
    </row>
    <row r="116" spans="1:29" ht="15.75" thickBot="1">
      <c r="A116" s="479"/>
      <c r="B116" s="488"/>
      <c r="C116" s="489">
        <v>100</v>
      </c>
      <c r="D116" s="489">
        <f t="shared" ref="D116:M116" si="28">C116-$K39</f>
        <v>100</v>
      </c>
      <c r="E116" s="489">
        <f t="shared" si="28"/>
        <v>100</v>
      </c>
      <c r="F116" s="489">
        <f t="shared" si="28"/>
        <v>100</v>
      </c>
      <c r="G116" s="489">
        <f t="shared" si="28"/>
        <v>100</v>
      </c>
      <c r="H116" s="489">
        <f t="shared" si="28"/>
        <v>100</v>
      </c>
      <c r="I116" s="489">
        <f t="shared" si="28"/>
        <v>100</v>
      </c>
      <c r="J116" s="489">
        <f t="shared" si="28"/>
        <v>100</v>
      </c>
      <c r="K116" s="489">
        <f t="shared" si="28"/>
        <v>100</v>
      </c>
      <c r="L116" s="489">
        <f t="shared" si="28"/>
        <v>100</v>
      </c>
      <c r="M116" s="490">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4"/>
      <c r="B117" s="483" t="s">
        <v>1742</v>
      </c>
      <c r="C117" s="499"/>
      <c r="D117" s="499"/>
      <c r="E117" s="499"/>
      <c r="F117" s="499"/>
      <c r="G117" s="499"/>
      <c r="H117" s="528"/>
      <c r="I117" s="528"/>
      <c r="J117" s="528"/>
      <c r="K117" s="529"/>
      <c r="L117" s="530"/>
      <c r="M117" s="531"/>
      <c r="N117" s="2743"/>
      <c r="O117" s="2743"/>
      <c r="P117" s="2752"/>
      <c r="Q117" s="2729"/>
      <c r="R117" s="2715"/>
      <c r="S117" s="2715"/>
      <c r="T117" s="2715"/>
      <c r="U117" s="2715"/>
      <c r="V117" s="2715"/>
      <c r="W117" s="2715"/>
      <c r="X117" s="2715"/>
      <c r="Y117" s="2715"/>
      <c r="Z117" s="2715"/>
      <c r="AA117" s="2715"/>
      <c r="AB117" s="2715"/>
      <c r="AC117" s="2715"/>
    </row>
    <row r="118" spans="1:29" ht="15.75" thickBot="1">
      <c r="A118" s="479"/>
      <c r="B118" s="488"/>
      <c r="C118" s="489">
        <v>100</v>
      </c>
      <c r="D118" s="489">
        <f>C118-$K40</f>
        <v>100</v>
      </c>
      <c r="E118" s="489">
        <f>D118-$K40</f>
        <v>100</v>
      </c>
      <c r="F118" s="489">
        <f>E118-$K40</f>
        <v>100</v>
      </c>
      <c r="G118" s="489">
        <f>F118-$K40</f>
        <v>100</v>
      </c>
      <c r="H118" s="489"/>
      <c r="I118" s="489"/>
      <c r="J118" s="489"/>
      <c r="K118" s="489"/>
      <c r="L118" s="489"/>
      <c r="M118" s="490"/>
      <c r="N118" s="2744"/>
      <c r="O118" s="2744"/>
      <c r="P118" s="2752"/>
      <c r="Q118" s="2729"/>
      <c r="R118" s="2715"/>
      <c r="S118" s="2715"/>
      <c r="T118" s="2715"/>
      <c r="U118" s="2715"/>
      <c r="V118" s="2715"/>
      <c r="W118" s="2715"/>
      <c r="X118" s="2715"/>
      <c r="Y118" s="2715"/>
      <c r="Z118" s="2715"/>
      <c r="AA118" s="2715"/>
      <c r="AB118" s="2715"/>
      <c r="AC118" s="2715"/>
    </row>
    <row r="119" spans="1:29" ht="15" thickTop="1">
      <c r="A119" s="544"/>
      <c r="B119" s="580" t="s">
        <v>1825</v>
      </c>
      <c r="C119" s="528"/>
      <c r="D119" s="528"/>
      <c r="E119" s="528"/>
      <c r="F119" s="528"/>
      <c r="G119" s="528"/>
      <c r="H119" s="528"/>
      <c r="I119" s="528"/>
      <c r="J119" s="528"/>
      <c r="K119" s="528"/>
      <c r="L119" s="1964"/>
      <c r="M119" s="1965"/>
      <c r="N119" s="2744"/>
      <c r="O119" s="2744"/>
      <c r="P119" s="2757"/>
      <c r="Q119" s="2758"/>
      <c r="R119" s="2715"/>
      <c r="S119" s="2715"/>
      <c r="T119" s="2715"/>
      <c r="U119" s="2715"/>
      <c r="V119" s="2715"/>
      <c r="W119" s="2715"/>
      <c r="X119" s="2715"/>
      <c r="Y119" s="2715"/>
      <c r="Z119" s="2715"/>
      <c r="AA119" s="2715"/>
      <c r="AB119" s="2715"/>
      <c r="AC119" s="2715"/>
    </row>
    <row r="120" spans="1:29" ht="15.75" thickBot="1">
      <c r="A120" s="479"/>
      <c r="B120" s="488"/>
      <c r="C120" s="527">
        <v>100</v>
      </c>
      <c r="D120" s="489">
        <f>C120-$K41</f>
        <v>100</v>
      </c>
      <c r="E120" s="489">
        <f t="shared" ref="E120:M120" si="29">D120-$K41</f>
        <v>100</v>
      </c>
      <c r="F120" s="489">
        <f t="shared" si="29"/>
        <v>100</v>
      </c>
      <c r="G120" s="489">
        <f t="shared" si="29"/>
        <v>100</v>
      </c>
      <c r="H120" s="489">
        <f t="shared" si="29"/>
        <v>100</v>
      </c>
      <c r="I120" s="489">
        <f t="shared" si="29"/>
        <v>100</v>
      </c>
      <c r="J120" s="489">
        <f t="shared" si="29"/>
        <v>100</v>
      </c>
      <c r="K120" s="489">
        <f t="shared" si="29"/>
        <v>100</v>
      </c>
      <c r="L120" s="489">
        <f t="shared" si="29"/>
        <v>100</v>
      </c>
      <c r="M120" s="489">
        <f t="shared" si="29"/>
        <v>100</v>
      </c>
      <c r="N120" s="2744"/>
      <c r="O120" s="2744"/>
      <c r="P120" s="2752"/>
      <c r="Q120" s="2729"/>
      <c r="R120" s="2715"/>
      <c r="S120" s="2715"/>
      <c r="T120" s="2715"/>
      <c r="U120" s="2715"/>
      <c r="V120" s="2715"/>
      <c r="W120" s="2715"/>
      <c r="X120" s="2715"/>
      <c r="Y120" s="2715"/>
      <c r="Z120" s="2715"/>
      <c r="AA120" s="2715"/>
      <c r="AB120" s="2715"/>
      <c r="AC120" s="2715"/>
    </row>
    <row r="121" spans="1:29" s="418" customFormat="1" ht="15" thickTop="1">
      <c r="A121" s="538"/>
      <c r="B121" s="483" t="s">
        <v>1808</v>
      </c>
      <c r="C121" s="499"/>
      <c r="D121" s="499"/>
      <c r="E121" s="499"/>
      <c r="F121" s="528"/>
      <c r="G121" s="500"/>
      <c r="H121" s="500"/>
      <c r="I121" s="500"/>
      <c r="J121" s="500"/>
      <c r="K121" s="500"/>
      <c r="L121" s="501"/>
      <c r="M121" s="502"/>
      <c r="N121" s="2745"/>
      <c r="O121" s="2745"/>
      <c r="P121" s="2753"/>
      <c r="Q121" s="2736"/>
      <c r="R121" s="2737"/>
      <c r="S121" s="2737"/>
      <c r="T121" s="2737"/>
      <c r="U121" s="2737"/>
      <c r="V121" s="2737"/>
      <c r="W121" s="2737"/>
      <c r="X121" s="2737"/>
      <c r="Y121" s="2737"/>
      <c r="Z121" s="2737"/>
      <c r="AA121" s="2737"/>
      <c r="AB121" s="2737"/>
      <c r="AC121" s="2737"/>
    </row>
    <row r="122" spans="1:29" s="418" customFormat="1" ht="15.75" thickBot="1">
      <c r="A122" s="498"/>
      <c r="B122" s="480"/>
      <c r="C122" s="505"/>
      <c r="D122" s="505"/>
      <c r="E122" s="505"/>
      <c r="F122" s="505"/>
      <c r="G122" s="505"/>
      <c r="H122" s="505"/>
      <c r="I122" s="505"/>
      <c r="J122" s="505"/>
      <c r="K122" s="505"/>
      <c r="L122" s="505"/>
      <c r="M122" s="505"/>
      <c r="N122" s="2745"/>
      <c r="O122" s="2745"/>
      <c r="P122" s="2753"/>
      <c r="Q122" s="2736"/>
      <c r="R122" s="2737"/>
      <c r="S122" s="2737"/>
      <c r="T122" s="2737"/>
      <c r="U122" s="2737"/>
      <c r="V122" s="2737"/>
      <c r="W122" s="2737"/>
      <c r="X122" s="2737"/>
      <c r="Y122" s="2737"/>
      <c r="Z122" s="2737"/>
      <c r="AA122" s="2737"/>
      <c r="AB122" s="2737"/>
      <c r="AC122" s="2737"/>
    </row>
    <row r="123" spans="1:29" ht="15" thickTop="1">
      <c r="A123" s="544"/>
      <c r="B123" s="483" t="s">
        <v>1744</v>
      </c>
      <c r="C123" s="499"/>
      <c r="D123" s="499"/>
      <c r="E123" s="499"/>
      <c r="F123" s="528"/>
      <c r="G123" s="528"/>
      <c r="H123" s="528"/>
      <c r="I123" s="528"/>
      <c r="J123" s="528"/>
      <c r="K123" s="529"/>
      <c r="L123" s="530"/>
      <c r="M123" s="531"/>
      <c r="N123" s="2743"/>
      <c r="O123" s="2743"/>
      <c r="P123" s="2752"/>
      <c r="Q123" s="2729"/>
      <c r="R123" s="2715"/>
      <c r="S123" s="2715"/>
      <c r="T123" s="2715"/>
      <c r="U123" s="2715"/>
      <c r="V123" s="2715"/>
      <c r="W123" s="2715"/>
      <c r="X123" s="2715"/>
      <c r="Y123" s="2715"/>
      <c r="Z123" s="2715"/>
      <c r="AA123" s="2715"/>
      <c r="AB123" s="2715"/>
      <c r="AC123" s="2715"/>
    </row>
    <row r="124" spans="1:29" ht="15.75" thickBot="1">
      <c r="A124" s="479"/>
      <c r="B124" s="488"/>
      <c r="C124" s="489">
        <v>100</v>
      </c>
      <c r="D124" s="489">
        <f t="shared" ref="D124:M124" si="30">C124-$K43</f>
        <v>100</v>
      </c>
      <c r="E124" s="489">
        <f t="shared" si="30"/>
        <v>100</v>
      </c>
      <c r="F124" s="489">
        <f t="shared" si="30"/>
        <v>100</v>
      </c>
      <c r="G124" s="489">
        <f t="shared" si="30"/>
        <v>100</v>
      </c>
      <c r="H124" s="489">
        <f t="shared" si="30"/>
        <v>100</v>
      </c>
      <c r="I124" s="489">
        <f t="shared" si="30"/>
        <v>100</v>
      </c>
      <c r="J124" s="489">
        <f t="shared" si="30"/>
        <v>100</v>
      </c>
      <c r="K124" s="489">
        <f t="shared" si="30"/>
        <v>100</v>
      </c>
      <c r="L124" s="489">
        <f t="shared" si="30"/>
        <v>100</v>
      </c>
      <c r="M124" s="490">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4"/>
      <c r="B125" s="483" t="s">
        <v>1745</v>
      </c>
      <c r="C125" s="523" t="s">
        <v>1721</v>
      </c>
      <c r="D125" s="523" t="s">
        <v>1722</v>
      </c>
      <c r="E125" s="523" t="s">
        <v>1723</v>
      </c>
      <c r="F125" s="523" t="s">
        <v>1724</v>
      </c>
      <c r="G125" s="523" t="s">
        <v>1725</v>
      </c>
      <c r="H125" s="484"/>
      <c r="I125" s="484"/>
      <c r="J125" s="484"/>
      <c r="K125" s="485"/>
      <c r="L125" s="486"/>
      <c r="M125" s="487"/>
      <c r="N125" s="2743"/>
      <c r="O125" s="2743"/>
      <c r="P125" s="2753"/>
      <c r="Q125" s="2729"/>
      <c r="R125" s="2715"/>
      <c r="S125" s="2715"/>
      <c r="T125" s="2715"/>
      <c r="U125" s="2715"/>
      <c r="V125" s="2715"/>
      <c r="W125" s="2715"/>
      <c r="X125" s="2715"/>
      <c r="Y125" s="2715"/>
      <c r="Z125" s="2715"/>
      <c r="AA125" s="2715"/>
      <c r="AB125" s="2715"/>
      <c r="AC125" s="2715"/>
    </row>
    <row r="126" spans="1:29" ht="15.75" thickBot="1">
      <c r="A126" s="479"/>
      <c r="B126" s="488"/>
      <c r="C126" s="489">
        <v>100</v>
      </c>
      <c r="D126" s="489">
        <f>C126-$K44</f>
        <v>100</v>
      </c>
      <c r="E126" s="489">
        <f>D126-$K44</f>
        <v>100</v>
      </c>
      <c r="F126" s="489">
        <f>E126-$K44</f>
        <v>100</v>
      </c>
      <c r="G126" s="489">
        <f>F126-$K44</f>
        <v>100</v>
      </c>
      <c r="H126" s="489"/>
      <c r="I126" s="489"/>
      <c r="J126" s="489"/>
      <c r="K126" s="489"/>
      <c r="L126" s="489"/>
      <c r="M126" s="490"/>
      <c r="N126" s="2744"/>
      <c r="O126" s="2744"/>
      <c r="P126" s="2752"/>
      <c r="Q126" s="2729"/>
      <c r="R126" s="2715"/>
      <c r="S126" s="2715"/>
      <c r="T126" s="2715"/>
      <c r="U126" s="2715"/>
      <c r="V126" s="2715"/>
      <c r="W126" s="2715"/>
      <c r="X126" s="2715"/>
      <c r="Y126" s="2715"/>
      <c r="Z126" s="2715"/>
      <c r="AA126" s="2715"/>
      <c r="AB126" s="2715"/>
      <c r="AC126" s="2715"/>
    </row>
    <row r="127" spans="1:29" s="418" customFormat="1" ht="15" thickTop="1">
      <c r="A127" s="538"/>
      <c r="B127" s="483">
        <f>B45</f>
        <v>111</v>
      </c>
      <c r="C127" s="499"/>
      <c r="D127" s="499"/>
      <c r="E127" s="499"/>
      <c r="F127" s="499"/>
      <c r="G127" s="499"/>
      <c r="H127" s="500"/>
      <c r="I127" s="500"/>
      <c r="J127" s="500"/>
      <c r="K127" s="500"/>
      <c r="L127" s="501"/>
      <c r="M127" s="502"/>
      <c r="N127" s="2745"/>
      <c r="O127" s="2745"/>
      <c r="P127" s="2753"/>
      <c r="Q127" s="2736"/>
      <c r="R127" s="2737"/>
      <c r="S127" s="2737"/>
      <c r="T127" s="2737"/>
      <c r="U127" s="2737"/>
      <c r="V127" s="2737"/>
      <c r="W127" s="2737"/>
      <c r="X127" s="2737"/>
      <c r="Y127" s="2737"/>
      <c r="Z127" s="2737"/>
      <c r="AA127" s="2737"/>
      <c r="AB127" s="2737"/>
      <c r="AC127" s="2737"/>
    </row>
    <row r="128" spans="1:29" s="418" customFormat="1" ht="15.75" thickBot="1">
      <c r="A128" s="498"/>
      <c r="B128" s="488"/>
      <c r="C128" s="505"/>
      <c r="D128" s="481"/>
      <c r="E128" s="481"/>
      <c r="F128" s="481"/>
      <c r="G128" s="505"/>
      <c r="H128" s="507"/>
      <c r="I128" s="507"/>
      <c r="J128" s="507"/>
      <c r="K128" s="507"/>
      <c r="L128" s="507"/>
      <c r="M128" s="508"/>
      <c r="N128" s="2745"/>
      <c r="O128" s="2745"/>
      <c r="P128" s="2753"/>
      <c r="Q128" s="2736"/>
      <c r="R128" s="2737"/>
      <c r="S128" s="2737"/>
      <c r="T128" s="2737"/>
      <c r="U128" s="2737"/>
      <c r="V128" s="2737"/>
      <c r="W128" s="2737"/>
      <c r="X128" s="2737"/>
      <c r="Y128" s="2737"/>
      <c r="Z128" s="2737"/>
      <c r="AA128" s="2737"/>
      <c r="AB128" s="2737"/>
      <c r="AC128" s="2737"/>
    </row>
    <row r="129" spans="1:29" ht="15" thickTop="1">
      <c r="A129" s="544"/>
      <c r="B129" s="483">
        <f>B46</f>
        <v>111</v>
      </c>
      <c r="C129" s="499"/>
      <c r="D129" s="499"/>
      <c r="E129" s="499"/>
      <c r="F129" s="499"/>
      <c r="G129" s="528"/>
      <c r="H129" s="528"/>
      <c r="I129" s="528"/>
      <c r="J129" s="528"/>
      <c r="K129" s="529"/>
      <c r="L129" s="530"/>
      <c r="M129" s="531"/>
      <c r="N129" s="2743"/>
      <c r="O129" s="2743"/>
      <c r="P129" s="2752"/>
      <c r="Q129" s="2729"/>
      <c r="R129" s="2715"/>
      <c r="S129" s="2715"/>
      <c r="T129" s="2715"/>
      <c r="U129" s="2715"/>
      <c r="V129" s="2715"/>
      <c r="W129" s="2715"/>
      <c r="X129" s="2715"/>
      <c r="Y129" s="2715"/>
      <c r="Z129" s="2715"/>
      <c r="AA129" s="2715"/>
      <c r="AB129" s="2715"/>
      <c r="AC129" s="2715"/>
    </row>
    <row r="130" spans="1:29" ht="15.75" thickBot="1">
      <c r="A130" s="479"/>
      <c r="B130" s="488"/>
      <c r="C130" s="505"/>
      <c r="D130" s="505"/>
      <c r="E130" s="505"/>
      <c r="F130" s="505"/>
      <c r="G130" s="481"/>
      <c r="H130" s="481"/>
      <c r="I130" s="481"/>
      <c r="J130" s="481"/>
      <c r="K130" s="481"/>
      <c r="L130" s="481"/>
      <c r="M130" s="482"/>
      <c r="N130" s="2744"/>
      <c r="O130" s="2744"/>
      <c r="P130" s="2752"/>
      <c r="Q130" s="2729"/>
      <c r="R130" s="2715"/>
      <c r="S130" s="2715"/>
      <c r="T130" s="2715"/>
      <c r="U130" s="2715"/>
      <c r="V130" s="2715"/>
      <c r="W130" s="2715"/>
      <c r="X130" s="2715"/>
      <c r="Y130" s="2715"/>
      <c r="Z130" s="2715"/>
      <c r="AA130" s="2715"/>
      <c r="AB130" s="2715"/>
      <c r="AC130" s="2715"/>
    </row>
    <row r="131" spans="1:29" ht="15" thickTop="1">
      <c r="A131" s="544"/>
      <c r="B131" s="491">
        <f>B47</f>
        <v>111</v>
      </c>
      <c r="C131" s="468"/>
      <c r="D131" s="468"/>
      <c r="E131" s="468"/>
      <c r="F131" s="468"/>
      <c r="G131" s="532"/>
      <c r="H131" s="532"/>
      <c r="I131" s="532"/>
      <c r="J131" s="532"/>
      <c r="K131" s="468"/>
      <c r="L131" s="469"/>
      <c r="M131" s="535"/>
      <c r="N131" s="2743"/>
      <c r="O131" s="2743"/>
      <c r="P131" s="2752"/>
      <c r="Q131" s="2729"/>
      <c r="R131" s="2715"/>
      <c r="S131" s="2715"/>
      <c r="T131" s="2715"/>
      <c r="U131" s="2715"/>
      <c r="V131" s="2715"/>
      <c r="W131" s="2715"/>
      <c r="X131" s="2715"/>
      <c r="Y131" s="2715"/>
      <c r="Z131" s="2715"/>
      <c r="AA131" s="2715"/>
      <c r="AB131" s="2715"/>
      <c r="AC131" s="2715"/>
    </row>
    <row r="132" spans="1:29" ht="15.75" thickBot="1">
      <c r="A132" s="1924"/>
      <c r="B132" s="514"/>
      <c r="C132" s="515"/>
      <c r="D132" s="515"/>
      <c r="E132" s="515"/>
      <c r="F132" s="515"/>
      <c r="G132" s="536"/>
      <c r="H132" s="536"/>
      <c r="I132" s="536"/>
      <c r="J132" s="536"/>
      <c r="K132" s="536"/>
      <c r="L132" s="536"/>
      <c r="M132" s="537"/>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1660</v>
      </c>
      <c r="B1" s="1953" t="s">
        <v>1826</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8" customFormat="1" ht="28.5" customHeight="1" thickBot="1">
      <c r="A3" s="199" t="s">
        <v>1464</v>
      </c>
      <c r="B3" s="554">
        <f>IF(C2="——",C43,ROUND(B2*10000/D3,0))</f>
        <v>0</v>
      </c>
      <c r="C3" s="350" t="s">
        <v>1768</v>
      </c>
      <c r="D3" s="349">
        <f>IF(D1="",'数据-汇总表'!E3,SUMIF('数据-汇总表'!$C19:$C33,D1,'数据-汇总表'!$E19:$E33))</f>
        <v>103096.20000000001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1" t="s">
        <v>1769</v>
      </c>
      <c r="B4" s="352"/>
      <c r="C4" s="3730" t="s">
        <v>1770</v>
      </c>
      <c r="D4" s="3742"/>
      <c r="E4" s="3743" t="s">
        <v>1771</v>
      </c>
      <c r="F4" s="3744"/>
      <c r="G4" s="3730" t="s">
        <v>1772</v>
      </c>
      <c r="H4" s="3742"/>
      <c r="I4" s="3730" t="s">
        <v>1773</v>
      </c>
      <c r="J4" s="3742"/>
      <c r="K4" s="555" t="s">
        <v>1774</v>
      </c>
      <c r="L4" s="909"/>
      <c r="M4" s="910"/>
      <c r="N4" s="910"/>
      <c r="O4" s="910"/>
      <c r="P4" s="3745" t="s">
        <v>1775</v>
      </c>
      <c r="Q4" s="3746"/>
      <c r="R4" s="3751" t="s">
        <v>1771</v>
      </c>
      <c r="S4" s="3752"/>
      <c r="T4" s="3751" t="s">
        <v>1772</v>
      </c>
      <c r="U4" s="3752"/>
      <c r="V4" s="3738" t="s">
        <v>1773</v>
      </c>
      <c r="W4" s="3738"/>
      <c r="X4" s="1351"/>
      <c r="Y4" s="3751" t="s">
        <v>1775</v>
      </c>
      <c r="Z4" s="3752"/>
      <c r="AA4" s="3739" t="s">
        <v>1771</v>
      </c>
      <c r="AB4" s="3740" t="s">
        <v>1772</v>
      </c>
      <c r="AC4" s="3739" t="s">
        <v>1773</v>
      </c>
    </row>
    <row r="5" spans="1:29" ht="15">
      <c r="A5" s="354"/>
      <c r="B5" s="355"/>
      <c r="C5" s="3759" t="s">
        <v>1673</v>
      </c>
      <c r="D5" s="3760"/>
      <c r="E5" s="3766" t="s">
        <v>1674</v>
      </c>
      <c r="F5" s="3767"/>
      <c r="G5" s="3759" t="s">
        <v>1675</v>
      </c>
      <c r="H5" s="3760"/>
      <c r="I5" s="3759" t="s">
        <v>1676</v>
      </c>
      <c r="J5" s="3760"/>
      <c r="K5" s="555"/>
      <c r="L5" s="909"/>
      <c r="M5" s="910"/>
      <c r="N5" s="910"/>
      <c r="O5" s="910"/>
      <c r="P5" s="3747"/>
      <c r="Q5" s="3748"/>
      <c r="R5" s="3753"/>
      <c r="S5" s="3754"/>
      <c r="T5" s="3753"/>
      <c r="U5" s="3754"/>
      <c r="V5" s="3738"/>
      <c r="W5" s="3738"/>
      <c r="X5" s="1351"/>
      <c r="Y5" s="3753"/>
      <c r="Z5" s="3754"/>
      <c r="AA5" s="3740"/>
      <c r="AB5" s="3740"/>
      <c r="AC5" s="3740"/>
    </row>
    <row r="6" spans="1:29" ht="15.75" thickBot="1">
      <c r="A6" s="356"/>
      <c r="B6" s="357"/>
      <c r="C6" s="3757" t="s">
        <v>1677</v>
      </c>
      <c r="D6" s="3758"/>
      <c r="E6" s="3764" t="s">
        <v>1677</v>
      </c>
      <c r="F6" s="3765"/>
      <c r="G6" s="3757" t="s">
        <v>1677</v>
      </c>
      <c r="H6" s="3758"/>
      <c r="I6" s="3757" t="s">
        <v>1677</v>
      </c>
      <c r="J6" s="3758"/>
      <c r="K6" s="555" t="s">
        <v>1678</v>
      </c>
      <c r="L6" s="909"/>
      <c r="M6" s="910"/>
      <c r="N6" s="910"/>
      <c r="O6" s="910"/>
      <c r="P6" s="3749"/>
      <c r="Q6" s="3750"/>
      <c r="R6" s="3753"/>
      <c r="S6" s="3754"/>
      <c r="T6" s="3755"/>
      <c r="U6" s="3756"/>
      <c r="V6" s="3738"/>
      <c r="W6" s="3738"/>
      <c r="X6" s="1351"/>
      <c r="Y6" s="3755"/>
      <c r="Z6" s="3756"/>
      <c r="AA6" s="3741"/>
      <c r="AB6" s="3741"/>
      <c r="AC6" s="3741"/>
    </row>
    <row r="7" spans="1:29" s="106" customFormat="1" ht="15.75" thickBot="1">
      <c r="A7" s="358" t="s">
        <v>1679</v>
      </c>
      <c r="B7" s="359"/>
      <c r="C7" s="360">
        <f>'数据-取费表'!B2</f>
        <v>44992</v>
      </c>
      <c r="D7" s="361">
        <v>100</v>
      </c>
      <c r="E7" s="362"/>
      <c r="F7" s="363">
        <f>SUMIF(52:52,YEAR(E7)&amp;"-"&amp;MONTH(E7),53:53)</f>
        <v>0</v>
      </c>
      <c r="G7" s="362"/>
      <c r="H7" s="361">
        <f>SUMIF(52:52,YEAR(G7)&amp;"-"&amp;MONTH(G7),53:53)</f>
        <v>0</v>
      </c>
      <c r="I7" s="362"/>
      <c r="J7" s="361">
        <f>SUMIF(52:52,YEAR(I7)&amp;"-"&amp;MONTH(I7),53:53)</f>
        <v>0</v>
      </c>
      <c r="K7" s="556"/>
      <c r="L7" s="911"/>
      <c r="M7" s="912"/>
      <c r="N7" s="912"/>
      <c r="O7" s="912"/>
      <c r="P7" s="3761" t="s">
        <v>1680</v>
      </c>
      <c r="Q7" s="3763"/>
      <c r="R7" s="697" t="s">
        <v>14</v>
      </c>
      <c r="S7" s="698">
        <f t="shared" ref="S7:S15" si="0">F7</f>
        <v>0</v>
      </c>
      <c r="T7" s="697" t="s">
        <v>14</v>
      </c>
      <c r="U7" s="698">
        <f t="shared" ref="U7:U15" si="1">H7</f>
        <v>0</v>
      </c>
      <c r="V7" s="697" t="s">
        <v>14</v>
      </c>
      <c r="W7" s="698">
        <f t="shared" ref="W7:W15" si="2">J7</f>
        <v>0</v>
      </c>
      <c r="X7" s="699"/>
      <c r="Y7" s="3761" t="s">
        <v>1680</v>
      </c>
      <c r="Z7" s="3762"/>
      <c r="AA7" s="700" t="e">
        <f>D7/F7</f>
        <v>#DIV/0!</v>
      </c>
      <c r="AB7" s="700" t="e">
        <f>D7/H7</f>
        <v>#DIV/0!</v>
      </c>
      <c r="AC7" s="700" t="e">
        <f>D7/J7</f>
        <v>#DIV/0!</v>
      </c>
    </row>
    <row r="8" spans="1:29" s="106" customFormat="1" ht="15.75" thickBot="1">
      <c r="A8" s="358" t="s">
        <v>1681</v>
      </c>
      <c r="B8" s="359"/>
      <c r="C8" s="364"/>
      <c r="D8" s="361">
        <v>100</v>
      </c>
      <c r="E8" s="364"/>
      <c r="F8" s="363">
        <f>SUMIF(55:55,E8,56:56)-SUMIF(55:55,C8,56:56)+100</f>
        <v>100</v>
      </c>
      <c r="G8" s="364"/>
      <c r="H8" s="361">
        <f>SUMIF(55:55,G8,56:56)-SUMIF(55:55,C8,56:56)+100</f>
        <v>100</v>
      </c>
      <c r="I8" s="364"/>
      <c r="J8" s="361">
        <f>SUMIF(55:55,I8,56:56)-SUMIF(55:55,C8,56:56)+100</f>
        <v>100</v>
      </c>
      <c r="K8" s="556"/>
      <c r="L8" s="911"/>
      <c r="M8" s="912"/>
      <c r="N8" s="912"/>
      <c r="O8" s="912"/>
      <c r="P8" s="3761" t="s">
        <v>1683</v>
      </c>
      <c r="Q8" s="3762"/>
      <c r="R8" s="697" t="s">
        <v>14</v>
      </c>
      <c r="S8" s="698">
        <f t="shared" si="0"/>
        <v>100</v>
      </c>
      <c r="T8" s="697" t="s">
        <v>14</v>
      </c>
      <c r="U8" s="698">
        <f t="shared" si="1"/>
        <v>100</v>
      </c>
      <c r="V8" s="697" t="s">
        <v>14</v>
      </c>
      <c r="W8" s="698">
        <f t="shared" si="2"/>
        <v>100</v>
      </c>
      <c r="X8" s="699"/>
      <c r="Y8" s="3761" t="s">
        <v>1683</v>
      </c>
      <c r="Z8" s="3762"/>
      <c r="AA8" s="700">
        <f t="shared" ref="AA8:AA40" si="3">D8/F8</f>
        <v>1</v>
      </c>
      <c r="AB8" s="700">
        <f t="shared" ref="AB8:AB40" si="4">D8/H8</f>
        <v>1</v>
      </c>
      <c r="AC8" s="700">
        <f t="shared" ref="AC8:AC40" si="5">D8/J8</f>
        <v>1</v>
      </c>
    </row>
    <row r="9" spans="1:29" s="106" customFormat="1">
      <c r="A9" s="365" t="s">
        <v>1684</v>
      </c>
      <c r="B9" s="63" t="s">
        <v>1685</v>
      </c>
      <c r="C9" s="366"/>
      <c r="D9" s="122">
        <v>100</v>
      </c>
      <c r="E9" s="369"/>
      <c r="F9" s="122">
        <f>SUMIF(57:57,E9,58:58)-SUMIF(57:57,C9,58:58)+100</f>
        <v>100</v>
      </c>
      <c r="G9" s="367"/>
      <c r="H9" s="122">
        <f>SUMIF(57:57,G9,58:58)-SUMIF(57:57,C9,58:58)+100</f>
        <v>100</v>
      </c>
      <c r="I9" s="367"/>
      <c r="J9" s="122">
        <f>SUMIF(57:57,I9,58:58)-SUMIF(57:57,C9,58:58)+100</f>
        <v>100</v>
      </c>
      <c r="K9" s="556"/>
      <c r="L9" s="911"/>
      <c r="M9" s="912"/>
      <c r="N9" s="912"/>
      <c r="O9" s="913"/>
      <c r="P9" s="3733"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700">
        <f t="shared" si="5"/>
        <v>1</v>
      </c>
    </row>
    <row r="10" spans="1:29" s="374" customFormat="1" ht="27">
      <c r="A10" s="370"/>
      <c r="B10" s="371" t="s">
        <v>1688</v>
      </c>
      <c r="C10" s="3424"/>
      <c r="D10" s="123">
        <v>100</v>
      </c>
      <c r="E10" s="3424"/>
      <c r="F10" s="123">
        <f>SUMIF(59:59,E10,60:60)-SUMIF(59:59,C10,60:60)+100</f>
        <v>100</v>
      </c>
      <c r="G10" s="3425"/>
      <c r="H10" s="123">
        <f>SUMIF(59:59,G10,60:60)-SUMIF(59:59,C10,60:60)+100</f>
        <v>100</v>
      </c>
      <c r="I10" s="3424"/>
      <c r="J10" s="123">
        <f>SUMIF(59:59,I10,60:60)-SUMIF(59:59,C10,60:60)+100</f>
        <v>100</v>
      </c>
      <c r="K10" s="556"/>
      <c r="L10" s="914"/>
      <c r="M10" s="915"/>
      <c r="N10" s="915"/>
      <c r="O10" s="916"/>
      <c r="P10" s="3733"/>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375"/>
      <c r="B11" s="371" t="s">
        <v>1689</v>
      </c>
      <c r="C11" s="376"/>
      <c r="D11" s="123">
        <v>100</v>
      </c>
      <c r="E11" s="376"/>
      <c r="F11" s="123">
        <f>LOOKUP(E11,62:62,63:63)-LOOKUP(C11,62:62,63:63)+100</f>
        <v>100</v>
      </c>
      <c r="G11" s="377"/>
      <c r="H11" s="123">
        <f>LOOKUP(G11,62:62,63:63)-LOOKUP(C11,62:62,63:63)+100</f>
        <v>100</v>
      </c>
      <c r="I11" s="376"/>
      <c r="J11" s="123">
        <f>LOOKUP(I11,62:62,63:63)-LOOKUP(C11,62:62,63:63)+100</f>
        <v>100</v>
      </c>
      <c r="K11" s="557"/>
      <c r="L11" s="917"/>
      <c r="M11" s="910"/>
      <c r="N11" s="910"/>
      <c r="O11" s="918"/>
      <c r="P11" s="3733"/>
      <c r="Q11" s="1339" t="str">
        <f t="shared" si="6"/>
        <v>容积率</v>
      </c>
      <c r="R11" s="697" t="s">
        <v>14</v>
      </c>
      <c r="S11" s="698">
        <f t="shared" si="0"/>
        <v>100</v>
      </c>
      <c r="T11" s="697" t="s">
        <v>14</v>
      </c>
      <c r="U11" s="698">
        <f t="shared" si="1"/>
        <v>100</v>
      </c>
      <c r="V11" s="697" t="s">
        <v>14</v>
      </c>
      <c r="W11" s="698">
        <f t="shared" si="2"/>
        <v>100</v>
      </c>
      <c r="X11" s="699"/>
      <c r="Y11" s="3614"/>
      <c r="Z11" s="52" t="str">
        <f t="shared" si="7"/>
        <v>容积率</v>
      </c>
      <c r="AA11" s="700">
        <f t="shared" si="3"/>
        <v>1</v>
      </c>
      <c r="AB11" s="700">
        <f t="shared" si="4"/>
        <v>1</v>
      </c>
      <c r="AC11" s="700">
        <f t="shared" si="5"/>
        <v>1</v>
      </c>
    </row>
    <row r="12" spans="1:29" s="106" customFormat="1" ht="15">
      <c r="A12" s="378"/>
      <c r="B12" s="1889">
        <v>111</v>
      </c>
      <c r="C12" s="379"/>
      <c r="D12" s="380">
        <v>100</v>
      </c>
      <c r="E12" s="381"/>
      <c r="F12" s="123">
        <f>SUMIF(64:64,E12,65:65)-SUMIF(64:64,C12,65:65)+100</f>
        <v>100</v>
      </c>
      <c r="G12" s="1966"/>
      <c r="H12" s="123">
        <f>SUMIF(64:64,G12,65:65)-SUMIF(64:64,C12,65:65)+100</f>
        <v>100</v>
      </c>
      <c r="I12" s="416"/>
      <c r="J12" s="123">
        <f>SUMIF(64:64,I12,65:65)-SUMIF(64:64,C12,65:65)+100</f>
        <v>100</v>
      </c>
      <c r="K12" s="558"/>
      <c r="L12" s="911"/>
      <c r="M12" s="912"/>
      <c r="N12" s="912"/>
      <c r="O12" s="913"/>
      <c r="P12" s="3733"/>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
      <c r="A13" s="375"/>
      <c r="B13" s="1889">
        <v>111</v>
      </c>
      <c r="C13" s="381"/>
      <c r="D13" s="382">
        <v>100</v>
      </c>
      <c r="E13" s="381"/>
      <c r="F13" s="123">
        <f>SUMIF(66:66,E13,67:67)-SUMIF(66:66,C13,67:67)+100</f>
        <v>100</v>
      </c>
      <c r="G13" s="1966"/>
      <c r="H13" s="382">
        <f>SUMIF(66:66,G13,67:67)-SUMIF(66:66,C13,67:67)+100</f>
        <v>100</v>
      </c>
      <c r="I13" s="416"/>
      <c r="J13" s="382">
        <f>SUMIF(66:66,I13,67:67)-SUMIF(66:66,C13,67:67)+100</f>
        <v>100</v>
      </c>
      <c r="K13" s="558"/>
      <c r="L13" s="919"/>
      <c r="M13" s="910"/>
      <c r="N13" s="910"/>
      <c r="O13" s="918"/>
      <c r="P13" s="3733"/>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15.75" thickBot="1">
      <c r="A14" s="383"/>
      <c r="B14" s="1891">
        <v>111</v>
      </c>
      <c r="C14" s="384"/>
      <c r="D14" s="385">
        <v>100</v>
      </c>
      <c r="E14" s="384"/>
      <c r="F14" s="385">
        <f>SUMIF(68:68,E14,69:69)-SUMIF(68:68,C14,69:69)+100</f>
        <v>100</v>
      </c>
      <c r="G14" s="1966"/>
      <c r="H14" s="385">
        <f>SUMIF(68:68,G14,69:69)-SUMIF(68:68,C14,69:69)+100</f>
        <v>100</v>
      </c>
      <c r="I14" s="416"/>
      <c r="J14" s="385">
        <f>SUMIF(68:68,I14,69:69)-SUMIF(68:68,C14,69:69)+100</f>
        <v>100</v>
      </c>
      <c r="K14" s="558"/>
      <c r="L14" s="919"/>
      <c r="M14" s="910"/>
      <c r="N14" s="910"/>
      <c r="O14" s="918"/>
      <c r="P14" s="3733"/>
      <c r="Q14" s="1339">
        <f t="shared" si="6"/>
        <v>111</v>
      </c>
      <c r="R14" s="697" t="s">
        <v>14</v>
      </c>
      <c r="S14" s="698">
        <f t="shared" si="0"/>
        <v>100</v>
      </c>
      <c r="T14" s="697" t="s">
        <v>14</v>
      </c>
      <c r="U14" s="698">
        <f t="shared" si="1"/>
        <v>100</v>
      </c>
      <c r="V14" s="697" t="s">
        <v>14</v>
      </c>
      <c r="W14" s="698">
        <f t="shared" si="2"/>
        <v>100</v>
      </c>
      <c r="X14" s="699"/>
      <c r="Y14" s="3614"/>
      <c r="Z14" s="52">
        <f t="shared" si="7"/>
        <v>111</v>
      </c>
      <c r="AA14" s="700">
        <f t="shared" si="3"/>
        <v>1</v>
      </c>
      <c r="AB14" s="700">
        <f t="shared" si="4"/>
        <v>1</v>
      </c>
      <c r="AC14" s="700">
        <f t="shared" si="5"/>
        <v>1</v>
      </c>
    </row>
    <row r="15" spans="1:29" ht="57">
      <c r="A15" s="387" t="s">
        <v>1690</v>
      </c>
      <c r="B15" s="61" t="s">
        <v>1827</v>
      </c>
      <c r="C15" s="1967"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59"/>
      <c r="L15" s="919"/>
      <c r="M15" s="910"/>
      <c r="N15" s="910"/>
      <c r="O15" s="918"/>
      <c r="P15" s="3734" t="s">
        <v>1691</v>
      </c>
      <c r="Q15" s="1348" t="str">
        <f t="shared" si="6"/>
        <v>产业集聚程度</v>
      </c>
      <c r="R15" s="701" t="s">
        <v>14</v>
      </c>
      <c r="S15" s="702">
        <f t="shared" si="0"/>
        <v>100</v>
      </c>
      <c r="T15" s="701" t="s">
        <v>14</v>
      </c>
      <c r="U15" s="702">
        <f t="shared" si="1"/>
        <v>100</v>
      </c>
      <c r="V15" s="701" t="s">
        <v>14</v>
      </c>
      <c r="W15" s="702">
        <f t="shared" si="2"/>
        <v>100</v>
      </c>
      <c r="X15" s="1351"/>
      <c r="Y15" s="3734" t="s">
        <v>1691</v>
      </c>
      <c r="Z15" s="1352" t="str">
        <f t="shared" si="7"/>
        <v>产业集聚程度</v>
      </c>
      <c r="AA15" s="1349">
        <f t="shared" si="3"/>
        <v>1</v>
      </c>
      <c r="AB15" s="1349">
        <f t="shared" si="4"/>
        <v>1</v>
      </c>
      <c r="AC15" s="1349">
        <f t="shared" si="5"/>
        <v>1</v>
      </c>
    </row>
    <row r="16" spans="1:29" ht="15">
      <c r="A16" s="375"/>
      <c r="B16" s="393"/>
      <c r="C16" s="394"/>
      <c r="D16" s="395"/>
      <c r="E16" s="394"/>
      <c r="F16" s="396"/>
      <c r="G16" s="394"/>
      <c r="H16" s="397"/>
      <c r="I16" s="394"/>
      <c r="J16" s="395"/>
      <c r="K16" s="560"/>
      <c r="L16" s="919"/>
      <c r="M16" s="910"/>
      <c r="N16" s="910"/>
      <c r="O16" s="918"/>
      <c r="P16" s="3735"/>
      <c r="Q16" s="1348"/>
      <c r="R16" s="701"/>
      <c r="S16" s="702"/>
      <c r="T16" s="701"/>
      <c r="U16" s="702"/>
      <c r="V16" s="701"/>
      <c r="W16" s="702"/>
      <c r="X16" s="1351"/>
      <c r="Y16" s="3735"/>
      <c r="Z16" s="1352"/>
      <c r="AA16" s="1349">
        <v>1</v>
      </c>
      <c r="AB16" s="1349">
        <v>1</v>
      </c>
      <c r="AC16" s="1349">
        <v>1</v>
      </c>
    </row>
    <row r="17" spans="1:29" ht="85.5">
      <c r="A17" s="375"/>
      <c r="B17" s="398" t="s">
        <v>1259</v>
      </c>
      <c r="C17" s="1896"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59"/>
      <c r="L17" s="919"/>
      <c r="M17" s="910"/>
      <c r="N17" s="910"/>
      <c r="O17" s="918"/>
      <c r="P17" s="3735"/>
      <c r="Q17" s="1348" t="str">
        <f>B17</f>
        <v>交通便捷度</v>
      </c>
      <c r="R17" s="701" t="s">
        <v>14</v>
      </c>
      <c r="S17" s="702">
        <f>F17</f>
        <v>100</v>
      </c>
      <c r="T17" s="701" t="s">
        <v>14</v>
      </c>
      <c r="U17" s="702">
        <f>H17</f>
        <v>100</v>
      </c>
      <c r="V17" s="701" t="s">
        <v>14</v>
      </c>
      <c r="W17" s="702">
        <f>J17</f>
        <v>100</v>
      </c>
      <c r="X17" s="1351"/>
      <c r="Y17" s="3735"/>
      <c r="Z17" s="1352" t="str">
        <f>Q17</f>
        <v>交通便捷度</v>
      </c>
      <c r="AA17" s="1349">
        <f t="shared" si="3"/>
        <v>1</v>
      </c>
      <c r="AB17" s="1349">
        <f t="shared" si="4"/>
        <v>1</v>
      </c>
      <c r="AC17" s="1349">
        <f t="shared" si="5"/>
        <v>1</v>
      </c>
    </row>
    <row r="18" spans="1:29" ht="15">
      <c r="A18" s="375"/>
      <c r="B18" s="403"/>
      <c r="C18" s="1897"/>
      <c r="D18" s="397"/>
      <c r="E18" s="1899"/>
      <c r="F18" s="400"/>
      <c r="G18" s="1898"/>
      <c r="H18" s="395"/>
      <c r="I18" s="1899"/>
      <c r="J18" s="395"/>
      <c r="K18" s="560"/>
      <c r="L18" s="919"/>
      <c r="M18" s="910"/>
      <c r="N18" s="910"/>
      <c r="O18" s="918"/>
      <c r="P18" s="3735"/>
      <c r="Q18" s="1348"/>
      <c r="R18" s="701"/>
      <c r="S18" s="702"/>
      <c r="T18" s="701"/>
      <c r="U18" s="702"/>
      <c r="V18" s="701"/>
      <c r="W18" s="702"/>
      <c r="X18" s="1351"/>
      <c r="Y18" s="3735"/>
      <c r="Z18" s="1352"/>
      <c r="AA18" s="1349">
        <v>1</v>
      </c>
      <c r="AB18" s="1349">
        <v>1</v>
      </c>
      <c r="AC18" s="1349">
        <v>1</v>
      </c>
    </row>
    <row r="19" spans="1:29" ht="42.75">
      <c r="A19" s="375"/>
      <c r="B19" s="398" t="s">
        <v>1812</v>
      </c>
      <c r="C19" s="1896"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59"/>
      <c r="L19" s="919"/>
      <c r="M19" s="910"/>
      <c r="N19" s="910"/>
      <c r="O19" s="918"/>
      <c r="P19" s="3735"/>
      <c r="Q19" s="1348" t="str">
        <f>B19</f>
        <v>公共配套设施</v>
      </c>
      <c r="R19" s="701" t="s">
        <v>14</v>
      </c>
      <c r="S19" s="702">
        <f>F19</f>
        <v>100</v>
      </c>
      <c r="T19" s="701" t="s">
        <v>14</v>
      </c>
      <c r="U19" s="702">
        <f>H19</f>
        <v>100</v>
      </c>
      <c r="V19" s="701" t="s">
        <v>14</v>
      </c>
      <c r="W19" s="702">
        <f>J19</f>
        <v>100</v>
      </c>
      <c r="X19" s="1351"/>
      <c r="Y19" s="3735"/>
      <c r="Z19" s="1352" t="str">
        <f>Q19</f>
        <v>公共配套设施</v>
      </c>
      <c r="AA19" s="1349">
        <f t="shared" si="3"/>
        <v>1</v>
      </c>
      <c r="AB19" s="1349">
        <f t="shared" si="4"/>
        <v>1</v>
      </c>
      <c r="AC19" s="1349">
        <f t="shared" si="5"/>
        <v>1</v>
      </c>
    </row>
    <row r="20" spans="1:29" ht="15">
      <c r="A20" s="375"/>
      <c r="B20" s="403"/>
      <c r="C20" s="394"/>
      <c r="D20" s="395"/>
      <c r="E20" s="1894"/>
      <c r="F20" s="396"/>
      <c r="G20" s="1893"/>
      <c r="H20" s="395"/>
      <c r="I20" s="1894"/>
      <c r="J20" s="395"/>
      <c r="K20" s="560"/>
      <c r="L20" s="919"/>
      <c r="M20" s="910"/>
      <c r="N20" s="910"/>
      <c r="O20" s="918"/>
      <c r="P20" s="3735"/>
      <c r="Q20" s="1348"/>
      <c r="R20" s="701"/>
      <c r="S20" s="702"/>
      <c r="T20" s="701"/>
      <c r="U20" s="702"/>
      <c r="V20" s="701"/>
      <c r="W20" s="702"/>
      <c r="X20" s="1351"/>
      <c r="Y20" s="3735"/>
      <c r="Z20" s="1352"/>
      <c r="AA20" s="1349">
        <v>1</v>
      </c>
      <c r="AB20" s="1349">
        <v>1</v>
      </c>
      <c r="AC20" s="1349">
        <v>1</v>
      </c>
    </row>
    <row r="21" spans="1:29" ht="28.5">
      <c r="A21" s="375"/>
      <c r="B21" s="1127" t="s">
        <v>1813</v>
      </c>
      <c r="C21" s="1896"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59"/>
      <c r="L21" s="919"/>
      <c r="M21" s="910"/>
      <c r="N21" s="910"/>
      <c r="O21" s="918"/>
      <c r="P21" s="3735"/>
      <c r="Q21" s="1348" t="str">
        <f>B21</f>
        <v>基础设施水平</v>
      </c>
      <c r="R21" s="701" t="s">
        <v>14</v>
      </c>
      <c r="S21" s="702">
        <f>F21</f>
        <v>100</v>
      </c>
      <c r="T21" s="701" t="s">
        <v>14</v>
      </c>
      <c r="U21" s="702">
        <f>H21</f>
        <v>100</v>
      </c>
      <c r="V21" s="701" t="s">
        <v>14</v>
      </c>
      <c r="W21" s="702">
        <f>J21</f>
        <v>100</v>
      </c>
      <c r="X21" s="1351"/>
      <c r="Y21" s="3735"/>
      <c r="Z21" s="1352" t="str">
        <f>Q21</f>
        <v>基础设施水平</v>
      </c>
      <c r="AA21" s="1349">
        <f t="shared" ref="AA21" si="8">D21/F21</f>
        <v>1</v>
      </c>
      <c r="AB21" s="1349">
        <f t="shared" ref="AB21" si="9">D21/H21</f>
        <v>1</v>
      </c>
      <c r="AC21" s="1349">
        <f t="shared" ref="AC21" si="10">D21/J21</f>
        <v>1</v>
      </c>
    </row>
    <row r="22" spans="1:29" ht="15">
      <c r="A22" s="375"/>
      <c r="B22" s="1127"/>
      <c r="C22" s="1897"/>
      <c r="D22" s="395"/>
      <c r="E22" s="394"/>
      <c r="F22" s="396"/>
      <c r="G22" s="394"/>
      <c r="H22" s="395"/>
      <c r="I22" s="394"/>
      <c r="J22" s="395"/>
      <c r="K22" s="1126"/>
      <c r="L22" s="919"/>
      <c r="M22" s="910"/>
      <c r="N22" s="910"/>
      <c r="O22" s="918"/>
      <c r="P22" s="3735"/>
      <c r="Q22" s="1348"/>
      <c r="R22" s="701"/>
      <c r="S22" s="702"/>
      <c r="T22" s="701"/>
      <c r="U22" s="702"/>
      <c r="V22" s="701"/>
      <c r="W22" s="702"/>
      <c r="X22" s="1351"/>
      <c r="Y22" s="3735"/>
      <c r="Z22" s="1352"/>
      <c r="AA22" s="1349">
        <v>1</v>
      </c>
      <c r="AB22" s="1349">
        <v>1</v>
      </c>
      <c r="AC22" s="1349">
        <v>1</v>
      </c>
    </row>
    <row r="23" spans="1:29" ht="71.25">
      <c r="A23" s="375"/>
      <c r="B23" s="398" t="s">
        <v>1814</v>
      </c>
      <c r="C23" s="1896"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59"/>
      <c r="L23" s="919"/>
      <c r="M23" s="910"/>
      <c r="N23" s="910"/>
      <c r="O23" s="918"/>
      <c r="P23" s="3735"/>
      <c r="Q23" s="1348" t="str">
        <f>B23</f>
        <v>环境质量</v>
      </c>
      <c r="R23" s="701" t="s">
        <v>14</v>
      </c>
      <c r="S23" s="702">
        <f>F23</f>
        <v>100</v>
      </c>
      <c r="T23" s="701" t="s">
        <v>14</v>
      </c>
      <c r="U23" s="702">
        <f>H23</f>
        <v>100</v>
      </c>
      <c r="V23" s="701" t="s">
        <v>14</v>
      </c>
      <c r="W23" s="702">
        <f>J23</f>
        <v>100</v>
      </c>
      <c r="X23" s="1351"/>
      <c r="Y23" s="3735"/>
      <c r="Z23" s="1352" t="str">
        <f>Q23</f>
        <v>环境质量</v>
      </c>
      <c r="AA23" s="1349">
        <f t="shared" si="3"/>
        <v>1</v>
      </c>
      <c r="AB23" s="1349">
        <f t="shared" si="4"/>
        <v>1</v>
      </c>
      <c r="AC23" s="1349">
        <f t="shared" si="5"/>
        <v>1</v>
      </c>
    </row>
    <row r="24" spans="1:29" ht="15">
      <c r="A24" s="375"/>
      <c r="B24" s="1127"/>
      <c r="C24" s="394"/>
      <c r="D24" s="395"/>
      <c r="E24" s="1894"/>
      <c r="F24" s="396"/>
      <c r="G24" s="1893"/>
      <c r="H24" s="395"/>
      <c r="I24" s="1894"/>
      <c r="J24" s="395"/>
      <c r="K24" s="560"/>
      <c r="L24" s="919"/>
      <c r="M24" s="910"/>
      <c r="N24" s="910"/>
      <c r="O24" s="918"/>
      <c r="P24" s="3735"/>
      <c r="Q24" s="1348"/>
      <c r="R24" s="701"/>
      <c r="S24" s="702"/>
      <c r="T24" s="701"/>
      <c r="U24" s="702"/>
      <c r="V24" s="701"/>
      <c r="W24" s="702"/>
      <c r="X24" s="1351"/>
      <c r="Y24" s="3735"/>
      <c r="Z24" s="1352"/>
      <c r="AA24" s="1349">
        <v>1</v>
      </c>
      <c r="AB24" s="1349">
        <v>1</v>
      </c>
      <c r="AC24" s="1349">
        <v>1</v>
      </c>
    </row>
    <row r="25" spans="1:29" ht="15">
      <c r="A25" s="354"/>
      <c r="B25" s="1129">
        <v>111</v>
      </c>
      <c r="C25" s="381">
        <v>111</v>
      </c>
      <c r="D25" s="382">
        <v>100</v>
      </c>
      <c r="E25" s="381"/>
      <c r="F25" s="408">
        <f>SUMIF(80:80,E25,81:81)-SUMIF(80:80,C25,81:81)+100</f>
        <v>100</v>
      </c>
      <c r="G25" s="381"/>
      <c r="H25" s="382">
        <f>SUMIF(80:80,G25,81:81)-SUMIF(80:80,C25,81:81)+100</f>
        <v>100</v>
      </c>
      <c r="I25" s="381"/>
      <c r="J25" s="382">
        <f>SUMIF(80:80,I25,81:81)-SUMIF(80:80,C25,81:81)+100</f>
        <v>100</v>
      </c>
      <c r="K25" s="558"/>
      <c r="L25" s="919"/>
      <c r="M25" s="910"/>
      <c r="N25" s="910"/>
      <c r="O25" s="918"/>
      <c r="P25" s="3735"/>
      <c r="Q25" s="1348">
        <f>B25</f>
        <v>111</v>
      </c>
      <c r="R25" s="701" t="s">
        <v>14</v>
      </c>
      <c r="S25" s="702">
        <f>F25</f>
        <v>100</v>
      </c>
      <c r="T25" s="701" t="s">
        <v>14</v>
      </c>
      <c r="U25" s="702">
        <f>H25</f>
        <v>100</v>
      </c>
      <c r="V25" s="701" t="s">
        <v>14</v>
      </c>
      <c r="W25" s="702">
        <f>J25</f>
        <v>100</v>
      </c>
      <c r="X25" s="1351"/>
      <c r="Y25" s="3735"/>
      <c r="Z25" s="1352">
        <f>Q25</f>
        <v>111</v>
      </c>
      <c r="AA25" s="1349">
        <f t="shared" si="3"/>
        <v>1</v>
      </c>
      <c r="AB25" s="1349">
        <f t="shared" si="4"/>
        <v>1</v>
      </c>
      <c r="AC25" s="1349">
        <f t="shared" si="5"/>
        <v>1</v>
      </c>
    </row>
    <row r="26" spans="1:29" ht="15">
      <c r="A26" s="375"/>
      <c r="B26" s="1129">
        <v>111</v>
      </c>
      <c r="C26" s="381">
        <v>111</v>
      </c>
      <c r="D26" s="382">
        <v>100</v>
      </c>
      <c r="E26" s="381"/>
      <c r="F26" s="408">
        <f>SUMIF(82:82,E26,83:83)-SUMIF(82:82,C26,83:83)+100</f>
        <v>100</v>
      </c>
      <c r="G26" s="381"/>
      <c r="H26" s="382">
        <f>SUMIF(82:82,G26,83:83)-SUMIF(82:82,C26,83:83)+100</f>
        <v>100</v>
      </c>
      <c r="I26" s="381"/>
      <c r="J26" s="382">
        <f>SUMIF(82:82,I26,83:83)-SUMIF(82:82,C26,83:83)+100</f>
        <v>100</v>
      </c>
      <c r="K26" s="558"/>
      <c r="L26" s="919"/>
      <c r="M26" s="910"/>
      <c r="N26" s="910"/>
      <c r="O26" s="918"/>
      <c r="P26" s="3735"/>
      <c r="Q26" s="1348">
        <f t="shared" ref="Q26:Q40" si="11">B26</f>
        <v>111</v>
      </c>
      <c r="R26" s="701" t="s">
        <v>14</v>
      </c>
      <c r="S26" s="702">
        <f>F26</f>
        <v>100</v>
      </c>
      <c r="T26" s="701" t="s">
        <v>14</v>
      </c>
      <c r="U26" s="702">
        <f>H26</f>
        <v>100</v>
      </c>
      <c r="V26" s="701" t="s">
        <v>14</v>
      </c>
      <c r="W26" s="702">
        <f>J26</f>
        <v>100</v>
      </c>
      <c r="X26" s="1351"/>
      <c r="Y26" s="3735"/>
      <c r="Z26" s="1352">
        <f>Q26</f>
        <v>111</v>
      </c>
      <c r="AA26" s="1349">
        <f t="shared" si="3"/>
        <v>1</v>
      </c>
      <c r="AB26" s="1349">
        <f t="shared" si="4"/>
        <v>1</v>
      </c>
      <c r="AC26" s="1349">
        <f t="shared" si="5"/>
        <v>1</v>
      </c>
    </row>
    <row r="27" spans="1:29" s="106" customFormat="1" ht="15">
      <c r="A27" s="378"/>
      <c r="B27" s="1129">
        <v>111</v>
      </c>
      <c r="C27" s="381">
        <v>111</v>
      </c>
      <c r="D27" s="409">
        <v>100</v>
      </c>
      <c r="E27" s="381"/>
      <c r="F27" s="411">
        <f>SUMIF(84:84,E27,85:85)-SUMIF(84:84,C27,85:85)+100</f>
        <v>100</v>
      </c>
      <c r="G27" s="381"/>
      <c r="H27" s="409">
        <f>SUMIF(84:84,G27,85:85)-SUMIF(84:84,C27,85:85)+100</f>
        <v>100</v>
      </c>
      <c r="I27" s="381"/>
      <c r="J27" s="409">
        <f>SUMIF(84:84,I27,85:85)-SUMIF(84:84,C27,85:85)+100</f>
        <v>100</v>
      </c>
      <c r="K27" s="558"/>
      <c r="L27" s="911"/>
      <c r="M27" s="912"/>
      <c r="N27" s="912"/>
      <c r="O27" s="913"/>
      <c r="P27" s="3735"/>
      <c r="Q27" s="1339">
        <f t="shared" si="11"/>
        <v>111</v>
      </c>
      <c r="R27" s="697" t="s">
        <v>14</v>
      </c>
      <c r="S27" s="698">
        <f>F27</f>
        <v>100</v>
      </c>
      <c r="T27" s="697" t="s">
        <v>14</v>
      </c>
      <c r="U27" s="698">
        <f>H27</f>
        <v>100</v>
      </c>
      <c r="V27" s="697" t="s">
        <v>14</v>
      </c>
      <c r="W27" s="698">
        <f>J27</f>
        <v>100</v>
      </c>
      <c r="X27" s="699"/>
      <c r="Y27" s="3735"/>
      <c r="Z27" s="52">
        <f>Q27</f>
        <v>111</v>
      </c>
      <c r="AA27" s="1349">
        <f>D27/F27</f>
        <v>1</v>
      </c>
      <c r="AB27" s="1349">
        <f>D27/H27</f>
        <v>1</v>
      </c>
      <c r="AC27" s="1349">
        <f>D27/J27</f>
        <v>1</v>
      </c>
    </row>
    <row r="28" spans="1:29" ht="15.75" thickBot="1">
      <c r="A28" s="383"/>
      <c r="B28" s="1129">
        <v>111</v>
      </c>
      <c r="C28" s="384">
        <v>111</v>
      </c>
      <c r="D28" s="385">
        <v>100</v>
      </c>
      <c r="E28" s="381"/>
      <c r="F28" s="386">
        <f>SUMIF(86:86,E28,87:87)-SUMIF(86:86,C28,87:87)+100</f>
        <v>100</v>
      </c>
      <c r="G28" s="416"/>
      <c r="H28" s="385">
        <f>SUMIF(86:86,G28,87:87)-SUMIF(86:86,C28,87:87)+100</f>
        <v>100</v>
      </c>
      <c r="I28" s="416"/>
      <c r="J28" s="385">
        <f>SUMIF(86:86,I28,87:87)-SUMIF(86:86,C28,87:87)+100</f>
        <v>100</v>
      </c>
      <c r="K28" s="558"/>
      <c r="L28" s="919"/>
      <c r="M28" s="910"/>
      <c r="N28" s="910"/>
      <c r="O28" s="918"/>
      <c r="P28" s="3735"/>
      <c r="Q28" s="1348">
        <f t="shared" si="11"/>
        <v>111</v>
      </c>
      <c r="R28" s="701" t="s">
        <v>14</v>
      </c>
      <c r="S28" s="702">
        <f t="shared" ref="S28:S40" si="12">F28</f>
        <v>100</v>
      </c>
      <c r="T28" s="701" t="s">
        <v>14</v>
      </c>
      <c r="U28" s="702">
        <f t="shared" ref="U28:U40" si="13">H28</f>
        <v>100</v>
      </c>
      <c r="V28" s="701" t="s">
        <v>14</v>
      </c>
      <c r="W28" s="702">
        <f t="shared" ref="W28:W40" si="14">J28</f>
        <v>100</v>
      </c>
      <c r="X28" s="1351"/>
      <c r="Y28" s="3735"/>
      <c r="Z28" s="1352">
        <f t="shared" ref="Z28:Z40" si="15">Q28</f>
        <v>111</v>
      </c>
      <c r="AA28" s="1349">
        <f t="shared" si="3"/>
        <v>1</v>
      </c>
      <c r="AB28" s="1349">
        <f t="shared" si="4"/>
        <v>1</v>
      </c>
      <c r="AC28" s="1349">
        <f t="shared" si="5"/>
        <v>1</v>
      </c>
    </row>
    <row r="29" spans="1:29" ht="28.5">
      <c r="A29" s="413" t="s">
        <v>1694</v>
      </c>
      <c r="B29" s="63" t="s">
        <v>1817</v>
      </c>
      <c r="C29" s="1963"/>
      <c r="D29" s="414">
        <v>100</v>
      </c>
      <c r="E29" s="1963"/>
      <c r="F29" s="408">
        <f>SUMIF(88:88,E29,89:89)-SUMIF(88:88,C29,89:89)+100</f>
        <v>100</v>
      </c>
      <c r="G29" s="1963"/>
      <c r="H29" s="382">
        <f>SUMIF(88:88,G29,89:89)-SUMIF(88:88,C29,89:89)+100</f>
        <v>100</v>
      </c>
      <c r="I29" s="1963"/>
      <c r="J29" s="414">
        <f>SUMIF(88:88,I29,89:89)-SUMIF(88:88,C29,89:89)+100</f>
        <v>100</v>
      </c>
      <c r="K29" s="557"/>
      <c r="L29" s="919"/>
      <c r="M29" s="910"/>
      <c r="N29" s="910"/>
      <c r="O29" s="918"/>
      <c r="P29" s="3736" t="s">
        <v>1696</v>
      </c>
      <c r="Q29" s="1348" t="str">
        <f t="shared" si="11"/>
        <v>建筑类型</v>
      </c>
      <c r="R29" s="701" t="s">
        <v>14</v>
      </c>
      <c r="S29" s="702">
        <f t="shared" si="12"/>
        <v>100</v>
      </c>
      <c r="T29" s="701" t="s">
        <v>14</v>
      </c>
      <c r="U29" s="702">
        <f t="shared" si="13"/>
        <v>100</v>
      </c>
      <c r="V29" s="701" t="s">
        <v>14</v>
      </c>
      <c r="W29" s="702">
        <f t="shared" si="14"/>
        <v>100</v>
      </c>
      <c r="X29" s="1351"/>
      <c r="Y29" s="3737" t="s">
        <v>1696</v>
      </c>
      <c r="Z29" s="1352" t="str">
        <f t="shared" si="15"/>
        <v>建筑类型</v>
      </c>
      <c r="AA29" s="1349">
        <f t="shared" si="3"/>
        <v>1</v>
      </c>
      <c r="AB29" s="1349">
        <f t="shared" si="4"/>
        <v>1</v>
      </c>
      <c r="AC29" s="1349">
        <f t="shared" si="5"/>
        <v>1</v>
      </c>
    </row>
    <row r="30" spans="1:29" s="418" customFormat="1" ht="15">
      <c r="A30" s="415"/>
      <c r="B30" s="371" t="s">
        <v>1697</v>
      </c>
      <c r="C30" s="416"/>
      <c r="D30" s="123">
        <v>100</v>
      </c>
      <c r="E30" s="377"/>
      <c r="F30" s="372" t="e">
        <f>LOOKUP(E30,91:91,92:92)-LOOKUP(C30,91:91,92:92)+100</f>
        <v>#N/A</v>
      </c>
      <c r="G30" s="376"/>
      <c r="H30" s="123" t="e">
        <f>LOOKUP(G30,91:91,92:92)-LOOKUP(C30,91:91,92:92)+100</f>
        <v>#N/A</v>
      </c>
      <c r="I30" s="376"/>
      <c r="J30" s="123" t="e">
        <f>LOOKUP(I30,91:91,92:92)-LOOKUP(C30,91:91,92:92)+100</f>
        <v>#N/A</v>
      </c>
      <c r="K30" s="558"/>
      <c r="L30" s="917"/>
      <c r="M30" s="920"/>
      <c r="N30" s="920"/>
      <c r="O30" s="921"/>
      <c r="P30" s="3737"/>
      <c r="Q30" s="703" t="str">
        <f t="shared" si="11"/>
        <v>项目建筑规模</v>
      </c>
      <c r="R30" s="704" t="s">
        <v>14</v>
      </c>
      <c r="S30" s="705" t="e">
        <f t="shared" si="12"/>
        <v>#N/A</v>
      </c>
      <c r="T30" s="704" t="s">
        <v>14</v>
      </c>
      <c r="U30" s="705" t="e">
        <f t="shared" si="13"/>
        <v>#N/A</v>
      </c>
      <c r="V30" s="704" t="s">
        <v>14</v>
      </c>
      <c r="W30" s="705" t="e">
        <f t="shared" si="14"/>
        <v>#N/A</v>
      </c>
      <c r="X30" s="706"/>
      <c r="Y30" s="3737"/>
      <c r="Z30" s="707" t="str">
        <f t="shared" si="15"/>
        <v>项目建筑规模</v>
      </c>
      <c r="AA30" s="1349" t="e">
        <f t="shared" si="3"/>
        <v>#N/A</v>
      </c>
      <c r="AB30" s="1349" t="e">
        <f t="shared" si="4"/>
        <v>#N/A</v>
      </c>
      <c r="AC30" s="1349" t="e">
        <f t="shared" si="5"/>
        <v>#N/A</v>
      </c>
    </row>
    <row r="31" spans="1:29" ht="15">
      <c r="A31" s="419"/>
      <c r="B31" s="371" t="s">
        <v>1698</v>
      </c>
      <c r="C31" s="407"/>
      <c r="D31" s="382">
        <v>100</v>
      </c>
      <c r="E31" s="407"/>
      <c r="F31" s="408">
        <f>SUMIF(93:93,E31,94:94)-SUMIF(93:93,C31,94:94)+100</f>
        <v>100</v>
      </c>
      <c r="G31" s="407"/>
      <c r="H31" s="382">
        <f>SUMIF(93:93,G31,94:94)-SUMIF(93:93,C31,94:94)+100</f>
        <v>100</v>
      </c>
      <c r="I31" s="407"/>
      <c r="J31" s="382">
        <f>SUMIF(93:93,I31,94:94)-SUMIF(93:93,C31,94:94)+100</f>
        <v>100</v>
      </c>
      <c r="K31" s="557"/>
      <c r="L31" s="919"/>
      <c r="M31" s="910"/>
      <c r="N31" s="910"/>
      <c r="O31" s="918"/>
      <c r="P31" s="3737"/>
      <c r="Q31" s="1348" t="str">
        <f t="shared" si="11"/>
        <v>建筑结构</v>
      </c>
      <c r="R31" s="701" t="s">
        <v>14</v>
      </c>
      <c r="S31" s="702">
        <f t="shared" si="12"/>
        <v>100</v>
      </c>
      <c r="T31" s="701" t="s">
        <v>14</v>
      </c>
      <c r="U31" s="702">
        <f t="shared" si="13"/>
        <v>100</v>
      </c>
      <c r="V31" s="701" t="s">
        <v>14</v>
      </c>
      <c r="W31" s="702">
        <f t="shared" si="14"/>
        <v>100</v>
      </c>
      <c r="X31" s="1351"/>
      <c r="Y31" s="3737"/>
      <c r="Z31" s="1352" t="str">
        <f t="shared" si="15"/>
        <v>建筑结构</v>
      </c>
      <c r="AA31" s="1349">
        <f t="shared" si="3"/>
        <v>1</v>
      </c>
      <c r="AB31" s="1349">
        <f t="shared" si="4"/>
        <v>1</v>
      </c>
      <c r="AC31" s="1349">
        <f t="shared" si="5"/>
        <v>1</v>
      </c>
    </row>
    <row r="32" spans="1:29" ht="15">
      <c r="A32" s="419"/>
      <c r="B32" s="371" t="s">
        <v>1785</v>
      </c>
      <c r="C32" s="407"/>
      <c r="D32" s="382">
        <v>100</v>
      </c>
      <c r="E32" s="407"/>
      <c r="F32" s="408">
        <f>SUMIF(95:95,E32,96:96)-SUMIF(95:95,C32,96:96)+100</f>
        <v>100</v>
      </c>
      <c r="G32" s="407"/>
      <c r="H32" s="382">
        <f>SUMIF(95:95,G32,96:96)-SUMIF(95:95,C32,96:96)+100</f>
        <v>100</v>
      </c>
      <c r="I32" s="407"/>
      <c r="J32" s="382">
        <f>SUMIF(95:95,I32,96:96)-SUMIF(95:95,C32,96:96)+100</f>
        <v>100</v>
      </c>
      <c r="K32" s="557"/>
      <c r="L32" s="919"/>
      <c r="M32" s="910"/>
      <c r="N32" s="910"/>
      <c r="O32" s="918"/>
      <c r="P32" s="3737"/>
      <c r="Q32" s="1348" t="str">
        <f t="shared" si="11"/>
        <v>公共部分装修</v>
      </c>
      <c r="R32" s="701" t="s">
        <v>14</v>
      </c>
      <c r="S32" s="702">
        <f t="shared" si="12"/>
        <v>100</v>
      </c>
      <c r="T32" s="701" t="s">
        <v>14</v>
      </c>
      <c r="U32" s="702">
        <f t="shared" si="13"/>
        <v>100</v>
      </c>
      <c r="V32" s="701" t="s">
        <v>14</v>
      </c>
      <c r="W32" s="702">
        <f t="shared" si="14"/>
        <v>100</v>
      </c>
      <c r="X32" s="1351"/>
      <c r="Y32" s="3737"/>
      <c r="Z32" s="1352" t="str">
        <f t="shared" si="15"/>
        <v>公共部分装修</v>
      </c>
      <c r="AA32" s="1349">
        <f t="shared" si="3"/>
        <v>1</v>
      </c>
      <c r="AB32" s="1349">
        <f t="shared" si="4"/>
        <v>1</v>
      </c>
      <c r="AC32" s="1349">
        <f t="shared" si="5"/>
        <v>1</v>
      </c>
    </row>
    <row r="33" spans="1:29" ht="15">
      <c r="A33" s="419"/>
      <c r="B33" s="371" t="s">
        <v>1786</v>
      </c>
      <c r="C33" s="416"/>
      <c r="D33" s="382">
        <v>100</v>
      </c>
      <c r="E33" s="421"/>
      <c r="F33" s="408" t="e">
        <f>LOOKUP(E33,98:98,99:99)-LOOKUP(C33,98:98,99:99)+100</f>
        <v>#N/A</v>
      </c>
      <c r="G33" s="421"/>
      <c r="H33" s="408" t="e">
        <f>LOOKUP(G33,98:98,99:99)-LOOKUP(C33,98:98,99:99)+100</f>
        <v>#N/A</v>
      </c>
      <c r="I33" s="421"/>
      <c r="J33" s="382" t="e">
        <f>LOOKUP(I33,98:98,99:99)-LOOKUP(C33,98:98,99:99)+100</f>
        <v>#N/A</v>
      </c>
      <c r="K33" s="557"/>
      <c r="L33" s="919"/>
      <c r="M33" s="910"/>
      <c r="N33" s="910"/>
      <c r="O33" s="918"/>
      <c r="P33" s="3737"/>
      <c r="Q33" s="1348" t="str">
        <f t="shared" si="11"/>
        <v>成新度</v>
      </c>
      <c r="R33" s="701" t="s">
        <v>14</v>
      </c>
      <c r="S33" s="702" t="e">
        <f t="shared" si="12"/>
        <v>#N/A</v>
      </c>
      <c r="T33" s="701" t="s">
        <v>14</v>
      </c>
      <c r="U33" s="702" t="e">
        <f t="shared" si="13"/>
        <v>#N/A</v>
      </c>
      <c r="V33" s="701" t="s">
        <v>14</v>
      </c>
      <c r="W33" s="702" t="e">
        <f t="shared" si="14"/>
        <v>#N/A</v>
      </c>
      <c r="X33" s="1351"/>
      <c r="Y33" s="3737"/>
      <c r="Z33" s="1352" t="str">
        <f t="shared" si="15"/>
        <v>成新度</v>
      </c>
      <c r="AA33" s="1349" t="e">
        <f t="shared" si="3"/>
        <v>#N/A</v>
      </c>
      <c r="AB33" s="1349" t="e">
        <f t="shared" si="4"/>
        <v>#N/A</v>
      </c>
      <c r="AC33" s="1349" t="e">
        <f t="shared" si="5"/>
        <v>#N/A</v>
      </c>
    </row>
    <row r="34" spans="1:29" s="106" customFormat="1" ht="15">
      <c r="A34" s="420"/>
      <c r="B34" s="371" t="s">
        <v>1819</v>
      </c>
      <c r="C34" s="407"/>
      <c r="D34" s="123">
        <v>100</v>
      </c>
      <c r="E34" s="407"/>
      <c r="F34" s="408">
        <f>SUMIF(100:100,E34,101:101)-SUMIF(100:100,C34,101:101)+100</f>
        <v>100</v>
      </c>
      <c r="G34" s="407"/>
      <c r="H34" s="382">
        <f>SUMIF(100:100,G34,101:101)-SUMIF(100:100,C34,101:101)+100</f>
        <v>100</v>
      </c>
      <c r="I34" s="407"/>
      <c r="J34" s="382">
        <f>SUMIF(100:100,I34,101:101)-SUMIF(100:100,C34,101:101)+100</f>
        <v>100</v>
      </c>
      <c r="K34" s="557"/>
      <c r="L34" s="911"/>
      <c r="M34" s="912"/>
      <c r="N34" s="912"/>
      <c r="O34" s="913"/>
      <c r="P34" s="3737"/>
      <c r="Q34" s="1339" t="str">
        <f t="shared" si="11"/>
        <v>物业管理</v>
      </c>
      <c r="R34" s="697" t="s">
        <v>14</v>
      </c>
      <c r="S34" s="698">
        <f t="shared" si="12"/>
        <v>100</v>
      </c>
      <c r="T34" s="697" t="s">
        <v>14</v>
      </c>
      <c r="U34" s="698">
        <f t="shared" si="13"/>
        <v>100</v>
      </c>
      <c r="V34" s="697" t="s">
        <v>14</v>
      </c>
      <c r="W34" s="698">
        <f t="shared" si="14"/>
        <v>100</v>
      </c>
      <c r="X34" s="699"/>
      <c r="Y34" s="3737"/>
      <c r="Z34" s="52" t="str">
        <f t="shared" si="15"/>
        <v>物业管理</v>
      </c>
      <c r="AA34" s="700">
        <f t="shared" si="3"/>
        <v>1</v>
      </c>
      <c r="AB34" s="700">
        <f t="shared" si="4"/>
        <v>1</v>
      </c>
      <c r="AC34" s="700">
        <f t="shared" si="5"/>
        <v>1</v>
      </c>
    </row>
    <row r="35" spans="1:29" ht="15">
      <c r="A35" s="419"/>
      <c r="B35" s="371" t="s">
        <v>1787</v>
      </c>
      <c r="C35" s="407"/>
      <c r="D35" s="382">
        <v>100</v>
      </c>
      <c r="E35" s="407"/>
      <c r="F35" s="408">
        <f>SUMIF(102:102,E35,103:103)-SUMIF(102:102,C35,103:103)+100</f>
        <v>100</v>
      </c>
      <c r="G35" s="407"/>
      <c r="H35" s="382">
        <f>SUMIF(102:102,G35,103:103)-SUMIF(102:102,C35,103:103)+100</f>
        <v>100</v>
      </c>
      <c r="I35" s="407"/>
      <c r="J35" s="382">
        <f>SUMIF(102:102,I35,103:103)-SUMIF(102:102,C35,103:103)+100</f>
        <v>100</v>
      </c>
      <c r="K35" s="557"/>
      <c r="L35" s="919"/>
      <c r="M35" s="910"/>
      <c r="N35" s="910"/>
      <c r="O35" s="918"/>
      <c r="P35" s="3737" t="s">
        <v>1696</v>
      </c>
      <c r="Q35" s="1348" t="str">
        <f t="shared" si="11"/>
        <v>市政基础设施</v>
      </c>
      <c r="R35" s="701" t="s">
        <v>14</v>
      </c>
      <c r="S35" s="702">
        <f t="shared" si="12"/>
        <v>100</v>
      </c>
      <c r="T35" s="701" t="s">
        <v>14</v>
      </c>
      <c r="U35" s="702">
        <f t="shared" si="13"/>
        <v>100</v>
      </c>
      <c r="V35" s="701" t="s">
        <v>14</v>
      </c>
      <c r="W35" s="702">
        <f t="shared" si="14"/>
        <v>100</v>
      </c>
      <c r="X35" s="1351"/>
      <c r="Y35" s="3737" t="s">
        <v>1696</v>
      </c>
      <c r="Z35" s="1352" t="str">
        <f t="shared" si="15"/>
        <v>市政基础设施</v>
      </c>
      <c r="AA35" s="1349">
        <f t="shared" si="3"/>
        <v>1</v>
      </c>
      <c r="AB35" s="1349">
        <f t="shared" si="4"/>
        <v>1</v>
      </c>
      <c r="AC35" s="1349">
        <f t="shared" si="5"/>
        <v>1</v>
      </c>
    </row>
    <row r="36" spans="1:29" ht="15">
      <c r="A36" s="419"/>
      <c r="B36" s="371" t="s">
        <v>1792</v>
      </c>
      <c r="C36" s="407"/>
      <c r="D36" s="382">
        <v>100</v>
      </c>
      <c r="E36" s="407"/>
      <c r="F36" s="408">
        <f>SUMIF(104:104,E36,105:105)-SUMIF(104:104,C36,105:105)+100</f>
        <v>100</v>
      </c>
      <c r="G36" s="407"/>
      <c r="H36" s="382">
        <f>SUMIF(104:104,G36,105:105)-SUMIF(104:104,C36,105:105)+100</f>
        <v>100</v>
      </c>
      <c r="I36" s="407"/>
      <c r="J36" s="382">
        <f>SUMIF(104:104,I36,105:105)-SUMIF(104:104,C36,105:105)+100</f>
        <v>100</v>
      </c>
      <c r="K36" s="557"/>
      <c r="L36" s="919"/>
      <c r="M36" s="910"/>
      <c r="N36" s="910"/>
      <c r="O36" s="918"/>
      <c r="P36" s="3737"/>
      <c r="Q36" s="1348" t="str">
        <f t="shared" si="11"/>
        <v>内部装修</v>
      </c>
      <c r="R36" s="701" t="s">
        <v>14</v>
      </c>
      <c r="S36" s="702">
        <f t="shared" si="12"/>
        <v>100</v>
      </c>
      <c r="T36" s="701" t="s">
        <v>14</v>
      </c>
      <c r="U36" s="702">
        <f t="shared" si="13"/>
        <v>100</v>
      </c>
      <c r="V36" s="701" t="s">
        <v>14</v>
      </c>
      <c r="W36" s="702">
        <f t="shared" si="14"/>
        <v>100</v>
      </c>
      <c r="X36" s="1351"/>
      <c r="Y36" s="3737"/>
      <c r="Z36" s="1352" t="str">
        <f t="shared" si="15"/>
        <v>内部装修</v>
      </c>
      <c r="AA36" s="1349">
        <f t="shared" si="3"/>
        <v>1</v>
      </c>
      <c r="AB36" s="1349">
        <f t="shared" si="4"/>
        <v>1</v>
      </c>
      <c r="AC36" s="1349">
        <f t="shared" si="5"/>
        <v>1</v>
      </c>
    </row>
    <row r="37" spans="1:29" ht="15">
      <c r="A37" s="419"/>
      <c r="B37" s="371" t="s">
        <v>1828</v>
      </c>
      <c r="C37" s="561"/>
      <c r="D37" s="382">
        <v>100</v>
      </c>
      <c r="E37" s="561"/>
      <c r="F37" s="408">
        <f>SUMIF(106:106,E37,107:107)-SUMIF(106:106,C37,107:107)+100</f>
        <v>100</v>
      </c>
      <c r="G37" s="561"/>
      <c r="H37" s="382">
        <f>SUMIF(106:106,G37,107:107)-SUMIF(106:106,C37,107:107)+100</f>
        <v>100</v>
      </c>
      <c r="I37" s="561"/>
      <c r="J37" s="382">
        <f>SUMIF(106:106,I37,107:107)-SUMIF(106:106,C37,107:107)+100</f>
        <v>100</v>
      </c>
      <c r="K37" s="557"/>
      <c r="L37" s="919"/>
      <c r="M37" s="910"/>
      <c r="N37" s="910"/>
      <c r="O37" s="918"/>
      <c r="P37" s="3737"/>
      <c r="Q37" s="1348" t="str">
        <f t="shared" si="11"/>
        <v>内部装修状况</v>
      </c>
      <c r="R37" s="701" t="s">
        <v>14</v>
      </c>
      <c r="S37" s="702">
        <f t="shared" si="12"/>
        <v>100</v>
      </c>
      <c r="T37" s="701" t="s">
        <v>14</v>
      </c>
      <c r="U37" s="702">
        <f t="shared" si="13"/>
        <v>100</v>
      </c>
      <c r="V37" s="701" t="s">
        <v>14</v>
      </c>
      <c r="W37" s="702">
        <f t="shared" si="14"/>
        <v>100</v>
      </c>
      <c r="X37" s="1351"/>
      <c r="Y37" s="3737"/>
      <c r="Z37" s="1352" t="str">
        <f t="shared" si="15"/>
        <v>内部装修状况</v>
      </c>
      <c r="AA37" s="1349">
        <f t="shared" si="3"/>
        <v>1</v>
      </c>
      <c r="AB37" s="1349">
        <f t="shared" si="4"/>
        <v>1</v>
      </c>
      <c r="AC37" s="1349">
        <f t="shared" si="5"/>
        <v>1</v>
      </c>
    </row>
    <row r="38" spans="1:29" s="418" customFormat="1" ht="15">
      <c r="A38" s="415"/>
      <c r="B38" s="1129">
        <v>111</v>
      </c>
      <c r="C38" s="416"/>
      <c r="D38" s="382">
        <v>100</v>
      </c>
      <c r="E38" s="381"/>
      <c r="F38" s="408">
        <f>SUMIF(108:108,E38,109:109)-SUMIF(108:108,C38,109:109)+100</f>
        <v>100</v>
      </c>
      <c r="G38" s="416"/>
      <c r="H38" s="382">
        <f>SUMIF(108:108,G38,109:109)-SUMIF(108:108,C38,109:109)+100</f>
        <v>100</v>
      </c>
      <c r="I38" s="416"/>
      <c r="J38" s="382">
        <f>SUMIF(108:108,I38,109:1038)-SUMIF(108:108,C38,109:109)+100</f>
        <v>100</v>
      </c>
      <c r="K38" s="558"/>
      <c r="L38" s="917"/>
      <c r="M38" s="920"/>
      <c r="N38" s="920"/>
      <c r="O38" s="921"/>
      <c r="P38" s="3737"/>
      <c r="Q38" s="703">
        <f t="shared" si="11"/>
        <v>111</v>
      </c>
      <c r="R38" s="704" t="s">
        <v>14</v>
      </c>
      <c r="S38" s="705">
        <f t="shared" si="12"/>
        <v>100</v>
      </c>
      <c r="T38" s="704" t="s">
        <v>14</v>
      </c>
      <c r="U38" s="705">
        <f t="shared" si="13"/>
        <v>100</v>
      </c>
      <c r="V38" s="704" t="s">
        <v>14</v>
      </c>
      <c r="W38" s="705">
        <f t="shared" si="14"/>
        <v>100</v>
      </c>
      <c r="X38" s="706"/>
      <c r="Y38" s="3737"/>
      <c r="Z38" s="707">
        <f t="shared" si="15"/>
        <v>111</v>
      </c>
      <c r="AA38" s="1349">
        <f t="shared" si="3"/>
        <v>1</v>
      </c>
      <c r="AB38" s="1349">
        <f t="shared" si="4"/>
        <v>1</v>
      </c>
      <c r="AC38" s="1349">
        <f t="shared" si="5"/>
        <v>1</v>
      </c>
    </row>
    <row r="39" spans="1:29" ht="15">
      <c r="A39" s="419"/>
      <c r="B39" s="1129">
        <v>111</v>
      </c>
      <c r="C39" s="416"/>
      <c r="D39" s="382">
        <v>100</v>
      </c>
      <c r="E39" s="381"/>
      <c r="F39" s="408">
        <f>SUMIF(110:110,E39,111:111)-SUMIF(110:110,C39,111:111)+100</f>
        <v>100</v>
      </c>
      <c r="G39" s="416"/>
      <c r="H39" s="382">
        <f>SUMIF(110:110,G39,111:111)-SUMIF(110:110,C39,111:111)+100</f>
        <v>100</v>
      </c>
      <c r="I39" s="416"/>
      <c r="J39" s="382">
        <f>SUMIF(110:110,I39,111:111)-SUMIF(110:110,C39,111:111)+100</f>
        <v>100</v>
      </c>
      <c r="K39" s="558"/>
      <c r="L39" s="919"/>
      <c r="M39" s="910"/>
      <c r="N39" s="910"/>
      <c r="O39" s="918"/>
      <c r="P39" s="3737"/>
      <c r="Q39" s="1348">
        <f t="shared" si="11"/>
        <v>111</v>
      </c>
      <c r="R39" s="701" t="s">
        <v>14</v>
      </c>
      <c r="S39" s="702">
        <f t="shared" si="12"/>
        <v>100</v>
      </c>
      <c r="T39" s="701" t="s">
        <v>14</v>
      </c>
      <c r="U39" s="702">
        <f t="shared" si="13"/>
        <v>100</v>
      </c>
      <c r="V39" s="701" t="s">
        <v>14</v>
      </c>
      <c r="W39" s="702">
        <f t="shared" si="14"/>
        <v>100</v>
      </c>
      <c r="X39" s="1351"/>
      <c r="Y39" s="3737"/>
      <c r="Z39" s="1352">
        <f t="shared" si="15"/>
        <v>111</v>
      </c>
      <c r="AA39" s="1349">
        <f t="shared" si="3"/>
        <v>1</v>
      </c>
      <c r="AB39" s="1349">
        <f t="shared" si="4"/>
        <v>1</v>
      </c>
      <c r="AC39" s="1349">
        <f t="shared" si="5"/>
        <v>1</v>
      </c>
    </row>
    <row r="40" spans="1:29" ht="15.75" thickBot="1">
      <c r="A40" s="425"/>
      <c r="B40" s="1891">
        <v>111</v>
      </c>
      <c r="C40" s="384"/>
      <c r="D40" s="385">
        <v>100</v>
      </c>
      <c r="E40" s="381"/>
      <c r="F40" s="386">
        <f>SUMIF(112:112,E40,113:113)-SUMIF(112:112,C40,113:113)+100</f>
        <v>100</v>
      </c>
      <c r="G40" s="416"/>
      <c r="H40" s="385">
        <f>SUMIF(112:112,G40,113:113)-SUMIF(112:112,C40,113:113)+100</f>
        <v>100</v>
      </c>
      <c r="I40" s="416"/>
      <c r="J40" s="385">
        <f>SUMIF(112:112,I40,113:113)-SUMIF(112:112,C40,113:113)+100</f>
        <v>100</v>
      </c>
      <c r="K40" s="558"/>
      <c r="L40" s="919"/>
      <c r="M40" s="910"/>
      <c r="N40" s="910"/>
      <c r="O40" s="918"/>
      <c r="P40" s="3802"/>
      <c r="Q40" s="1348">
        <f t="shared" si="11"/>
        <v>111</v>
      </c>
      <c r="R40" s="701" t="s">
        <v>14</v>
      </c>
      <c r="S40" s="702">
        <f t="shared" si="12"/>
        <v>100</v>
      </c>
      <c r="T40" s="701" t="s">
        <v>14</v>
      </c>
      <c r="U40" s="702">
        <f t="shared" si="13"/>
        <v>100</v>
      </c>
      <c r="V40" s="701" t="s">
        <v>14</v>
      </c>
      <c r="W40" s="702">
        <f t="shared" si="14"/>
        <v>100</v>
      </c>
      <c r="X40" s="1351"/>
      <c r="Y40" s="3802"/>
      <c r="Z40" s="1352">
        <f t="shared" si="15"/>
        <v>111</v>
      </c>
      <c r="AA40" s="1349">
        <f t="shared" si="3"/>
        <v>1</v>
      </c>
      <c r="AB40" s="1349">
        <f t="shared" si="4"/>
        <v>1</v>
      </c>
      <c r="AC40" s="1349">
        <f t="shared" si="5"/>
        <v>1</v>
      </c>
    </row>
    <row r="41" spans="1:29" ht="15">
      <c r="A41" s="426" t="s">
        <v>1708</v>
      </c>
      <c r="B41" s="427"/>
      <c r="C41" s="1150" t="s">
        <v>0</v>
      </c>
      <c r="D41" s="1151"/>
      <c r="E41" s="1152"/>
      <c r="F41" s="1153"/>
      <c r="G41" s="1154"/>
      <c r="H41" s="1155"/>
      <c r="I41" s="1152"/>
      <c r="J41" s="1155"/>
      <c r="K41" s="710"/>
      <c r="L41" s="922"/>
      <c r="M41" s="923"/>
      <c r="N41" s="910"/>
      <c r="O41" s="923"/>
      <c r="P41" s="3733" t="str">
        <f>A41</f>
        <v>成交单价（元/平方米）</v>
      </c>
      <c r="Q41" s="3733"/>
      <c r="R41" s="3798">
        <f>E41</f>
        <v>0</v>
      </c>
      <c r="S41" s="3798"/>
      <c r="T41" s="3798">
        <f>G41</f>
        <v>0</v>
      </c>
      <c r="U41" s="3798"/>
      <c r="V41" s="3798">
        <f>I41</f>
        <v>0</v>
      </c>
      <c r="W41" s="3798"/>
      <c r="X41" s="686"/>
      <c r="Y41" s="708"/>
      <c r="Z41" s="686"/>
      <c r="AA41" s="686"/>
      <c r="AB41" s="686"/>
      <c r="AC41" s="686"/>
    </row>
    <row r="42" spans="1:29" ht="15.75" thickBot="1">
      <c r="A42" s="433" t="s">
        <v>1793</v>
      </c>
      <c r="B42" s="434"/>
      <c r="C42" s="1156" t="e">
        <f>R43</f>
        <v>#DIV/0!</v>
      </c>
      <c r="D42" s="2313" t="s">
        <v>2138</v>
      </c>
      <c r="E42" s="1157" t="e">
        <f>R42</f>
        <v>#DIV/0!</v>
      </c>
      <c r="F42" s="2314"/>
      <c r="G42" s="1156" t="e">
        <f>T42</f>
        <v>#DIV/0!</v>
      </c>
      <c r="H42" s="2314"/>
      <c r="I42" s="1157" t="e">
        <f>V42</f>
        <v>#DIV/0!</v>
      </c>
      <c r="J42" s="2314"/>
      <c r="K42" s="2316">
        <f>F42+H42+J42</f>
        <v>0</v>
      </c>
      <c r="L42" s="922"/>
      <c r="M42" s="923"/>
      <c r="N42" s="910"/>
      <c r="O42" s="923"/>
      <c r="P42" s="3733" t="str">
        <f>A42</f>
        <v>比较价值（元/平方米）</v>
      </c>
      <c r="Q42" s="3733"/>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686"/>
      <c r="Y42" s="686"/>
      <c r="Z42" s="686"/>
      <c r="AA42" s="686"/>
      <c r="AB42" s="686"/>
      <c r="AC42" s="686"/>
    </row>
    <row r="43" spans="1:29" ht="15.75" thickBot="1">
      <c r="A43" s="437" t="s">
        <v>1794</v>
      </c>
      <c r="B43" s="438"/>
      <c r="C43" s="1159" t="e">
        <f>R43</f>
        <v>#DIV/0!</v>
      </c>
      <c r="D43" s="1159"/>
      <c r="E43" s="1159"/>
      <c r="F43" s="1159"/>
      <c r="G43" s="1159"/>
      <c r="H43" s="1159"/>
      <c r="I43" s="1159"/>
      <c r="J43" s="1159"/>
      <c r="K43" s="711"/>
      <c r="L43" s="922"/>
      <c r="M43" s="923"/>
      <c r="N43" s="923"/>
      <c r="O43" s="923"/>
      <c r="P43" s="3727" t="str">
        <f>A43</f>
        <v>估价对象XX用房的比较价值（楼面单价，元/平方米）</v>
      </c>
      <c r="Q43" s="3728"/>
      <c r="R43" s="3797" t="e">
        <f>IF(F1="售价",ROUND(IF(D42="简单平均",AVERAGE(R42:V42),R42*F42+T42*H42+V42*J42),0),ROUND(IF(D42="简单平均",AVERAGE(R42:V42),R42*F42+T42*H42+V42*J42),1))</f>
        <v>#DIV/0!</v>
      </c>
      <c r="S43" s="3797"/>
      <c r="T43" s="3797"/>
      <c r="U43" s="3797"/>
      <c r="V43" s="3797"/>
      <c r="W43" s="3797"/>
      <c r="X43" s="686"/>
      <c r="Y43" s="686"/>
      <c r="Z43" s="686"/>
      <c r="AA43" s="686"/>
      <c r="AB43" s="686"/>
      <c r="AC43" s="686"/>
    </row>
    <row r="44" spans="1:29">
      <c r="A44" s="2715"/>
      <c r="B44" s="2715"/>
      <c r="C44" s="2715"/>
      <c r="D44" s="2715"/>
      <c r="E44" s="2715"/>
      <c r="F44" s="2715"/>
      <c r="G44" s="2719"/>
      <c r="H44" s="2715"/>
      <c r="I44" s="2715"/>
      <c r="J44" s="2715"/>
      <c r="K44" s="2720"/>
      <c r="L44" s="885"/>
      <c r="M44" s="923"/>
      <c r="N44" s="923"/>
      <c r="O44" s="923"/>
    </row>
    <row r="45" spans="1:29">
      <c r="A45" s="2715"/>
      <c r="B45" s="2715"/>
      <c r="C45" s="2715"/>
      <c r="D45" s="2715"/>
      <c r="E45" s="2715"/>
      <c r="F45" s="2715"/>
      <c r="G45" s="2715"/>
      <c r="H45" s="2715"/>
      <c r="I45" s="2715"/>
      <c r="J45" s="2715"/>
      <c r="K45" s="2720"/>
      <c r="L45" s="885"/>
      <c r="M45" s="923"/>
      <c r="N45" s="923"/>
      <c r="O45" s="923"/>
    </row>
    <row r="46" spans="1:29" ht="13.5" customHeight="1">
      <c r="A46" s="2715"/>
      <c r="B46" s="2715"/>
      <c r="C46" s="442" t="s">
        <v>1795</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720"/>
      <c r="L46" s="885"/>
      <c r="M46" s="923"/>
      <c r="N46" s="923"/>
      <c r="O46" s="923"/>
    </row>
    <row r="47" spans="1:29" ht="13.5" customHeight="1">
      <c r="A47" s="2715"/>
      <c r="B47" s="2715"/>
      <c r="C47" s="442" t="s">
        <v>1796</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720"/>
      <c r="L47" s="885"/>
      <c r="M47" s="923"/>
      <c r="N47" s="923"/>
      <c r="O47" s="923"/>
    </row>
    <row r="48" spans="1:29" s="447" customFormat="1" ht="13.5" customHeight="1">
      <c r="A48" s="2718"/>
      <c r="B48" s="2718"/>
      <c r="C48" s="442" t="s">
        <v>1797</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723"/>
      <c r="L48" s="926"/>
      <c r="M48" s="924"/>
      <c r="N48" s="924"/>
      <c r="O48" s="924"/>
    </row>
    <row r="49" spans="1:17" s="447" customFormat="1">
      <c r="A49" s="2718"/>
      <c r="B49" s="2721"/>
      <c r="C49" s="2722"/>
      <c r="D49" s="2718"/>
      <c r="E49" s="2718"/>
      <c r="F49" s="2718"/>
      <c r="G49" s="2718"/>
      <c r="H49" s="2718"/>
      <c r="I49" s="2718"/>
      <c r="J49" s="2718"/>
      <c r="K49" s="2723"/>
      <c r="L49" s="926"/>
      <c r="M49" s="924"/>
      <c r="N49" s="924"/>
      <c r="O49" s="924"/>
    </row>
    <row r="50" spans="1:17">
      <c r="A50" s="2715"/>
      <c r="B50" s="2721"/>
      <c r="C50" s="2722"/>
      <c r="D50" s="2715"/>
      <c r="E50" s="2715"/>
      <c r="F50" s="2715"/>
      <c r="G50" s="2715"/>
      <c r="H50" s="2715"/>
      <c r="I50" s="2715"/>
      <c r="J50" s="2715"/>
      <c r="K50" s="2720"/>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8"/>
      <c r="Q51" s="449"/>
    </row>
    <row r="52" spans="1:17" s="453" customFormat="1" ht="15">
      <c r="A52" s="450" t="s">
        <v>1679</v>
      </c>
      <c r="B52" s="451"/>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2"/>
    </row>
    <row r="53" spans="1:17" s="106" customFormat="1" ht="15">
      <c r="A53" s="454"/>
      <c r="B53" s="455"/>
      <c r="C53" s="1179">
        <v>100</v>
      </c>
      <c r="D53" s="457"/>
      <c r="E53" s="457"/>
      <c r="F53" s="457"/>
      <c r="G53" s="457"/>
      <c r="H53" s="457"/>
      <c r="I53" s="457"/>
      <c r="J53" s="457"/>
      <c r="K53" s="457"/>
      <c r="L53" s="457"/>
      <c r="M53" s="458"/>
      <c r="N53" s="457"/>
      <c r="O53" s="459"/>
      <c r="P53" s="449"/>
    </row>
    <row r="54" spans="1:17" s="106" customFormat="1" ht="15.75" thickBot="1">
      <c r="A54" s="460" t="s">
        <v>1716</v>
      </c>
      <c r="B54" s="461"/>
      <c r="C54" s="462"/>
      <c r="D54" s="463"/>
      <c r="E54" s="463"/>
      <c r="F54" s="463"/>
      <c r="G54" s="463"/>
      <c r="H54" s="463"/>
      <c r="I54" s="463"/>
      <c r="J54" s="463"/>
      <c r="K54" s="463"/>
      <c r="L54" s="463"/>
      <c r="M54" s="464"/>
      <c r="N54" s="2760"/>
      <c r="O54" s="2761"/>
      <c r="P54" s="449"/>
      <c r="Q54" s="449"/>
    </row>
    <row r="55" spans="1:17" s="106" customFormat="1" ht="15">
      <c r="A55" s="466" t="s">
        <v>1681</v>
      </c>
      <c r="B55" s="455"/>
      <c r="C55" s="467" t="s">
        <v>1776</v>
      </c>
      <c r="D55" s="468"/>
      <c r="E55" s="468"/>
      <c r="F55" s="468"/>
      <c r="G55" s="468"/>
      <c r="H55" s="468"/>
      <c r="I55" s="468"/>
      <c r="J55" s="468"/>
      <c r="K55" s="468"/>
      <c r="L55" s="469"/>
      <c r="M55" s="470"/>
      <c r="N55" s="928"/>
      <c r="O55" s="928"/>
      <c r="P55" s="471"/>
      <c r="Q55" s="449"/>
    </row>
    <row r="56" spans="1:17" s="106" customFormat="1" ht="15.75" thickBot="1">
      <c r="A56" s="466"/>
      <c r="B56" s="455"/>
      <c r="C56" s="583">
        <v>100</v>
      </c>
      <c r="D56" s="457"/>
      <c r="E56" s="457"/>
      <c r="F56" s="457"/>
      <c r="G56" s="457"/>
      <c r="H56" s="457"/>
      <c r="I56" s="457"/>
      <c r="J56" s="457"/>
      <c r="K56" s="457"/>
      <c r="L56" s="457"/>
      <c r="M56" s="459"/>
      <c r="N56" s="928"/>
      <c r="O56" s="928"/>
      <c r="P56" s="449"/>
      <c r="Q56" s="449"/>
    </row>
    <row r="57" spans="1:17">
      <c r="A57" s="472" t="s">
        <v>1719</v>
      </c>
      <c r="B57" s="473" t="s">
        <v>1685</v>
      </c>
      <c r="C57" s="474">
        <f>C9</f>
        <v>0</v>
      </c>
      <c r="D57" s="475"/>
      <c r="E57" s="475"/>
      <c r="F57" s="475"/>
      <c r="G57" s="475"/>
      <c r="H57" s="475"/>
      <c r="I57" s="475"/>
      <c r="J57" s="475"/>
      <c r="K57" s="476"/>
      <c r="L57" s="477"/>
      <c r="M57" s="478"/>
      <c r="N57" s="929"/>
      <c r="O57" s="929"/>
      <c r="P57" s="42"/>
      <c r="Q57" s="449"/>
    </row>
    <row r="58" spans="1:17" ht="15.75" thickBot="1">
      <c r="A58" s="479"/>
      <c r="B58" s="480"/>
      <c r="C58" s="481">
        <v>100</v>
      </c>
      <c r="D58" s="481"/>
      <c r="E58" s="481"/>
      <c r="F58" s="481"/>
      <c r="G58" s="481"/>
      <c r="H58" s="481"/>
      <c r="I58" s="481"/>
      <c r="J58" s="481"/>
      <c r="K58" s="481"/>
      <c r="L58" s="481"/>
      <c r="M58" s="482"/>
      <c r="N58" s="930"/>
      <c r="O58" s="930"/>
      <c r="P58" s="42"/>
      <c r="Q58" s="449"/>
    </row>
    <row r="59" spans="1:17" ht="27.75" thickTop="1">
      <c r="A59" s="479"/>
      <c r="B59" s="483" t="s">
        <v>1688</v>
      </c>
      <c r="C59" s="528"/>
      <c r="D59" s="528"/>
      <c r="E59" s="528"/>
      <c r="F59" s="528"/>
      <c r="G59" s="528"/>
      <c r="H59" s="528"/>
      <c r="I59" s="528"/>
      <c r="J59" s="528"/>
      <c r="K59" s="529"/>
      <c r="L59" s="530"/>
      <c r="M59" s="531"/>
      <c r="N59" s="929"/>
      <c r="O59" s="929"/>
      <c r="P59" s="42"/>
      <c r="Q59" s="449"/>
    </row>
    <row r="60" spans="1:17" ht="15.75" thickBot="1">
      <c r="A60" s="479"/>
      <c r="B60" s="488"/>
      <c r="C60" s="481"/>
      <c r="D60" s="481"/>
      <c r="E60" s="481"/>
      <c r="F60" s="481"/>
      <c r="G60" s="481"/>
      <c r="H60" s="481"/>
      <c r="I60" s="481"/>
      <c r="J60" s="481"/>
      <c r="K60" s="481"/>
      <c r="L60" s="481"/>
      <c r="M60" s="482"/>
      <c r="N60" s="930"/>
      <c r="O60" s="930"/>
      <c r="P60" s="42"/>
      <c r="Q60" s="449"/>
    </row>
    <row r="61" spans="1:17" ht="15.75" thickTop="1">
      <c r="A61" s="479"/>
      <c r="B61" s="491" t="s">
        <v>1689</v>
      </c>
      <c r="C61" s="492" t="str">
        <f>C62&amp;"（含）"&amp;"-"&amp;D62</f>
        <v>0（含）-2</v>
      </c>
      <c r="D61" s="492" t="str">
        <f t="shared" ref="D61:L61" si="17">D62&amp;"（含）"&amp;"-"&amp;E62</f>
        <v>2（含）-</v>
      </c>
      <c r="E61" s="492" t="str">
        <f t="shared" si="17"/>
        <v>（含）-</v>
      </c>
      <c r="F61" s="492" t="str">
        <f t="shared" si="17"/>
        <v>（含）-</v>
      </c>
      <c r="G61" s="492" t="str">
        <f t="shared" si="17"/>
        <v>（含）-</v>
      </c>
      <c r="H61" s="492" t="str">
        <f t="shared" si="17"/>
        <v>（含）-</v>
      </c>
      <c r="I61" s="492" t="str">
        <f t="shared" si="17"/>
        <v>（含）-</v>
      </c>
      <c r="J61" s="492" t="str">
        <f t="shared" si="17"/>
        <v>（含）-</v>
      </c>
      <c r="K61" s="492" t="str">
        <f t="shared" si="17"/>
        <v>（含）-</v>
      </c>
      <c r="L61" s="492" t="str">
        <f t="shared" si="17"/>
        <v>（含）-</v>
      </c>
      <c r="M61" s="395" t="str">
        <f>M62&amp;"（含）"&amp;"-"&amp;P62</f>
        <v>（含）-</v>
      </c>
      <c r="N61" s="930"/>
      <c r="O61" s="930"/>
      <c r="P61" s="42"/>
      <c r="Q61" s="449"/>
    </row>
    <row r="62" spans="1:17" ht="15">
      <c r="A62" s="479"/>
      <c r="B62" s="493"/>
      <c r="C62" s="494">
        <v>0</v>
      </c>
      <c r="D62" s="494">
        <v>2</v>
      </c>
      <c r="E62" s="494"/>
      <c r="F62" s="494"/>
      <c r="G62" s="494"/>
      <c r="H62" s="494"/>
      <c r="I62" s="494"/>
      <c r="J62" s="494"/>
      <c r="K62" s="495"/>
      <c r="L62" s="496"/>
      <c r="M62" s="497"/>
      <c r="N62" s="929"/>
      <c r="O62" s="929"/>
      <c r="P62" s="42"/>
      <c r="Q62" s="449"/>
    </row>
    <row r="63" spans="1:17" ht="15.75" thickBot="1">
      <c r="A63" s="479"/>
      <c r="B63" s="480"/>
      <c r="C63" s="489">
        <v>100</v>
      </c>
      <c r="D63" s="489">
        <f t="shared" ref="D63:M63" si="18">C63-$K11</f>
        <v>100</v>
      </c>
      <c r="E63" s="489">
        <f t="shared" si="18"/>
        <v>100</v>
      </c>
      <c r="F63" s="489">
        <f t="shared" si="18"/>
        <v>100</v>
      </c>
      <c r="G63" s="489">
        <f t="shared" si="18"/>
        <v>100</v>
      </c>
      <c r="H63" s="489">
        <f t="shared" si="18"/>
        <v>100</v>
      </c>
      <c r="I63" s="489">
        <f t="shared" si="18"/>
        <v>100</v>
      </c>
      <c r="J63" s="489">
        <f t="shared" si="18"/>
        <v>100</v>
      </c>
      <c r="K63" s="489">
        <f t="shared" si="18"/>
        <v>100</v>
      </c>
      <c r="L63" s="489">
        <f t="shared" si="18"/>
        <v>100</v>
      </c>
      <c r="M63" s="490">
        <f t="shared" si="18"/>
        <v>100</v>
      </c>
      <c r="N63" s="930"/>
      <c r="O63" s="930"/>
      <c r="P63" s="42"/>
      <c r="Q63" s="449"/>
    </row>
    <row r="64" spans="1:17" s="418" customFormat="1" ht="15.75" thickTop="1">
      <c r="A64" s="498"/>
      <c r="B64" s="483">
        <f>B12</f>
        <v>111</v>
      </c>
      <c r="C64" s="499"/>
      <c r="D64" s="499"/>
      <c r="E64" s="499"/>
      <c r="F64" s="499"/>
      <c r="G64" s="499"/>
      <c r="H64" s="500"/>
      <c r="I64" s="500"/>
      <c r="J64" s="500"/>
      <c r="K64" s="500"/>
      <c r="L64" s="501"/>
      <c r="M64" s="502"/>
      <c r="N64" s="931"/>
      <c r="O64" s="931"/>
      <c r="P64" s="503"/>
      <c r="Q64" s="504"/>
    </row>
    <row r="65" spans="1:17" s="418" customFormat="1" ht="15.75" thickBot="1">
      <c r="A65" s="498"/>
      <c r="B65" s="488"/>
      <c r="C65" s="505"/>
      <c r="D65" s="481"/>
      <c r="E65" s="481"/>
      <c r="F65" s="481"/>
      <c r="G65" s="481"/>
      <c r="H65" s="481"/>
      <c r="I65" s="481"/>
      <c r="J65" s="481"/>
      <c r="K65" s="481"/>
      <c r="L65" s="481"/>
      <c r="M65" s="482"/>
      <c r="N65" s="930"/>
      <c r="O65" s="930"/>
      <c r="P65" s="503"/>
      <c r="Q65" s="504"/>
    </row>
    <row r="66" spans="1:17" s="418" customFormat="1" ht="15.75" thickTop="1">
      <c r="A66" s="498"/>
      <c r="B66" s="483">
        <f>B13</f>
        <v>111</v>
      </c>
      <c r="C66" s="499"/>
      <c r="D66" s="499"/>
      <c r="E66" s="499"/>
      <c r="F66" s="499"/>
      <c r="G66" s="499"/>
      <c r="H66" s="500"/>
      <c r="I66" s="500"/>
      <c r="J66" s="500"/>
      <c r="K66" s="500"/>
      <c r="L66" s="501"/>
      <c r="M66" s="502"/>
      <c r="N66" s="931"/>
      <c r="O66" s="931"/>
      <c r="P66" s="417"/>
      <c r="Q66" s="506"/>
    </row>
    <row r="67" spans="1:17" s="418" customFormat="1" ht="15.75" thickBot="1">
      <c r="A67" s="498"/>
      <c r="B67" s="488"/>
      <c r="C67" s="505"/>
      <c r="D67" s="481"/>
      <c r="E67" s="481"/>
      <c r="F67" s="481"/>
      <c r="G67" s="505"/>
      <c r="H67" s="507"/>
      <c r="I67" s="507"/>
      <c r="J67" s="507"/>
      <c r="K67" s="507"/>
      <c r="L67" s="507"/>
      <c r="M67" s="508"/>
      <c r="N67" s="931"/>
      <c r="O67" s="931"/>
      <c r="P67" s="503"/>
      <c r="Q67" s="504"/>
    </row>
    <row r="68" spans="1:17" s="418" customFormat="1" ht="15.75" thickTop="1">
      <c r="A68" s="498"/>
      <c r="B68" s="491">
        <f>B14</f>
        <v>111</v>
      </c>
      <c r="C68" s="468"/>
      <c r="D68" s="468"/>
      <c r="E68" s="468"/>
      <c r="F68" s="468"/>
      <c r="G68" s="468"/>
      <c r="H68" s="509"/>
      <c r="I68" s="509"/>
      <c r="J68" s="509"/>
      <c r="K68" s="509"/>
      <c r="L68" s="510"/>
      <c r="M68" s="511"/>
      <c r="N68" s="931"/>
      <c r="O68" s="931"/>
      <c r="P68" s="512"/>
      <c r="Q68" s="504"/>
    </row>
    <row r="69" spans="1:17" s="418" customFormat="1" ht="15.75" thickBot="1">
      <c r="A69" s="513"/>
      <c r="B69" s="514"/>
      <c r="C69" s="515"/>
      <c r="D69" s="515"/>
      <c r="E69" s="515"/>
      <c r="F69" s="515"/>
      <c r="G69" s="515"/>
      <c r="H69" s="516"/>
      <c r="I69" s="516"/>
      <c r="J69" s="516"/>
      <c r="K69" s="516"/>
      <c r="L69" s="516"/>
      <c r="M69" s="517"/>
      <c r="N69" s="931"/>
      <c r="O69" s="931"/>
      <c r="P69" s="503"/>
      <c r="Q69" s="504"/>
    </row>
    <row r="70" spans="1:17">
      <c r="A70" s="472" t="s">
        <v>1690</v>
      </c>
      <c r="B70" s="473" t="s">
        <v>1829</v>
      </c>
      <c r="C70" s="518" t="s">
        <v>1721</v>
      </c>
      <c r="D70" s="518" t="s">
        <v>1722</v>
      </c>
      <c r="E70" s="518" t="s">
        <v>1723</v>
      </c>
      <c r="F70" s="518" t="s">
        <v>1724</v>
      </c>
      <c r="G70" s="518" t="s">
        <v>1725</v>
      </c>
      <c r="H70" s="474"/>
      <c r="I70" s="474"/>
      <c r="J70" s="474"/>
      <c r="K70" s="519"/>
      <c r="L70" s="520"/>
      <c r="M70" s="521"/>
      <c r="N70" s="929"/>
      <c r="O70" s="929"/>
      <c r="P70" s="522"/>
      <c r="Q70" s="449"/>
    </row>
    <row r="71" spans="1:17" ht="15.75" thickBot="1">
      <c r="A71" s="479"/>
      <c r="B71" s="488"/>
      <c r="C71" s="489">
        <v>100</v>
      </c>
      <c r="D71" s="489">
        <f>C71-$K15</f>
        <v>100</v>
      </c>
      <c r="E71" s="489">
        <f>D71-$K15</f>
        <v>100</v>
      </c>
      <c r="F71" s="489">
        <f>E71-$K15</f>
        <v>100</v>
      </c>
      <c r="G71" s="489">
        <f>F71-$K15</f>
        <v>100</v>
      </c>
      <c r="H71" s="489"/>
      <c r="I71" s="489"/>
      <c r="J71" s="489"/>
      <c r="K71" s="489"/>
      <c r="L71" s="489"/>
      <c r="M71" s="490"/>
      <c r="N71" s="930"/>
      <c r="O71" s="930"/>
      <c r="P71" s="42"/>
      <c r="Q71" s="449"/>
    </row>
    <row r="72" spans="1:17" ht="15.75" thickTop="1">
      <c r="A72" s="479"/>
      <c r="B72" s="483" t="s">
        <v>1726</v>
      </c>
      <c r="C72" s="523" t="s">
        <v>1721</v>
      </c>
      <c r="D72" s="523" t="s">
        <v>1722</v>
      </c>
      <c r="E72" s="523" t="s">
        <v>1723</v>
      </c>
      <c r="F72" s="523" t="s">
        <v>1724</v>
      </c>
      <c r="G72" s="523" t="s">
        <v>1725</v>
      </c>
      <c r="H72" s="484"/>
      <c r="I72" s="484"/>
      <c r="J72" s="484"/>
      <c r="K72" s="485"/>
      <c r="L72" s="486"/>
      <c r="M72" s="487"/>
      <c r="N72" s="929"/>
      <c r="O72" s="929"/>
      <c r="P72" s="42"/>
      <c r="Q72" s="449"/>
    </row>
    <row r="73" spans="1:17" ht="15.75" thickBot="1">
      <c r="A73" s="479"/>
      <c r="B73" s="488"/>
      <c r="C73" s="489">
        <v>100</v>
      </c>
      <c r="D73" s="489">
        <f>C73-$K17</f>
        <v>100</v>
      </c>
      <c r="E73" s="489">
        <f>D73-$K17</f>
        <v>100</v>
      </c>
      <c r="F73" s="489">
        <f>E73-$K17</f>
        <v>100</v>
      </c>
      <c r="G73" s="489">
        <f>F73-$K17</f>
        <v>100</v>
      </c>
      <c r="H73" s="489"/>
      <c r="I73" s="489"/>
      <c r="J73" s="489"/>
      <c r="K73" s="489"/>
      <c r="L73" s="489"/>
      <c r="M73" s="490"/>
      <c r="N73" s="930"/>
      <c r="O73" s="930"/>
      <c r="P73" s="42"/>
      <c r="Q73" s="449"/>
    </row>
    <row r="74" spans="1:17" ht="15.75" thickTop="1">
      <c r="A74" s="479"/>
      <c r="B74" s="483" t="s">
        <v>1727</v>
      </c>
      <c r="C74" s="523" t="s">
        <v>1721</v>
      </c>
      <c r="D74" s="523" t="s">
        <v>1722</v>
      </c>
      <c r="E74" s="523" t="s">
        <v>1723</v>
      </c>
      <c r="F74" s="523" t="s">
        <v>1724</v>
      </c>
      <c r="G74" s="523" t="s">
        <v>1725</v>
      </c>
      <c r="H74" s="484"/>
      <c r="I74" s="484"/>
      <c r="J74" s="484"/>
      <c r="K74" s="485"/>
      <c r="L74" s="486"/>
      <c r="M74" s="487"/>
      <c r="N74" s="929"/>
      <c r="O74" s="929"/>
      <c r="P74" s="42"/>
      <c r="Q74" s="449"/>
    </row>
    <row r="75" spans="1:17" ht="15.75" thickBot="1">
      <c r="A75" s="479"/>
      <c r="B75" s="488"/>
      <c r="C75" s="489">
        <v>100</v>
      </c>
      <c r="D75" s="489">
        <f>C75-$K19</f>
        <v>100</v>
      </c>
      <c r="E75" s="489">
        <f>D75-$K19</f>
        <v>100</v>
      </c>
      <c r="F75" s="489">
        <f>E75-$K19</f>
        <v>100</v>
      </c>
      <c r="G75" s="489">
        <f>F75-$K19</f>
        <v>100</v>
      </c>
      <c r="H75" s="489"/>
      <c r="I75" s="489"/>
      <c r="J75" s="489"/>
      <c r="K75" s="489"/>
      <c r="L75" s="489"/>
      <c r="M75" s="490"/>
      <c r="N75" s="930"/>
      <c r="O75" s="930"/>
      <c r="P75" s="42"/>
      <c r="Q75" s="449"/>
    </row>
    <row r="76" spans="1:17" ht="15.75" thickTop="1">
      <c r="A76" s="479"/>
      <c r="B76" s="491" t="s">
        <v>1813</v>
      </c>
      <c r="C76" s="604" t="s">
        <v>1799</v>
      </c>
      <c r="D76" s="604" t="s">
        <v>1800</v>
      </c>
      <c r="E76" s="604" t="s">
        <v>1801</v>
      </c>
      <c r="F76" s="604" t="s">
        <v>1802</v>
      </c>
      <c r="G76" s="604" t="s">
        <v>1803</v>
      </c>
      <c r="H76" s="484"/>
      <c r="I76" s="484"/>
      <c r="J76" s="484"/>
      <c r="K76" s="484"/>
      <c r="L76" s="484"/>
      <c r="M76" s="1125"/>
      <c r="N76" s="930"/>
      <c r="O76" s="930"/>
      <c r="P76" s="42"/>
      <c r="Q76" s="449"/>
    </row>
    <row r="77" spans="1:17" ht="15.75" thickBot="1">
      <c r="A77" s="479"/>
      <c r="B77" s="491"/>
      <c r="C77" s="489">
        <v>100</v>
      </c>
      <c r="D77" s="489">
        <f>C77-$K21</f>
        <v>100</v>
      </c>
      <c r="E77" s="489">
        <f>D77-$K21</f>
        <v>100</v>
      </c>
      <c r="F77" s="489">
        <f>E77-$K21</f>
        <v>100</v>
      </c>
      <c r="G77" s="489">
        <f>F77-$K21</f>
        <v>100</v>
      </c>
      <c r="H77" s="604"/>
      <c r="I77" s="604"/>
      <c r="J77" s="604"/>
      <c r="K77" s="604"/>
      <c r="L77" s="604"/>
      <c r="M77" s="397"/>
      <c r="N77" s="930"/>
      <c r="O77" s="930"/>
      <c r="P77" s="42"/>
      <c r="Q77" s="449"/>
    </row>
    <row r="78" spans="1:17" ht="15.75" thickTop="1">
      <c r="A78" s="479"/>
      <c r="B78" s="483" t="s">
        <v>1822</v>
      </c>
      <c r="C78" s="523" t="s">
        <v>1721</v>
      </c>
      <c r="D78" s="523" t="s">
        <v>1722</v>
      </c>
      <c r="E78" s="523" t="s">
        <v>1723</v>
      </c>
      <c r="F78" s="523" t="s">
        <v>1724</v>
      </c>
      <c r="G78" s="523" t="s">
        <v>1725</v>
      </c>
      <c r="H78" s="484"/>
      <c r="I78" s="484"/>
      <c r="J78" s="484"/>
      <c r="K78" s="485"/>
      <c r="L78" s="486"/>
      <c r="M78" s="487"/>
      <c r="N78" s="929"/>
      <c r="O78" s="929"/>
      <c r="P78" s="42"/>
      <c r="Q78" s="449"/>
    </row>
    <row r="79" spans="1:17" ht="15.75" thickBot="1">
      <c r="A79" s="479"/>
      <c r="B79" s="488"/>
      <c r="C79" s="489">
        <v>100</v>
      </c>
      <c r="D79" s="489">
        <f>C79-$K23</f>
        <v>100</v>
      </c>
      <c r="E79" s="489">
        <f>D79-$K23</f>
        <v>100</v>
      </c>
      <c r="F79" s="489">
        <f>E79-$K23</f>
        <v>100</v>
      </c>
      <c r="G79" s="489">
        <f>F79-$K23</f>
        <v>100</v>
      </c>
      <c r="H79" s="489"/>
      <c r="I79" s="489"/>
      <c r="J79" s="489"/>
      <c r="K79" s="489"/>
      <c r="L79" s="489"/>
      <c r="M79" s="490"/>
      <c r="N79" s="930"/>
      <c r="O79" s="930"/>
      <c r="P79" s="42"/>
      <c r="Q79" s="449"/>
    </row>
    <row r="80" spans="1:17" s="106" customFormat="1" ht="15.75" thickTop="1">
      <c r="A80" s="524"/>
      <c r="B80" s="483">
        <f>B25</f>
        <v>111</v>
      </c>
      <c r="C80" s="499"/>
      <c r="D80" s="499"/>
      <c r="E80" s="499"/>
      <c r="F80" s="499"/>
      <c r="G80" s="499"/>
      <c r="H80" s="499"/>
      <c r="I80" s="499"/>
      <c r="J80" s="499"/>
      <c r="K80" s="499"/>
      <c r="L80" s="525"/>
      <c r="M80" s="526"/>
      <c r="N80" s="928"/>
      <c r="O80" s="928"/>
      <c r="P80" s="42"/>
      <c r="Q80" s="449"/>
    </row>
    <row r="81" spans="1:17" s="106" customFormat="1" ht="15.75" thickBot="1">
      <c r="A81" s="524"/>
      <c r="B81" s="488"/>
      <c r="C81" s="505"/>
      <c r="D81" s="481"/>
      <c r="E81" s="481"/>
      <c r="F81" s="481"/>
      <c r="G81" s="481"/>
      <c r="H81" s="481"/>
      <c r="I81" s="481"/>
      <c r="J81" s="481"/>
      <c r="K81" s="481"/>
      <c r="L81" s="481"/>
      <c r="M81" s="482"/>
      <c r="N81" s="930"/>
      <c r="O81" s="930"/>
      <c r="P81" s="42"/>
      <c r="Q81" s="449"/>
    </row>
    <row r="82" spans="1:17" s="106" customFormat="1" ht="15.75" thickTop="1">
      <c r="A82" s="524"/>
      <c r="B82" s="483">
        <f>B26</f>
        <v>111</v>
      </c>
      <c r="C82" s="499"/>
      <c r="D82" s="499"/>
      <c r="E82" s="499"/>
      <c r="F82" s="499"/>
      <c r="G82" s="499"/>
      <c r="H82" s="499"/>
      <c r="I82" s="499"/>
      <c r="J82" s="499"/>
      <c r="K82" s="499"/>
      <c r="L82" s="525"/>
      <c r="M82" s="526"/>
      <c r="N82" s="928"/>
      <c r="O82" s="928"/>
      <c r="P82" s="42"/>
      <c r="Q82" s="449"/>
    </row>
    <row r="83" spans="1:17" s="106" customFormat="1" ht="15.75" thickBot="1">
      <c r="A83" s="524"/>
      <c r="B83" s="488"/>
      <c r="C83" s="505"/>
      <c r="D83" s="481"/>
      <c r="E83" s="481"/>
      <c r="F83" s="481"/>
      <c r="G83" s="481"/>
      <c r="H83" s="481"/>
      <c r="I83" s="481"/>
      <c r="J83" s="481"/>
      <c r="K83" s="481"/>
      <c r="L83" s="481"/>
      <c r="M83" s="482"/>
      <c r="N83" s="930"/>
      <c r="O83" s="930"/>
      <c r="P83" s="42"/>
      <c r="Q83" s="449"/>
    </row>
    <row r="84" spans="1:17" s="418" customFormat="1" ht="15.75" thickTop="1">
      <c r="A84" s="498"/>
      <c r="B84" s="483">
        <f>B27</f>
        <v>111</v>
      </c>
      <c r="C84" s="499"/>
      <c r="D84" s="499"/>
      <c r="E84" s="499"/>
      <c r="F84" s="499"/>
      <c r="G84" s="499"/>
      <c r="H84" s="499"/>
      <c r="I84" s="499"/>
      <c r="J84" s="499"/>
      <c r="K84" s="499"/>
      <c r="L84" s="525"/>
      <c r="M84" s="526"/>
      <c r="N84" s="931"/>
      <c r="O84" s="931"/>
      <c r="P84" s="503"/>
      <c r="Q84" s="504"/>
    </row>
    <row r="85" spans="1:17" s="418" customFormat="1" ht="15.75" thickBot="1">
      <c r="A85" s="498"/>
      <c r="B85" s="488"/>
      <c r="C85" s="505"/>
      <c r="D85" s="481"/>
      <c r="E85" s="481"/>
      <c r="F85" s="481"/>
      <c r="G85" s="481"/>
      <c r="H85" s="481"/>
      <c r="I85" s="481"/>
      <c r="J85" s="481"/>
      <c r="K85" s="481"/>
      <c r="L85" s="481"/>
      <c r="M85" s="482"/>
      <c r="N85" s="931"/>
      <c r="O85" s="931"/>
      <c r="P85" s="503"/>
      <c r="Q85" s="504"/>
    </row>
    <row r="86" spans="1:17" ht="15.75" thickTop="1">
      <c r="A86" s="479"/>
      <c r="B86" s="491">
        <f>B28</f>
        <v>111</v>
      </c>
      <c r="C86" s="468"/>
      <c r="D86" s="468"/>
      <c r="E86" s="468"/>
      <c r="F86" s="468"/>
      <c r="G86" s="532"/>
      <c r="H86" s="532"/>
      <c r="I86" s="532"/>
      <c r="J86" s="532"/>
      <c r="K86" s="533"/>
      <c r="L86" s="534"/>
      <c r="M86" s="535"/>
      <c r="N86" s="929"/>
      <c r="O86" s="929"/>
      <c r="P86" s="42"/>
      <c r="Q86" s="449"/>
    </row>
    <row r="87" spans="1:17" ht="15.75" thickBot="1">
      <c r="A87" s="1924"/>
      <c r="B87" s="514"/>
      <c r="C87" s="515"/>
      <c r="D87" s="515"/>
      <c r="E87" s="515"/>
      <c r="F87" s="515"/>
      <c r="G87" s="536"/>
      <c r="H87" s="536"/>
      <c r="I87" s="536"/>
      <c r="J87" s="536"/>
      <c r="K87" s="536"/>
      <c r="L87" s="536"/>
      <c r="M87" s="537"/>
      <c r="N87" s="930"/>
      <c r="O87" s="930"/>
      <c r="P87" s="42"/>
      <c r="Q87" s="449"/>
    </row>
    <row r="88" spans="1:17">
      <c r="A88" s="472" t="s">
        <v>1694</v>
      </c>
      <c r="B88" s="473" t="s">
        <v>1736</v>
      </c>
      <c r="C88" s="475"/>
      <c r="D88" s="475"/>
      <c r="E88" s="475"/>
      <c r="F88" s="475"/>
      <c r="G88" s="475"/>
      <c r="H88" s="475"/>
      <c r="I88" s="475"/>
      <c r="J88" s="475"/>
      <c r="K88" s="476"/>
      <c r="L88" s="477"/>
      <c r="M88" s="478"/>
      <c r="N88" s="929"/>
      <c r="O88" s="929"/>
      <c r="P88" s="42"/>
      <c r="Q88" s="449"/>
    </row>
    <row r="89" spans="1:17" ht="15.75" thickBot="1">
      <c r="A89" s="479"/>
      <c r="B89" s="488"/>
      <c r="C89" s="489">
        <v>100</v>
      </c>
      <c r="D89" s="489">
        <f t="shared" ref="D89:M89" si="19">C89-$K29</f>
        <v>100</v>
      </c>
      <c r="E89" s="489">
        <f t="shared" si="19"/>
        <v>100</v>
      </c>
      <c r="F89" s="489">
        <f t="shared" si="19"/>
        <v>100</v>
      </c>
      <c r="G89" s="489">
        <f t="shared" si="19"/>
        <v>100</v>
      </c>
      <c r="H89" s="489">
        <f t="shared" si="19"/>
        <v>100</v>
      </c>
      <c r="I89" s="489">
        <f t="shared" si="19"/>
        <v>100</v>
      </c>
      <c r="J89" s="489">
        <f t="shared" si="19"/>
        <v>100</v>
      </c>
      <c r="K89" s="489">
        <f t="shared" si="19"/>
        <v>100</v>
      </c>
      <c r="L89" s="489">
        <f t="shared" si="19"/>
        <v>100</v>
      </c>
      <c r="M89" s="490">
        <f t="shared" si="19"/>
        <v>100</v>
      </c>
      <c r="N89" s="930"/>
      <c r="O89" s="930"/>
      <c r="P89" s="42"/>
      <c r="Q89" s="449"/>
    </row>
    <row r="90" spans="1:17" ht="15.75" thickTop="1">
      <c r="A90" s="479"/>
      <c r="B90" s="483" t="s">
        <v>1737</v>
      </c>
      <c r="C90" s="523" t="str">
        <f>C91&amp;"(含)"&amp;"-"&amp;D91</f>
        <v>(含)-</v>
      </c>
      <c r="D90" s="523" t="str">
        <f t="shared" ref="D90:L90" si="20">D91&amp;"(含)"&amp;"-"&amp;E91</f>
        <v>(含)-</v>
      </c>
      <c r="E90" s="523" t="str">
        <f t="shared" si="20"/>
        <v>(含)-</v>
      </c>
      <c r="F90" s="523" t="str">
        <f t="shared" si="20"/>
        <v>(含)-</v>
      </c>
      <c r="G90" s="523" t="str">
        <f t="shared" si="20"/>
        <v>(含)-</v>
      </c>
      <c r="H90" s="523" t="str">
        <f t="shared" si="20"/>
        <v>(含)-</v>
      </c>
      <c r="I90" s="523" t="str">
        <f t="shared" si="20"/>
        <v>(含)-</v>
      </c>
      <c r="J90" s="523" t="str">
        <f t="shared" si="20"/>
        <v>(含)-</v>
      </c>
      <c r="K90" s="523" t="str">
        <f t="shared" si="20"/>
        <v>(含)-</v>
      </c>
      <c r="L90" s="523" t="str">
        <f t="shared" si="20"/>
        <v>(含)-</v>
      </c>
      <c r="M90" s="566" t="str">
        <f>M91&amp;"(含)"&amp;"-"&amp;P91</f>
        <v>(含)-</v>
      </c>
      <c r="N90" s="928"/>
      <c r="O90" s="928"/>
      <c r="P90" s="42"/>
      <c r="Q90" s="449"/>
    </row>
    <row r="91" spans="1:17" s="418" customFormat="1">
      <c r="A91" s="538"/>
      <c r="B91" s="539"/>
      <c r="C91" s="540"/>
      <c r="D91" s="540"/>
      <c r="E91" s="540"/>
      <c r="F91" s="540"/>
      <c r="G91" s="540"/>
      <c r="H91" s="540"/>
      <c r="I91" s="540"/>
      <c r="J91" s="541"/>
      <c r="K91" s="541"/>
      <c r="L91" s="542"/>
      <c r="M91" s="543"/>
      <c r="N91" s="931"/>
      <c r="O91" s="931"/>
      <c r="P91" s="503"/>
      <c r="Q91" s="504"/>
    </row>
    <row r="92" spans="1:17" s="418" customFormat="1" ht="15.75" thickBot="1">
      <c r="A92" s="498"/>
      <c r="B92" s="488"/>
      <c r="C92" s="505"/>
      <c r="D92" s="481"/>
      <c r="E92" s="481"/>
      <c r="F92" s="481"/>
      <c r="G92" s="481"/>
      <c r="H92" s="481"/>
      <c r="I92" s="481"/>
      <c r="J92" s="481"/>
      <c r="K92" s="481"/>
      <c r="L92" s="481"/>
      <c r="M92" s="482"/>
      <c r="N92" s="930"/>
      <c r="O92" s="930"/>
      <c r="P92" s="503"/>
      <c r="Q92" s="504"/>
    </row>
    <row r="93" spans="1:17" ht="15" thickTop="1">
      <c r="A93" s="544"/>
      <c r="B93" s="483" t="s">
        <v>1738</v>
      </c>
      <c r="C93" s="499"/>
      <c r="D93" s="499"/>
      <c r="E93" s="528"/>
      <c r="F93" s="528"/>
      <c r="G93" s="528"/>
      <c r="H93" s="528"/>
      <c r="I93" s="528"/>
      <c r="J93" s="528"/>
      <c r="K93" s="529"/>
      <c r="L93" s="530"/>
      <c r="M93" s="531"/>
      <c r="N93" s="929"/>
      <c r="O93" s="929"/>
      <c r="P93" s="42"/>
      <c r="Q93" s="449"/>
    </row>
    <row r="94" spans="1:17" ht="15.75" thickBot="1">
      <c r="A94" s="479"/>
      <c r="B94" s="488"/>
      <c r="C94" s="489">
        <v>100</v>
      </c>
      <c r="D94" s="489">
        <f t="shared" ref="D94:M94" si="21">C94-$K31</f>
        <v>100</v>
      </c>
      <c r="E94" s="489">
        <f t="shared" si="21"/>
        <v>100</v>
      </c>
      <c r="F94" s="489">
        <f t="shared" si="21"/>
        <v>100</v>
      </c>
      <c r="G94" s="489">
        <f t="shared" si="21"/>
        <v>100</v>
      </c>
      <c r="H94" s="489">
        <f t="shared" si="21"/>
        <v>100</v>
      </c>
      <c r="I94" s="489">
        <f t="shared" si="21"/>
        <v>100</v>
      </c>
      <c r="J94" s="489">
        <f t="shared" si="21"/>
        <v>100</v>
      </c>
      <c r="K94" s="489">
        <f t="shared" si="21"/>
        <v>100</v>
      </c>
      <c r="L94" s="489">
        <f t="shared" si="21"/>
        <v>100</v>
      </c>
      <c r="M94" s="490">
        <f t="shared" si="21"/>
        <v>100</v>
      </c>
      <c r="N94" s="930"/>
      <c r="O94" s="930"/>
      <c r="P94" s="42"/>
      <c r="Q94" s="449"/>
    </row>
    <row r="95" spans="1:17" ht="15" thickTop="1">
      <c r="A95" s="544"/>
      <c r="B95" s="483" t="s">
        <v>1740</v>
      </c>
      <c r="C95" s="499"/>
      <c r="D95" s="499"/>
      <c r="E95" s="499"/>
      <c r="F95" s="528"/>
      <c r="G95" s="528"/>
      <c r="H95" s="528"/>
      <c r="I95" s="528"/>
      <c r="J95" s="528"/>
      <c r="K95" s="529"/>
      <c r="L95" s="530"/>
      <c r="M95" s="531"/>
      <c r="N95" s="929"/>
      <c r="O95" s="929"/>
      <c r="P95" s="42"/>
      <c r="Q95" s="449"/>
    </row>
    <row r="96" spans="1:17" ht="15.75" thickBot="1">
      <c r="A96" s="479"/>
      <c r="B96" s="488"/>
      <c r="C96" s="489">
        <v>100</v>
      </c>
      <c r="D96" s="489">
        <f t="shared" ref="D96:M96" si="22">C96-$K32</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90">
        <f t="shared" si="22"/>
        <v>100</v>
      </c>
      <c r="N96" s="930"/>
      <c r="O96" s="930"/>
      <c r="P96" s="42"/>
      <c r="Q96" s="449"/>
    </row>
    <row r="97" spans="1:17" ht="15" thickTop="1">
      <c r="A97" s="544"/>
      <c r="B97" s="483" t="s">
        <v>1190</v>
      </c>
      <c r="C97" s="523" t="str">
        <f>C98&amp;"(含)"&amp;"-"&amp;D98</f>
        <v>0.5(含)-0.6</v>
      </c>
      <c r="D97" s="523" t="str">
        <f>D98&amp;"(含)"&amp;"-"&amp;E98</f>
        <v>0.6(含)-0.7</v>
      </c>
      <c r="E97" s="523" t="str">
        <f>E98&amp;"(含)"&amp;"-"&amp;F98</f>
        <v>0.7(含)-0.8</v>
      </c>
      <c r="F97" s="523" t="str">
        <f>F98&amp;"(含)"&amp;"-"&amp;G98</f>
        <v>0.8(含)-0.9</v>
      </c>
      <c r="G97" s="523" t="str">
        <f>G98&amp;"(含)"&amp;"-"&amp;ROUND(H98,0)&amp;"(含)"</f>
        <v>0.9(含)-1(含)</v>
      </c>
      <c r="H97" s="523"/>
      <c r="I97" s="528"/>
      <c r="J97" s="528"/>
      <c r="K97" s="529"/>
      <c r="L97" s="530"/>
      <c r="M97" s="531"/>
      <c r="N97" s="929"/>
      <c r="O97" s="929"/>
      <c r="P97" s="42"/>
      <c r="Q97" s="449"/>
    </row>
    <row r="98" spans="1:17">
      <c r="A98" s="544"/>
      <c r="B98" s="491"/>
      <c r="C98" s="548">
        <v>0.5</v>
      </c>
      <c r="D98" s="548">
        <v>0.6</v>
      </c>
      <c r="E98" s="548">
        <v>0.7</v>
      </c>
      <c r="F98" s="548">
        <v>0.8</v>
      </c>
      <c r="G98" s="548">
        <v>0.9</v>
      </c>
      <c r="H98" s="548">
        <v>1.0001</v>
      </c>
      <c r="I98" s="567"/>
      <c r="J98" s="567"/>
      <c r="K98" s="568"/>
      <c r="L98" s="569"/>
      <c r="M98" s="570"/>
      <c r="N98" s="929"/>
      <c r="O98" s="929"/>
      <c r="P98" s="42"/>
      <c r="Q98" s="449"/>
    </row>
    <row r="99" spans="1:17" ht="15.75" thickBot="1">
      <c r="A99" s="479"/>
      <c r="B99" s="488"/>
      <c r="C99" s="527">
        <v>100</v>
      </c>
      <c r="D99" s="489">
        <f>C99+$K33</f>
        <v>100</v>
      </c>
      <c r="E99" s="489">
        <f t="shared" ref="E99:M99" si="23">D99+$K33</f>
        <v>100</v>
      </c>
      <c r="F99" s="489">
        <f t="shared" si="23"/>
        <v>100</v>
      </c>
      <c r="G99" s="489">
        <f t="shared" si="23"/>
        <v>100</v>
      </c>
      <c r="H99" s="489">
        <f t="shared" si="23"/>
        <v>100</v>
      </c>
      <c r="I99" s="489">
        <f t="shared" si="23"/>
        <v>100</v>
      </c>
      <c r="J99" s="489">
        <f t="shared" si="23"/>
        <v>100</v>
      </c>
      <c r="K99" s="489">
        <f t="shared" si="23"/>
        <v>100</v>
      </c>
      <c r="L99" s="489">
        <f t="shared" si="23"/>
        <v>100</v>
      </c>
      <c r="M99" s="489">
        <f t="shared" si="23"/>
        <v>100</v>
      </c>
      <c r="N99" s="930"/>
      <c r="O99" s="930"/>
      <c r="P99" s="42"/>
      <c r="Q99" s="449"/>
    </row>
    <row r="100" spans="1:17" s="418" customFormat="1" ht="15" thickTop="1">
      <c r="A100" s="538"/>
      <c r="B100" s="483" t="s">
        <v>1741</v>
      </c>
      <c r="C100" s="499"/>
      <c r="D100" s="499"/>
      <c r="E100" s="499"/>
      <c r="F100" s="499"/>
      <c r="G100" s="499"/>
      <c r="H100" s="528"/>
      <c r="I100" s="528"/>
      <c r="J100" s="528"/>
      <c r="K100" s="529"/>
      <c r="L100" s="530"/>
      <c r="M100" s="531"/>
      <c r="N100" s="931"/>
      <c r="O100" s="931"/>
      <c r="P100" s="503"/>
      <c r="Q100" s="504"/>
    </row>
    <row r="101" spans="1:17" s="418" customFormat="1" ht="15.75" thickBot="1">
      <c r="A101" s="498"/>
      <c r="B101" s="488"/>
      <c r="C101" s="489">
        <v>100</v>
      </c>
      <c r="D101" s="489">
        <f>C101-$K34</f>
        <v>100</v>
      </c>
      <c r="E101" s="489">
        <f t="shared" ref="E101:M101" si="24">D101-$K34</f>
        <v>100</v>
      </c>
      <c r="F101" s="489">
        <f t="shared" si="24"/>
        <v>100</v>
      </c>
      <c r="G101" s="489">
        <f t="shared" si="24"/>
        <v>100</v>
      </c>
      <c r="H101" s="489">
        <f t="shared" si="24"/>
        <v>100</v>
      </c>
      <c r="I101" s="489">
        <f t="shared" si="24"/>
        <v>100</v>
      </c>
      <c r="J101" s="489">
        <f t="shared" si="24"/>
        <v>100</v>
      </c>
      <c r="K101" s="489">
        <f t="shared" si="24"/>
        <v>100</v>
      </c>
      <c r="L101" s="489">
        <f t="shared" si="24"/>
        <v>100</v>
      </c>
      <c r="M101" s="489">
        <f t="shared" si="24"/>
        <v>100</v>
      </c>
      <c r="N101" s="931"/>
      <c r="O101" s="931"/>
      <c r="P101" s="503"/>
      <c r="Q101" s="504"/>
    </row>
    <row r="102" spans="1:17" ht="15" thickTop="1">
      <c r="A102" s="544"/>
      <c r="B102" s="483" t="s">
        <v>1742</v>
      </c>
      <c r="C102" s="499"/>
      <c r="D102" s="499"/>
      <c r="E102" s="499"/>
      <c r="F102" s="499"/>
      <c r="G102" s="499"/>
      <c r="H102" s="528"/>
      <c r="I102" s="528"/>
      <c r="J102" s="528"/>
      <c r="K102" s="529"/>
      <c r="L102" s="530"/>
      <c r="M102" s="531"/>
      <c r="N102" s="929"/>
      <c r="O102" s="929"/>
      <c r="P102" s="42"/>
      <c r="Q102" s="449"/>
    </row>
    <row r="103" spans="1:17" ht="15.75" thickBot="1">
      <c r="A103" s="479"/>
      <c r="B103" s="488"/>
      <c r="C103" s="489">
        <v>100</v>
      </c>
      <c r="D103" s="489">
        <f t="shared" ref="D103:M103" si="25">C103-$K35</f>
        <v>100</v>
      </c>
      <c r="E103" s="489">
        <f t="shared" si="25"/>
        <v>100</v>
      </c>
      <c r="F103" s="489">
        <f t="shared" si="25"/>
        <v>100</v>
      </c>
      <c r="G103" s="489">
        <f t="shared" si="25"/>
        <v>100</v>
      </c>
      <c r="H103" s="489">
        <f t="shared" si="25"/>
        <v>100</v>
      </c>
      <c r="I103" s="489">
        <f t="shared" si="25"/>
        <v>100</v>
      </c>
      <c r="J103" s="489">
        <f t="shared" si="25"/>
        <v>100</v>
      </c>
      <c r="K103" s="489">
        <f t="shared" si="25"/>
        <v>100</v>
      </c>
      <c r="L103" s="489">
        <f t="shared" si="25"/>
        <v>100</v>
      </c>
      <c r="M103" s="490">
        <f t="shared" si="25"/>
        <v>100</v>
      </c>
      <c r="N103" s="930"/>
      <c r="O103" s="930"/>
      <c r="P103" s="42"/>
      <c r="Q103" s="449"/>
    </row>
    <row r="104" spans="1:17" ht="15" thickTop="1">
      <c r="A104" s="544"/>
      <c r="B104" s="483" t="s">
        <v>1744</v>
      </c>
      <c r="C104" s="499"/>
      <c r="D104" s="499"/>
      <c r="E104" s="499"/>
      <c r="F104" s="499"/>
      <c r="G104" s="499"/>
      <c r="H104" s="528"/>
      <c r="I104" s="528"/>
      <c r="J104" s="528"/>
      <c r="K104" s="529"/>
      <c r="L104" s="530"/>
      <c r="M104" s="531"/>
      <c r="N104" s="929"/>
      <c r="O104" s="929"/>
      <c r="P104" s="42"/>
      <c r="Q104" s="449"/>
    </row>
    <row r="105" spans="1:17" ht="15.75" thickBot="1">
      <c r="A105" s="479"/>
      <c r="B105" s="488"/>
      <c r="C105" s="489">
        <v>100</v>
      </c>
      <c r="D105" s="489">
        <f>C105-$K36</f>
        <v>100</v>
      </c>
      <c r="E105" s="489">
        <f>D105-$K36</f>
        <v>100</v>
      </c>
      <c r="F105" s="489">
        <f>E105-$K36</f>
        <v>100</v>
      </c>
      <c r="G105" s="489">
        <f>F105-$K36</f>
        <v>100</v>
      </c>
      <c r="H105" s="489"/>
      <c r="I105" s="489"/>
      <c r="J105" s="489"/>
      <c r="K105" s="489"/>
      <c r="L105" s="489"/>
      <c r="M105" s="490"/>
      <c r="N105" s="930"/>
      <c r="O105" s="930"/>
      <c r="P105" s="42"/>
      <c r="Q105" s="449"/>
    </row>
    <row r="106" spans="1:17" ht="15" thickTop="1">
      <c r="A106" s="544"/>
      <c r="B106" s="580" t="s">
        <v>1830</v>
      </c>
      <c r="C106" s="523" t="s">
        <v>1721</v>
      </c>
      <c r="D106" s="523" t="s">
        <v>1722</v>
      </c>
      <c r="E106" s="523" t="s">
        <v>1723</v>
      </c>
      <c r="F106" s="523" t="s">
        <v>1724</v>
      </c>
      <c r="G106" s="523" t="s">
        <v>1725</v>
      </c>
      <c r="H106" s="484"/>
      <c r="I106" s="484"/>
      <c r="J106" s="484"/>
      <c r="K106" s="485"/>
      <c r="L106" s="486"/>
      <c r="M106" s="487"/>
      <c r="N106" s="930"/>
      <c r="O106" s="930"/>
      <c r="P106" s="581"/>
      <c r="Q106" s="582"/>
    </row>
    <row r="107" spans="1:17" ht="15.75" thickBot="1">
      <c r="A107" s="479"/>
      <c r="B107" s="488"/>
      <c r="C107" s="527">
        <v>100</v>
      </c>
      <c r="D107" s="489">
        <f t="shared" ref="D107:M107" si="26">C107-$K37</f>
        <v>100</v>
      </c>
      <c r="E107" s="489">
        <f t="shared" si="26"/>
        <v>100</v>
      </c>
      <c r="F107" s="489">
        <f t="shared" si="26"/>
        <v>100</v>
      </c>
      <c r="G107" s="489">
        <f t="shared" si="26"/>
        <v>100</v>
      </c>
      <c r="H107" s="489">
        <f t="shared" si="26"/>
        <v>100</v>
      </c>
      <c r="I107" s="489">
        <f t="shared" si="26"/>
        <v>100</v>
      </c>
      <c r="J107" s="489">
        <f t="shared" si="26"/>
        <v>100</v>
      </c>
      <c r="K107" s="489">
        <f t="shared" si="26"/>
        <v>100</v>
      </c>
      <c r="L107" s="489">
        <f t="shared" si="26"/>
        <v>100</v>
      </c>
      <c r="M107" s="489">
        <f t="shared" si="26"/>
        <v>100</v>
      </c>
      <c r="N107" s="930"/>
      <c r="O107" s="930"/>
      <c r="P107" s="42"/>
      <c r="Q107" s="449"/>
    </row>
    <row r="108" spans="1:17" s="418" customFormat="1" ht="15" thickTop="1">
      <c r="A108" s="538"/>
      <c r="B108" s="483">
        <f>B38</f>
        <v>111</v>
      </c>
      <c r="C108" s="499"/>
      <c r="D108" s="499"/>
      <c r="E108" s="499"/>
      <c r="F108" s="499"/>
      <c r="G108" s="499"/>
      <c r="H108" s="500"/>
      <c r="I108" s="500"/>
      <c r="J108" s="500"/>
      <c r="K108" s="500"/>
      <c r="L108" s="501"/>
      <c r="M108" s="502"/>
      <c r="N108" s="931"/>
      <c r="O108" s="931"/>
      <c r="P108" s="503"/>
      <c r="Q108" s="504"/>
    </row>
    <row r="109" spans="1:17" s="418" customFormat="1" ht="15.75" thickBot="1">
      <c r="A109" s="498"/>
      <c r="B109" s="480"/>
      <c r="C109" s="505"/>
      <c r="D109" s="481"/>
      <c r="E109" s="481"/>
      <c r="F109" s="481"/>
      <c r="G109" s="505"/>
      <c r="H109" s="507"/>
      <c r="I109" s="507"/>
      <c r="J109" s="507"/>
      <c r="K109" s="507"/>
      <c r="L109" s="507"/>
      <c r="M109" s="508"/>
      <c r="N109" s="931"/>
      <c r="O109" s="931"/>
      <c r="P109" s="503"/>
      <c r="Q109" s="504"/>
    </row>
    <row r="110" spans="1:17" ht="15" thickTop="1">
      <c r="A110" s="544"/>
      <c r="B110" s="483">
        <f>B39</f>
        <v>111</v>
      </c>
      <c r="C110" s="499"/>
      <c r="D110" s="499"/>
      <c r="E110" s="499"/>
      <c r="F110" s="499"/>
      <c r="G110" s="499"/>
      <c r="H110" s="500"/>
      <c r="I110" s="500"/>
      <c r="J110" s="500"/>
      <c r="K110" s="500"/>
      <c r="L110" s="501"/>
      <c r="M110" s="502"/>
      <c r="N110" s="929"/>
      <c r="O110" s="929"/>
      <c r="P110" s="42"/>
      <c r="Q110" s="449"/>
    </row>
    <row r="111" spans="1:17" ht="15.75" thickBot="1">
      <c r="A111" s="479"/>
      <c r="B111" s="488"/>
      <c r="C111" s="505"/>
      <c r="D111" s="481"/>
      <c r="E111" s="481"/>
      <c r="F111" s="481"/>
      <c r="G111" s="505"/>
      <c r="H111" s="507"/>
      <c r="I111" s="507"/>
      <c r="J111" s="507"/>
      <c r="K111" s="507"/>
      <c r="L111" s="507"/>
      <c r="M111" s="508"/>
      <c r="N111" s="930"/>
      <c r="O111" s="930"/>
      <c r="P111" s="42"/>
      <c r="Q111" s="449"/>
    </row>
    <row r="112" spans="1:17" ht="15" thickTop="1">
      <c r="A112" s="544"/>
      <c r="B112" s="491">
        <f>B40</f>
        <v>111</v>
      </c>
      <c r="C112" s="468"/>
      <c r="D112" s="468"/>
      <c r="E112" s="468"/>
      <c r="F112" s="468"/>
      <c r="G112" s="532"/>
      <c r="H112" s="532"/>
      <c r="I112" s="532"/>
      <c r="J112" s="532"/>
      <c r="K112" s="468"/>
      <c r="L112" s="469"/>
      <c r="M112" s="535"/>
      <c r="N112" s="929"/>
      <c r="O112" s="929"/>
      <c r="P112" s="42"/>
      <c r="Q112" s="449"/>
    </row>
    <row r="113" spans="1:17" ht="15.75" thickBot="1">
      <c r="A113" s="1924"/>
      <c r="B113" s="514"/>
      <c r="C113" s="515"/>
      <c r="D113" s="515"/>
      <c r="E113" s="515"/>
      <c r="F113" s="515"/>
      <c r="G113" s="536"/>
      <c r="H113" s="536"/>
      <c r="I113" s="536"/>
      <c r="J113" s="536"/>
      <c r="K113" s="536"/>
      <c r="L113" s="536"/>
      <c r="M113" s="537"/>
      <c r="N113" s="930"/>
      <c r="O113" s="930"/>
      <c r="P113" s="42"/>
      <c r="Q113" s="4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40" customWidth="1"/>
    <col min="12" max="12" width="12.25" style="441" customWidth="1"/>
    <col min="13" max="15" width="12.25" style="353" customWidth="1"/>
    <col min="16" max="16" width="4.75" style="90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1831</v>
      </c>
      <c r="B1" s="1219" t="s">
        <v>3334</v>
      </c>
      <c r="C1" s="1220" t="s">
        <v>1662</v>
      </c>
      <c r="D1" s="1221"/>
      <c r="E1" s="3423"/>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4"/>
      <c r="M2" s="2725"/>
      <c r="N2" s="2725"/>
      <c r="O2" s="2725"/>
      <c r="P2" s="1161"/>
      <c r="Q2" s="695"/>
      <c r="R2" s="695"/>
      <c r="S2" s="695"/>
      <c r="T2" s="695"/>
      <c r="U2" s="695"/>
      <c r="V2" s="695"/>
      <c r="W2" s="695"/>
      <c r="X2" s="695"/>
      <c r="Y2" s="695"/>
      <c r="Z2" s="695"/>
      <c r="AA2" s="695"/>
      <c r="AB2" s="695"/>
      <c r="AC2" s="696"/>
    </row>
    <row r="3" spans="1:29" s="348" customFormat="1" ht="28.5" customHeight="1" thickBot="1">
      <c r="A3" s="199" t="s">
        <v>1464</v>
      </c>
      <c r="B3" s="554" t="e">
        <f>IF(AND(C2="——",B37="元/平方米"),C39,ROUND(B2*10000/D3,0))</f>
        <v>#DIV/0!</v>
      </c>
      <c r="C3" s="350" t="s">
        <v>1768</v>
      </c>
      <c r="D3" s="349">
        <f>SUMIF('数据-汇总表'!$C19:$C33,D1,'数据-汇总表'!$E19:$E33)</f>
        <v>0</v>
      </c>
      <c r="E3" s="350" t="s">
        <v>1832</v>
      </c>
      <c r="F3" s="349">
        <f>SUMIF('数据-取费表'!A5:A15,D1,'数据-取费表'!AH5:AH15)</f>
        <v>0</v>
      </c>
      <c r="G3" s="904"/>
      <c r="H3" s="904"/>
      <c r="I3" s="904"/>
      <c r="J3" s="904"/>
      <c r="K3" s="906"/>
      <c r="L3" s="2724"/>
      <c r="M3" s="2725" t="e">
        <f ca="1">IF(C2="——",IF(B37="元/平方米",ROUND(C39*D3/10000,0),ROUND(F3*C39/10000,0)),IF(B37="元/平方米",ROUND(C39*D3/10000,0),ROUND(F3*C39/10000,0))-D2)</f>
        <v>#DIV/0!</v>
      </c>
      <c r="N3" s="2725"/>
      <c r="O3" s="2725"/>
      <c r="P3" s="1161"/>
      <c r="Q3" s="695"/>
      <c r="R3" s="695"/>
      <c r="S3" s="695"/>
      <c r="T3" s="695"/>
      <c r="U3" s="695"/>
      <c r="V3" s="695"/>
      <c r="W3" s="695"/>
      <c r="X3" s="695"/>
      <c r="Y3" s="695"/>
      <c r="Z3" s="695"/>
      <c r="AA3" s="695"/>
      <c r="AB3" s="712"/>
      <c r="AC3" s="709"/>
    </row>
    <row r="4" spans="1:29" ht="15">
      <c r="A4" s="351" t="s">
        <v>1769</v>
      </c>
      <c r="B4" s="352"/>
      <c r="C4" s="3730" t="s">
        <v>1770</v>
      </c>
      <c r="D4" s="3742"/>
      <c r="E4" s="3743" t="s">
        <v>1771</v>
      </c>
      <c r="F4" s="3744"/>
      <c r="G4" s="3730" t="s">
        <v>1772</v>
      </c>
      <c r="H4" s="3742"/>
      <c r="I4" s="3730" t="s">
        <v>1773</v>
      </c>
      <c r="J4" s="3742"/>
      <c r="K4" s="555" t="s">
        <v>1774</v>
      </c>
      <c r="L4" s="2705"/>
      <c r="M4" s="2706"/>
      <c r="N4" s="2706"/>
      <c r="O4" s="2706"/>
      <c r="P4" s="3745" t="s">
        <v>1775</v>
      </c>
      <c r="Q4" s="3746"/>
      <c r="R4" s="3751" t="s">
        <v>1771</v>
      </c>
      <c r="S4" s="3752"/>
      <c r="T4" s="3751" t="s">
        <v>1772</v>
      </c>
      <c r="U4" s="3752"/>
      <c r="V4" s="3738" t="s">
        <v>1773</v>
      </c>
      <c r="W4" s="3738"/>
      <c r="X4" s="1351"/>
      <c r="Y4" s="3751" t="s">
        <v>1775</v>
      </c>
      <c r="Z4" s="3752"/>
      <c r="AA4" s="3739" t="s">
        <v>1771</v>
      </c>
      <c r="AB4" s="3740" t="s">
        <v>1772</v>
      </c>
      <c r="AC4" s="3739" t="s">
        <v>1773</v>
      </c>
    </row>
    <row r="5" spans="1:29" ht="15">
      <c r="A5" s="354"/>
      <c r="B5" s="355"/>
      <c r="C5" s="3759" t="s">
        <v>1673</v>
      </c>
      <c r="D5" s="3760"/>
      <c r="E5" s="3766" t="s">
        <v>1674</v>
      </c>
      <c r="F5" s="3767"/>
      <c r="G5" s="3759" t="s">
        <v>1675</v>
      </c>
      <c r="H5" s="3760"/>
      <c r="I5" s="3759" t="s">
        <v>1676</v>
      </c>
      <c r="J5" s="3760"/>
      <c r="K5" s="555"/>
      <c r="L5" s="2705"/>
      <c r="M5" s="2706"/>
      <c r="N5" s="2706"/>
      <c r="O5" s="2706"/>
      <c r="P5" s="3747"/>
      <c r="Q5" s="3748"/>
      <c r="R5" s="3753"/>
      <c r="S5" s="3754"/>
      <c r="T5" s="3753"/>
      <c r="U5" s="3754"/>
      <c r="V5" s="3738"/>
      <c r="W5" s="3738"/>
      <c r="X5" s="1351"/>
      <c r="Y5" s="3753"/>
      <c r="Z5" s="3754"/>
      <c r="AA5" s="3740"/>
      <c r="AB5" s="3740"/>
      <c r="AC5" s="3740"/>
    </row>
    <row r="6" spans="1:29" ht="15.75" thickBot="1">
      <c r="A6" s="356"/>
      <c r="B6" s="357"/>
      <c r="C6" s="3757" t="s">
        <v>1677</v>
      </c>
      <c r="D6" s="3758"/>
      <c r="E6" s="3764" t="s">
        <v>1677</v>
      </c>
      <c r="F6" s="3765"/>
      <c r="G6" s="3757" t="s">
        <v>1677</v>
      </c>
      <c r="H6" s="3758"/>
      <c r="I6" s="3757" t="s">
        <v>1677</v>
      </c>
      <c r="J6" s="3758"/>
      <c r="K6" s="555" t="s">
        <v>1678</v>
      </c>
      <c r="L6" s="2705"/>
      <c r="M6" s="2706"/>
      <c r="N6" s="2706"/>
      <c r="O6" s="2706"/>
      <c r="P6" s="3749"/>
      <c r="Q6" s="3750"/>
      <c r="R6" s="3753"/>
      <c r="S6" s="3754"/>
      <c r="T6" s="3755"/>
      <c r="U6" s="3756"/>
      <c r="V6" s="3738"/>
      <c r="W6" s="3738"/>
      <c r="X6" s="1351"/>
      <c r="Y6" s="3755"/>
      <c r="Z6" s="3756"/>
      <c r="AA6" s="3741"/>
      <c r="AB6" s="3741"/>
      <c r="AC6" s="3741"/>
    </row>
    <row r="7" spans="1:29" s="106" customFormat="1" ht="15.75" thickBot="1">
      <c r="A7" s="358" t="s">
        <v>1679</v>
      </c>
      <c r="B7" s="359"/>
      <c r="C7" s="360">
        <f>'数据-取费表'!B2</f>
        <v>44992</v>
      </c>
      <c r="D7" s="361">
        <v>100</v>
      </c>
      <c r="E7" s="362"/>
      <c r="F7" s="363">
        <f>SUMIF(48:48,YEAR(E7)&amp;"-"&amp;MONTH(E7),49:49)</f>
        <v>0</v>
      </c>
      <c r="G7" s="362"/>
      <c r="H7" s="361">
        <f>SUMIF(48:48,YEAR(G7)&amp;"-"&amp;MONTH(G7),49:49)</f>
        <v>0</v>
      </c>
      <c r="I7" s="362"/>
      <c r="J7" s="361">
        <f>SUMIF(48:48,YEAR(I7)&amp;"-"&amp;MONTH(I7),49:49)</f>
        <v>0</v>
      </c>
      <c r="K7" s="556"/>
      <c r="L7" s="2707"/>
      <c r="M7" s="2708"/>
      <c r="N7" s="2708"/>
      <c r="O7" s="2708"/>
      <c r="P7" s="3761" t="s">
        <v>1680</v>
      </c>
      <c r="Q7" s="3763"/>
      <c r="R7" s="697" t="s">
        <v>14</v>
      </c>
      <c r="S7" s="698">
        <f t="shared" ref="S7:S14" si="0">F7</f>
        <v>0</v>
      </c>
      <c r="T7" s="697" t="s">
        <v>14</v>
      </c>
      <c r="U7" s="698">
        <f t="shared" ref="U7:U14" si="1">H7</f>
        <v>0</v>
      </c>
      <c r="V7" s="697" t="s">
        <v>14</v>
      </c>
      <c r="W7" s="698">
        <f t="shared" ref="W7:W14" si="2">J7</f>
        <v>0</v>
      </c>
      <c r="X7" s="699"/>
      <c r="Y7" s="3761" t="s">
        <v>1680</v>
      </c>
      <c r="Z7" s="3762"/>
      <c r="AA7" s="700" t="e">
        <f>D7/F7</f>
        <v>#DIV/0!</v>
      </c>
      <c r="AB7" s="700" t="e">
        <f>D7/H7</f>
        <v>#DIV/0!</v>
      </c>
      <c r="AC7" s="700" t="e">
        <f>D7/J7</f>
        <v>#DIV/0!</v>
      </c>
    </row>
    <row r="8" spans="1:29" s="106" customFormat="1" ht="15.75" thickBot="1">
      <c r="A8" s="358" t="s">
        <v>1681</v>
      </c>
      <c r="B8" s="359"/>
      <c r="C8" s="364"/>
      <c r="D8" s="361">
        <v>100</v>
      </c>
      <c r="E8" s="364"/>
      <c r="F8" s="363">
        <f>SUMIF(51:51,E8,52:52)-SUMIF(51:51,C8,52:52)+100</f>
        <v>100</v>
      </c>
      <c r="G8" s="364"/>
      <c r="H8" s="361">
        <f>SUMIF(51:51,G8,52:52)-SUMIF(51:51,C8,52:52)+100</f>
        <v>100</v>
      </c>
      <c r="I8" s="364"/>
      <c r="J8" s="361">
        <f>SUMIF(51:51,I8,52:52)-SUMIF(51:51,C8,52:52)+100</f>
        <v>100</v>
      </c>
      <c r="K8" s="556"/>
      <c r="L8" s="2707"/>
      <c r="M8" s="2708"/>
      <c r="N8" s="2708"/>
      <c r="O8" s="2708"/>
      <c r="P8" s="3761" t="s">
        <v>1683</v>
      </c>
      <c r="Q8" s="3762"/>
      <c r="R8" s="697" t="s">
        <v>14</v>
      </c>
      <c r="S8" s="698">
        <f t="shared" si="0"/>
        <v>100</v>
      </c>
      <c r="T8" s="697" t="s">
        <v>14</v>
      </c>
      <c r="U8" s="698">
        <f t="shared" si="1"/>
        <v>100</v>
      </c>
      <c r="V8" s="697" t="s">
        <v>14</v>
      </c>
      <c r="W8" s="698">
        <f t="shared" si="2"/>
        <v>100</v>
      </c>
      <c r="X8" s="699"/>
      <c r="Y8" s="3761" t="s">
        <v>1683</v>
      </c>
      <c r="Z8" s="3762"/>
      <c r="AA8" s="700">
        <f t="shared" ref="AA8:AA36" si="3">D8/F8</f>
        <v>1</v>
      </c>
      <c r="AB8" s="700">
        <f t="shared" ref="AB8:AB36" si="4">D8/H8</f>
        <v>1</v>
      </c>
      <c r="AC8" s="700">
        <f t="shared" ref="AC8:AC36" si="5">D8/J8</f>
        <v>1</v>
      </c>
    </row>
    <row r="9" spans="1:29" s="106" customFormat="1">
      <c r="A9" s="60" t="s">
        <v>1684</v>
      </c>
      <c r="B9" s="584" t="s">
        <v>1685</v>
      </c>
      <c r="C9" s="366"/>
      <c r="D9" s="122">
        <v>100</v>
      </c>
      <c r="E9" s="369"/>
      <c r="F9" s="122">
        <f>SUMIF(53:53,E9,54:54)-SUMIF(53:53,C9,54:54)+100</f>
        <v>100</v>
      </c>
      <c r="G9" s="367"/>
      <c r="H9" s="122">
        <f>SUMIF(53:53,G9,54:54)-SUMIF(53:53,C9,54:54)+100</f>
        <v>100</v>
      </c>
      <c r="I9" s="367"/>
      <c r="J9" s="122">
        <f>SUMIF(53:53,I9,54:54)-SUMIF(53:53,C9,54:54)+100</f>
        <v>100</v>
      </c>
      <c r="K9" s="556"/>
      <c r="L9" s="2707"/>
      <c r="M9" s="2708"/>
      <c r="N9" s="2708"/>
      <c r="O9" s="2708"/>
      <c r="P9" s="3733" t="s">
        <v>1686</v>
      </c>
      <c r="Q9" s="1339" t="str">
        <f t="shared" ref="Q9:Q14" si="6">B9</f>
        <v>用途</v>
      </c>
      <c r="R9" s="697" t="s">
        <v>14</v>
      </c>
      <c r="S9" s="698">
        <f t="shared" si="0"/>
        <v>100</v>
      </c>
      <c r="T9" s="697" t="s">
        <v>14</v>
      </c>
      <c r="U9" s="698">
        <f t="shared" si="1"/>
        <v>100</v>
      </c>
      <c r="V9" s="697" t="s">
        <v>14</v>
      </c>
      <c r="W9" s="698">
        <f t="shared" si="2"/>
        <v>100</v>
      </c>
      <c r="X9" s="699"/>
      <c r="Y9" s="3614" t="s">
        <v>1687</v>
      </c>
      <c r="Z9" s="52" t="str">
        <f t="shared" ref="Z9:Z14" si="7">Q9</f>
        <v>用途</v>
      </c>
      <c r="AA9" s="700">
        <f t="shared" si="3"/>
        <v>1</v>
      </c>
      <c r="AB9" s="700">
        <f t="shared" si="4"/>
        <v>1</v>
      </c>
      <c r="AC9" s="700">
        <f t="shared" si="5"/>
        <v>1</v>
      </c>
    </row>
    <row r="10" spans="1:29" s="374" customFormat="1" ht="27">
      <c r="A10" s="585"/>
      <c r="B10" s="586" t="s">
        <v>1688</v>
      </c>
      <c r="C10" s="3424"/>
      <c r="D10" s="123">
        <v>100</v>
      </c>
      <c r="E10" s="3424"/>
      <c r="F10" s="123">
        <f>SUMIF(55:55,E10,56:56)-SUMIF(55:55,C10,56:56)+100</f>
        <v>100</v>
      </c>
      <c r="G10" s="3425"/>
      <c r="H10" s="123">
        <f>SUMIF(55:55,G10,56:56)-SUMIF(55:55,C10,56:56)+100</f>
        <v>100</v>
      </c>
      <c r="I10" s="3424"/>
      <c r="J10" s="123">
        <f>SUMIF(55:55,I10,56:56)-SUMIF(55:55,C10,56:56)+100</f>
        <v>100</v>
      </c>
      <c r="K10" s="556"/>
      <c r="L10" s="2709"/>
      <c r="M10" s="2710"/>
      <c r="N10" s="2710"/>
      <c r="O10" s="2710"/>
      <c r="P10" s="3733"/>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587"/>
      <c r="B11" s="588">
        <v>111</v>
      </c>
      <c r="C11" s="379"/>
      <c r="D11" s="123">
        <v>100</v>
      </c>
      <c r="E11" s="379"/>
      <c r="F11" s="123">
        <f>SUMIF(57:57,E11,58:58)-SUMIF(57:57,C11,58:58)+100</f>
        <v>100</v>
      </c>
      <c r="G11" s="379"/>
      <c r="H11" s="123">
        <f>SUMIF(57:57,G11,58:58)-SUMIF(57:57,C11,58:58)+100</f>
        <v>100</v>
      </c>
      <c r="I11" s="379"/>
      <c r="J11" s="123">
        <f>SUMIF(57:57,I11,58:58)-SUMIF(57:57,C11,58:58)+100</f>
        <v>100</v>
      </c>
      <c r="K11" s="558"/>
      <c r="L11" s="2711"/>
      <c r="M11" s="2706"/>
      <c r="N11" s="2706"/>
      <c r="O11" s="2706"/>
      <c r="P11" s="3733"/>
      <c r="Q11" s="1339">
        <f t="shared" si="6"/>
        <v>111</v>
      </c>
      <c r="R11" s="697" t="s">
        <v>14</v>
      </c>
      <c r="S11" s="698">
        <f t="shared" si="0"/>
        <v>100</v>
      </c>
      <c r="T11" s="697" t="s">
        <v>14</v>
      </c>
      <c r="U11" s="698">
        <f t="shared" si="1"/>
        <v>100</v>
      </c>
      <c r="V11" s="697" t="s">
        <v>14</v>
      </c>
      <c r="W11" s="698">
        <f t="shared" si="2"/>
        <v>100</v>
      </c>
      <c r="X11" s="699"/>
      <c r="Y11" s="3614"/>
      <c r="Z11" s="52">
        <f t="shared" si="7"/>
        <v>111</v>
      </c>
      <c r="AA11" s="700">
        <f t="shared" si="3"/>
        <v>1</v>
      </c>
      <c r="AB11" s="700">
        <f t="shared" si="4"/>
        <v>1</v>
      </c>
      <c r="AC11" s="700">
        <f t="shared" si="5"/>
        <v>1</v>
      </c>
    </row>
    <row r="12" spans="1:29" s="106" customFormat="1" ht="15">
      <c r="A12" s="589"/>
      <c r="B12" s="588">
        <v>111</v>
      </c>
      <c r="C12" s="379"/>
      <c r="D12" s="380">
        <v>100</v>
      </c>
      <c r="E12" s="379"/>
      <c r="F12" s="123">
        <f>SUMIF(59:59,E12,60:60)-SUMIF(59:59,C12,60:60)+100</f>
        <v>100</v>
      </c>
      <c r="G12" s="379"/>
      <c r="H12" s="123">
        <f>SUMIF(59:59,G12,60:60)-SUMIF(59:59,C12,60:60)+100</f>
        <v>100</v>
      </c>
      <c r="I12" s="379"/>
      <c r="J12" s="123">
        <f>SUMIF(59:59,I12,60:60)-SUMIF(59:59,C12,60:60)+100</f>
        <v>100</v>
      </c>
      <c r="K12" s="558"/>
      <c r="L12" s="2707"/>
      <c r="M12" s="2708"/>
      <c r="N12" s="2708"/>
      <c r="O12" s="2708"/>
      <c r="P12" s="3733"/>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75" thickBot="1">
      <c r="A13" s="590"/>
      <c r="B13" s="588">
        <v>111</v>
      </c>
      <c r="C13" s="381"/>
      <c r="D13" s="382">
        <v>100</v>
      </c>
      <c r="E13" s="379"/>
      <c r="F13" s="123">
        <f>SUMIF(61:61,E13,62:62)-SUMIF(61:61,C13,62:62)+100</f>
        <v>100</v>
      </c>
      <c r="G13" s="379"/>
      <c r="H13" s="382">
        <f>SUMIF(61:61,G13,62:62)-SUMIF(61:61,C13,62:62)+100</f>
        <v>100</v>
      </c>
      <c r="I13" s="379"/>
      <c r="J13" s="382">
        <f>SUMIF(61:61,I13,62:62)-SUMIF(61:61,C13,62:62)+100</f>
        <v>100</v>
      </c>
      <c r="K13" s="558"/>
      <c r="L13" s="2712"/>
      <c r="M13" s="2706"/>
      <c r="N13" s="2706"/>
      <c r="O13" s="2706"/>
      <c r="P13" s="3733"/>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85.5">
      <c r="A14" s="351" t="s">
        <v>1690</v>
      </c>
      <c r="B14" s="573" t="s">
        <v>1833</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59"/>
      <c r="L14" s="2712"/>
      <c r="M14" s="2706"/>
      <c r="N14" s="2706"/>
      <c r="O14" s="2706"/>
      <c r="P14" s="3734" t="s">
        <v>1691</v>
      </c>
      <c r="Q14" s="1348" t="str">
        <f t="shared" si="6"/>
        <v>交通便捷度</v>
      </c>
      <c r="R14" s="701" t="s">
        <v>14</v>
      </c>
      <c r="S14" s="702">
        <f t="shared" si="0"/>
        <v>100</v>
      </c>
      <c r="T14" s="701" t="s">
        <v>14</v>
      </c>
      <c r="U14" s="702">
        <f t="shared" si="1"/>
        <v>100</v>
      </c>
      <c r="V14" s="701" t="s">
        <v>14</v>
      </c>
      <c r="W14" s="702">
        <f t="shared" si="2"/>
        <v>100</v>
      </c>
      <c r="X14" s="1351"/>
      <c r="Y14" s="3734" t="s">
        <v>1691</v>
      </c>
      <c r="Z14" s="1352" t="str">
        <f t="shared" si="7"/>
        <v>交通便捷度</v>
      </c>
      <c r="AA14" s="1349">
        <f t="shared" si="3"/>
        <v>1</v>
      </c>
      <c r="AB14" s="1349">
        <f t="shared" si="4"/>
        <v>1</v>
      </c>
      <c r="AC14" s="1349">
        <f t="shared" si="5"/>
        <v>1</v>
      </c>
    </row>
    <row r="15" spans="1:29" ht="15">
      <c r="A15" s="354"/>
      <c r="B15" s="591"/>
      <c r="C15" s="394"/>
      <c r="D15" s="395"/>
      <c r="E15" s="394"/>
      <c r="F15" s="396"/>
      <c r="G15" s="394"/>
      <c r="H15" s="397"/>
      <c r="I15" s="394"/>
      <c r="J15" s="395"/>
      <c r="K15" s="560"/>
      <c r="L15" s="2712"/>
      <c r="M15" s="2706"/>
      <c r="N15" s="2706"/>
      <c r="O15" s="2706"/>
      <c r="P15" s="3735"/>
      <c r="Q15" s="1348"/>
      <c r="R15" s="701"/>
      <c r="S15" s="702"/>
      <c r="T15" s="701"/>
      <c r="U15" s="702"/>
      <c r="V15" s="701"/>
      <c r="W15" s="702"/>
      <c r="X15" s="1351"/>
      <c r="Y15" s="3735"/>
      <c r="Z15" s="1352"/>
      <c r="AA15" s="1349">
        <v>1</v>
      </c>
      <c r="AB15" s="1349">
        <v>1</v>
      </c>
      <c r="AC15" s="1349">
        <v>1</v>
      </c>
    </row>
    <row r="16" spans="1:29" ht="42.75">
      <c r="A16" s="354"/>
      <c r="B16" s="575" t="s">
        <v>1812</v>
      </c>
      <c r="C16" s="1896"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59"/>
      <c r="L16" s="2712"/>
      <c r="M16" s="2706"/>
      <c r="N16" s="2706"/>
      <c r="O16" s="2706"/>
      <c r="P16" s="3735"/>
      <c r="Q16" s="1348" t="str">
        <f>B16</f>
        <v>公共配套设施</v>
      </c>
      <c r="R16" s="701" t="s">
        <v>14</v>
      </c>
      <c r="S16" s="702">
        <f>F16</f>
        <v>100</v>
      </c>
      <c r="T16" s="701" t="s">
        <v>14</v>
      </c>
      <c r="U16" s="702">
        <f>H16</f>
        <v>100</v>
      </c>
      <c r="V16" s="701" t="s">
        <v>14</v>
      </c>
      <c r="W16" s="702">
        <f>J16</f>
        <v>100</v>
      </c>
      <c r="X16" s="1351"/>
      <c r="Y16" s="3735"/>
      <c r="Z16" s="1352" t="str">
        <f>Q16</f>
        <v>公共配套设施</v>
      </c>
      <c r="AA16" s="1349">
        <f t="shared" si="3"/>
        <v>1</v>
      </c>
      <c r="AB16" s="1349">
        <f t="shared" si="4"/>
        <v>1</v>
      </c>
      <c r="AC16" s="1349">
        <f t="shared" si="5"/>
        <v>1</v>
      </c>
    </row>
    <row r="17" spans="1:29" ht="15">
      <c r="A17" s="354"/>
      <c r="B17" s="576"/>
      <c r="C17" s="1897"/>
      <c r="D17" s="395"/>
      <c r="E17" s="394"/>
      <c r="F17" s="396"/>
      <c r="G17" s="394"/>
      <c r="H17" s="395"/>
      <c r="I17" s="394"/>
      <c r="J17" s="395"/>
      <c r="K17" s="560"/>
      <c r="L17" s="2712"/>
      <c r="M17" s="2706"/>
      <c r="N17" s="2706"/>
      <c r="O17" s="2706"/>
      <c r="P17" s="3735"/>
      <c r="Q17" s="1348"/>
      <c r="R17" s="701"/>
      <c r="S17" s="702"/>
      <c r="T17" s="701"/>
      <c r="U17" s="702"/>
      <c r="V17" s="701"/>
      <c r="W17" s="702"/>
      <c r="X17" s="1351"/>
      <c r="Y17" s="3735"/>
      <c r="Z17" s="1352"/>
      <c r="AA17" s="1349">
        <v>1</v>
      </c>
      <c r="AB17" s="1349">
        <v>1</v>
      </c>
      <c r="AC17" s="1349">
        <v>1</v>
      </c>
    </row>
    <row r="18" spans="1:29" ht="28.5">
      <c r="A18" s="354"/>
      <c r="B18" s="577" t="s">
        <v>1813</v>
      </c>
      <c r="C18" s="1896"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59"/>
      <c r="L18" s="2712"/>
      <c r="M18" s="2706"/>
      <c r="N18" s="2706"/>
      <c r="O18" s="2706"/>
      <c r="P18" s="3735"/>
      <c r="Q18" s="1348" t="str">
        <f>B18</f>
        <v>基础设施水平</v>
      </c>
      <c r="R18" s="701" t="s">
        <v>14</v>
      </c>
      <c r="S18" s="702">
        <f>F18</f>
        <v>100</v>
      </c>
      <c r="T18" s="701" t="s">
        <v>14</v>
      </c>
      <c r="U18" s="702">
        <f>H18</f>
        <v>100</v>
      </c>
      <c r="V18" s="701" t="s">
        <v>14</v>
      </c>
      <c r="W18" s="702">
        <f>J18</f>
        <v>100</v>
      </c>
      <c r="X18" s="1351"/>
      <c r="Y18" s="3735"/>
      <c r="Z18" s="1352" t="str">
        <f>Q18</f>
        <v>基础设施水平</v>
      </c>
      <c r="AA18" s="1349">
        <f t="shared" ref="AA18" si="8">D18/F18</f>
        <v>1</v>
      </c>
      <c r="AB18" s="1349">
        <f t="shared" ref="AB18" si="9">D18/H18</f>
        <v>1</v>
      </c>
      <c r="AC18" s="1349">
        <f t="shared" ref="AC18" si="10">D18/J18</f>
        <v>1</v>
      </c>
    </row>
    <row r="19" spans="1:29" ht="15">
      <c r="A19" s="354"/>
      <c r="B19" s="577"/>
      <c r="C19" s="1897"/>
      <c r="D19" s="397"/>
      <c r="E19" s="1897"/>
      <c r="F19" s="400"/>
      <c r="G19" s="1897"/>
      <c r="H19" s="395"/>
      <c r="I19" s="394"/>
      <c r="J19" s="395"/>
      <c r="K19" s="1126"/>
      <c r="L19" s="2712"/>
      <c r="M19" s="2706"/>
      <c r="N19" s="2706"/>
      <c r="O19" s="2706"/>
      <c r="P19" s="3735"/>
      <c r="Q19" s="1348"/>
      <c r="R19" s="701"/>
      <c r="S19" s="702"/>
      <c r="T19" s="701"/>
      <c r="U19" s="702"/>
      <c r="V19" s="701"/>
      <c r="W19" s="702"/>
      <c r="X19" s="1351"/>
      <c r="Y19" s="3735"/>
      <c r="Z19" s="1352"/>
      <c r="AA19" s="1349">
        <v>1</v>
      </c>
      <c r="AB19" s="1349">
        <v>1</v>
      </c>
      <c r="AC19" s="1349">
        <v>1</v>
      </c>
    </row>
    <row r="20" spans="1:29" ht="57">
      <c r="A20" s="354"/>
      <c r="B20" s="575" t="s">
        <v>1834</v>
      </c>
      <c r="C20" s="1896"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59"/>
      <c r="L20" s="2712"/>
      <c r="M20" s="2706"/>
      <c r="N20" s="2706"/>
      <c r="O20" s="2706"/>
      <c r="P20" s="3735"/>
      <c r="Q20" s="1348" t="str">
        <f>B20</f>
        <v>自然及人文环境</v>
      </c>
      <c r="R20" s="701" t="s">
        <v>14</v>
      </c>
      <c r="S20" s="702">
        <f>F20</f>
        <v>100</v>
      </c>
      <c r="T20" s="701" t="s">
        <v>14</v>
      </c>
      <c r="U20" s="702">
        <f>H20</f>
        <v>100</v>
      </c>
      <c r="V20" s="701" t="s">
        <v>14</v>
      </c>
      <c r="W20" s="702">
        <f>J20</f>
        <v>100</v>
      </c>
      <c r="X20" s="1351"/>
      <c r="Y20" s="3735"/>
      <c r="Z20" s="1352" t="str">
        <f>Q20</f>
        <v>自然及人文环境</v>
      </c>
      <c r="AA20" s="1349">
        <f t="shared" si="3"/>
        <v>1</v>
      </c>
      <c r="AB20" s="1349">
        <f t="shared" si="4"/>
        <v>1</v>
      </c>
      <c r="AC20" s="1349">
        <f t="shared" si="5"/>
        <v>1</v>
      </c>
    </row>
    <row r="21" spans="1:29" ht="15">
      <c r="A21" s="354"/>
      <c r="B21" s="576"/>
      <c r="C21" s="394"/>
      <c r="D21" s="395"/>
      <c r="E21" s="394"/>
      <c r="F21" s="396"/>
      <c r="G21" s="394"/>
      <c r="H21" s="395"/>
      <c r="I21" s="394"/>
      <c r="J21" s="395"/>
      <c r="K21" s="560"/>
      <c r="L21" s="2712"/>
      <c r="M21" s="2706"/>
      <c r="N21" s="2706"/>
      <c r="O21" s="2706"/>
      <c r="P21" s="3735"/>
      <c r="Q21" s="1348"/>
      <c r="R21" s="701"/>
      <c r="S21" s="702"/>
      <c r="T21" s="701"/>
      <c r="U21" s="702"/>
      <c r="V21" s="701"/>
      <c r="W21" s="702"/>
      <c r="X21" s="1351"/>
      <c r="Y21" s="3735"/>
      <c r="Z21" s="1352"/>
      <c r="AA21" s="1349">
        <v>1</v>
      </c>
      <c r="AB21" s="1349">
        <v>1</v>
      </c>
      <c r="AC21" s="1349">
        <v>1</v>
      </c>
    </row>
    <row r="22" spans="1:29" ht="15">
      <c r="A22" s="354"/>
      <c r="B22" s="575" t="s">
        <v>1835</v>
      </c>
      <c r="C22" s="561"/>
      <c r="D22" s="397">
        <v>100</v>
      </c>
      <c r="E22" s="561"/>
      <c r="F22" s="408">
        <f>SUMIF(71:71,E22,72:72)-SUMIF(71:71,C22,72:72)+100</f>
        <v>100</v>
      </c>
      <c r="G22" s="561"/>
      <c r="H22" s="382">
        <f>SUMIF(71:71,G22,72:72)-SUMIF(71:71,C22,72:72)+100</f>
        <v>100</v>
      </c>
      <c r="I22" s="561"/>
      <c r="J22" s="382">
        <f>SUMIF(71:71,I22,72:72)-SUMIF(71:71,C22,72:72)+100</f>
        <v>100</v>
      </c>
      <c r="K22" s="557"/>
      <c r="L22" s="2712"/>
      <c r="M22" s="2706"/>
      <c r="N22" s="2706"/>
      <c r="O22" s="2706"/>
      <c r="P22" s="3735"/>
      <c r="Q22" s="1348" t="str">
        <f>B22</f>
        <v>楼层</v>
      </c>
      <c r="R22" s="701" t="s">
        <v>14</v>
      </c>
      <c r="S22" s="702">
        <f>F22</f>
        <v>100</v>
      </c>
      <c r="T22" s="701" t="s">
        <v>14</v>
      </c>
      <c r="U22" s="702">
        <f>H22</f>
        <v>100</v>
      </c>
      <c r="V22" s="701" t="s">
        <v>14</v>
      </c>
      <c r="W22" s="702">
        <f>J22</f>
        <v>100</v>
      </c>
      <c r="X22" s="1351"/>
      <c r="Y22" s="3735"/>
      <c r="Z22" s="1352" t="str">
        <f>Q22</f>
        <v>楼层</v>
      </c>
      <c r="AA22" s="1349">
        <f t="shared" si="3"/>
        <v>1</v>
      </c>
      <c r="AB22" s="1349">
        <f t="shared" si="4"/>
        <v>1</v>
      </c>
      <c r="AC22" s="1349">
        <f t="shared" si="5"/>
        <v>1</v>
      </c>
    </row>
    <row r="23" spans="1:29" ht="15">
      <c r="A23" s="354"/>
      <c r="B23" s="592">
        <v>111</v>
      </c>
      <c r="C23" s="379"/>
      <c r="D23" s="382">
        <v>100</v>
      </c>
      <c r="E23" s="379"/>
      <c r="F23" s="408">
        <f>SUMIF(73:73,E23,74:74)-SUMIF(73:73,C23,74:74)+100</f>
        <v>100</v>
      </c>
      <c r="G23" s="379"/>
      <c r="H23" s="382">
        <f>SUMIF(73:73,G23,74:74)-SUMIF(73:73,C23,74:74)+100</f>
        <v>100</v>
      </c>
      <c r="I23" s="379"/>
      <c r="J23" s="382">
        <f>SUMIF(73:73,I23,74:74)-SUMIF(73:73,C23,74:74)+100</f>
        <v>100</v>
      </c>
      <c r="K23" s="558"/>
      <c r="L23" s="2712"/>
      <c r="M23" s="2706"/>
      <c r="N23" s="2706"/>
      <c r="O23" s="2706"/>
      <c r="P23" s="3735"/>
      <c r="Q23" s="1348">
        <f>B23</f>
        <v>111</v>
      </c>
      <c r="R23" s="701" t="s">
        <v>14</v>
      </c>
      <c r="S23" s="702">
        <f>F23</f>
        <v>100</v>
      </c>
      <c r="T23" s="701" t="s">
        <v>14</v>
      </c>
      <c r="U23" s="702">
        <f>H23</f>
        <v>100</v>
      </c>
      <c r="V23" s="701" t="s">
        <v>14</v>
      </c>
      <c r="W23" s="702">
        <f>J23</f>
        <v>100</v>
      </c>
      <c r="X23" s="1351"/>
      <c r="Y23" s="3735"/>
      <c r="Z23" s="1352">
        <f>Q23</f>
        <v>111</v>
      </c>
      <c r="AA23" s="1349">
        <f t="shared" si="3"/>
        <v>1</v>
      </c>
      <c r="AB23" s="1349">
        <f t="shared" si="4"/>
        <v>1</v>
      </c>
      <c r="AC23" s="1349">
        <f t="shared" si="5"/>
        <v>1</v>
      </c>
    </row>
    <row r="24" spans="1:29" ht="15">
      <c r="A24" s="354"/>
      <c r="B24" s="592">
        <v>111</v>
      </c>
      <c r="C24" s="379"/>
      <c r="D24" s="382">
        <v>100</v>
      </c>
      <c r="E24" s="379"/>
      <c r="F24" s="408">
        <f>SUMIF(75:75,E24,76:76)-SUMIF(75:75,C24,76:76)+100</f>
        <v>100</v>
      </c>
      <c r="G24" s="379"/>
      <c r="H24" s="382">
        <f>SUMIF(75:75,G24,76:76)-SUMIF(75:75,C24,76:76)+100</f>
        <v>100</v>
      </c>
      <c r="I24" s="379"/>
      <c r="J24" s="382">
        <f>SUMIF(75:75,I24,76:76)-SUMIF(75:75,C24,76:76)+100</f>
        <v>100</v>
      </c>
      <c r="K24" s="558"/>
      <c r="L24" s="2712"/>
      <c r="M24" s="2706"/>
      <c r="N24" s="2706"/>
      <c r="O24" s="2706"/>
      <c r="P24" s="3735"/>
      <c r="Q24" s="1348">
        <f t="shared" ref="Q24:Q36" si="11">B24</f>
        <v>111</v>
      </c>
      <c r="R24" s="701" t="s">
        <v>14</v>
      </c>
      <c r="S24" s="702">
        <f>F24</f>
        <v>100</v>
      </c>
      <c r="T24" s="701" t="s">
        <v>14</v>
      </c>
      <c r="U24" s="702">
        <f>H24</f>
        <v>100</v>
      </c>
      <c r="V24" s="701" t="s">
        <v>14</v>
      </c>
      <c r="W24" s="702">
        <f>J24</f>
        <v>100</v>
      </c>
      <c r="X24" s="1351"/>
      <c r="Y24" s="3735"/>
      <c r="Z24" s="1352">
        <f>Q24</f>
        <v>111</v>
      </c>
      <c r="AA24" s="1349">
        <f t="shared" si="3"/>
        <v>1</v>
      </c>
      <c r="AB24" s="1349">
        <f t="shared" si="4"/>
        <v>1</v>
      </c>
      <c r="AC24" s="1349">
        <f t="shared" si="5"/>
        <v>1</v>
      </c>
    </row>
    <row r="25" spans="1:29" s="106" customFormat="1" ht="15.75" thickBot="1">
      <c r="A25" s="593"/>
      <c r="B25" s="579">
        <v>111</v>
      </c>
      <c r="C25" s="384"/>
      <c r="D25" s="594">
        <v>100</v>
      </c>
      <c r="E25" s="572"/>
      <c r="F25" s="595">
        <f>SUMIF(77:77,E25,78:78)-SUMIF(77:77,C25,78:78)+100</f>
        <v>100</v>
      </c>
      <c r="G25" s="572"/>
      <c r="H25" s="594">
        <f>SUMIF(77:77,G25,78:78)-SUMIF(77:77,C25,78:78)+100</f>
        <v>100</v>
      </c>
      <c r="I25" s="572"/>
      <c r="J25" s="594">
        <f>SUMIF(77:77,I25,78:78)-SUMIF(77:77,C25,78:78)+100</f>
        <v>100</v>
      </c>
      <c r="K25" s="558"/>
      <c r="L25" s="2707"/>
      <c r="M25" s="2708"/>
      <c r="N25" s="2708"/>
      <c r="O25" s="2708"/>
      <c r="P25" s="3735"/>
      <c r="Q25" s="1339">
        <f t="shared" si="11"/>
        <v>111</v>
      </c>
      <c r="R25" s="697" t="s">
        <v>14</v>
      </c>
      <c r="S25" s="698">
        <f>F25</f>
        <v>100</v>
      </c>
      <c r="T25" s="697" t="s">
        <v>14</v>
      </c>
      <c r="U25" s="698">
        <f>H25</f>
        <v>100</v>
      </c>
      <c r="V25" s="697" t="s">
        <v>14</v>
      </c>
      <c r="W25" s="698">
        <f>J25</f>
        <v>100</v>
      </c>
      <c r="X25" s="699"/>
      <c r="Y25" s="3735"/>
      <c r="Z25" s="52">
        <f>Q25</f>
        <v>111</v>
      </c>
      <c r="AA25" s="1349">
        <f>D25/F25</f>
        <v>1</v>
      </c>
      <c r="AB25" s="1349">
        <f>D25/H25</f>
        <v>1</v>
      </c>
      <c r="AC25" s="1349">
        <f>D25/J25</f>
        <v>1</v>
      </c>
    </row>
    <row r="26" spans="1:29" ht="28.5">
      <c r="A26" s="596" t="s">
        <v>1694</v>
      </c>
      <c r="B26" s="62" t="s">
        <v>1836</v>
      </c>
      <c r="C26" s="1968" t="str">
        <f>B1</f>
        <v>车库</v>
      </c>
      <c r="D26" s="395">
        <v>100</v>
      </c>
      <c r="E26" s="394"/>
      <c r="F26" s="396">
        <f>SUMIF(79:79,E26,80:80)-SUMIF(79:79,C26,80:80)+100</f>
        <v>0</v>
      </c>
      <c r="G26" s="394"/>
      <c r="H26" s="395">
        <f>SUMIF(79:79,G26,80:80)-SUMIF(79:79,C26,80:80)+100</f>
        <v>0</v>
      </c>
      <c r="I26" s="394"/>
      <c r="J26" s="395">
        <f>SUMIF(79:79,I26,80:80)-SUMIF(79:79,C26,80:80)+100</f>
        <v>0</v>
      </c>
      <c r="K26" s="557"/>
      <c r="L26" s="2712"/>
      <c r="M26" s="2706"/>
      <c r="N26" s="2706"/>
      <c r="O26" s="2706"/>
      <c r="P26" s="3736"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37" t="s">
        <v>1696</v>
      </c>
      <c r="Z26" s="1352" t="str">
        <f t="shared" ref="Z26:Z36" si="15">Q26</f>
        <v>配套类型</v>
      </c>
      <c r="AA26" s="1349" t="e">
        <f t="shared" si="3"/>
        <v>#DIV/0!</v>
      </c>
      <c r="AB26" s="1349" t="e">
        <f t="shared" si="4"/>
        <v>#DIV/0!</v>
      </c>
      <c r="AC26" s="1349" t="e">
        <f t="shared" si="5"/>
        <v>#DIV/0!</v>
      </c>
    </row>
    <row r="27" spans="1:29" s="418" customFormat="1" ht="15">
      <c r="A27" s="597"/>
      <c r="B27" s="598" t="s">
        <v>1837</v>
      </c>
      <c r="C27" s="599"/>
      <c r="D27" s="123">
        <v>100</v>
      </c>
      <c r="E27" s="599"/>
      <c r="F27" s="408">
        <f>SUMIF(81:81,E27,82:82)-SUMIF(81:81,C27,82:82)+100</f>
        <v>100</v>
      </c>
      <c r="G27" s="599"/>
      <c r="H27" s="382">
        <f>SUMIF(81:81,G27,82:82)-SUMIF(81:81,C27,82:82)+100</f>
        <v>100</v>
      </c>
      <c r="I27" s="599"/>
      <c r="J27" s="382">
        <f>SUMIF(81:81,I27,82:82)-SUMIF(81:81,C27,82:82)+100</f>
        <v>100</v>
      </c>
      <c r="K27" s="558"/>
      <c r="L27" s="2711"/>
      <c r="M27" s="2713"/>
      <c r="N27" s="2713"/>
      <c r="O27" s="2713"/>
      <c r="P27" s="3737"/>
      <c r="Q27" s="703" t="str">
        <f t="shared" si="11"/>
        <v>项目停车位配比</v>
      </c>
      <c r="R27" s="704" t="s">
        <v>14</v>
      </c>
      <c r="S27" s="705">
        <f t="shared" si="12"/>
        <v>100</v>
      </c>
      <c r="T27" s="704" t="s">
        <v>14</v>
      </c>
      <c r="U27" s="705">
        <f t="shared" si="13"/>
        <v>100</v>
      </c>
      <c r="V27" s="704" t="s">
        <v>14</v>
      </c>
      <c r="W27" s="705">
        <f t="shared" si="14"/>
        <v>100</v>
      </c>
      <c r="X27" s="706"/>
      <c r="Y27" s="3737"/>
      <c r="Z27" s="707" t="str">
        <f t="shared" si="15"/>
        <v>项目停车位配比</v>
      </c>
      <c r="AA27" s="1349">
        <f t="shared" si="3"/>
        <v>1</v>
      </c>
      <c r="AB27" s="1349">
        <f t="shared" si="4"/>
        <v>1</v>
      </c>
      <c r="AC27" s="1349">
        <f t="shared" si="5"/>
        <v>1</v>
      </c>
    </row>
    <row r="28" spans="1:29" ht="15">
      <c r="A28" s="600"/>
      <c r="B28" s="598" t="s">
        <v>1838</v>
      </c>
      <c r="C28" s="407"/>
      <c r="D28" s="382">
        <v>100</v>
      </c>
      <c r="E28" s="407"/>
      <c r="F28" s="408">
        <f>SUMIF(83:83,E28,84:84)-SUMIF(83:83,C28,84:84)+100</f>
        <v>100</v>
      </c>
      <c r="G28" s="407"/>
      <c r="H28" s="382">
        <f>SUMIF(83:83,G28,84:84)-SUMIF(83:83,C28,84:84)+100</f>
        <v>100</v>
      </c>
      <c r="I28" s="407"/>
      <c r="J28" s="382">
        <f>SUMIF(83:83,I28,84:84)-SUMIF(83:83,C28,84:84)+100</f>
        <v>100</v>
      </c>
      <c r="K28" s="557"/>
      <c r="L28" s="2712"/>
      <c r="M28" s="2706"/>
      <c r="N28" s="2706"/>
      <c r="O28" s="2706"/>
      <c r="P28" s="3737"/>
      <c r="Q28" s="1348" t="str">
        <f t="shared" si="11"/>
        <v>公共部分装修</v>
      </c>
      <c r="R28" s="701" t="s">
        <v>14</v>
      </c>
      <c r="S28" s="702">
        <f t="shared" si="12"/>
        <v>100</v>
      </c>
      <c r="T28" s="701" t="s">
        <v>14</v>
      </c>
      <c r="U28" s="702">
        <f t="shared" si="13"/>
        <v>100</v>
      </c>
      <c r="V28" s="701" t="s">
        <v>14</v>
      </c>
      <c r="W28" s="702">
        <f t="shared" si="14"/>
        <v>100</v>
      </c>
      <c r="X28" s="1351"/>
      <c r="Y28" s="3737"/>
      <c r="Z28" s="1352" t="str">
        <f t="shared" si="15"/>
        <v>公共部分装修</v>
      </c>
      <c r="AA28" s="1349">
        <f t="shared" si="3"/>
        <v>1</v>
      </c>
      <c r="AB28" s="1349">
        <f t="shared" si="4"/>
        <v>1</v>
      </c>
      <c r="AC28" s="1349">
        <f t="shared" si="5"/>
        <v>1</v>
      </c>
    </row>
    <row r="29" spans="1:29" ht="15">
      <c r="A29" s="600"/>
      <c r="B29" s="598" t="s">
        <v>1839</v>
      </c>
      <c r="C29" s="421"/>
      <c r="D29" s="382">
        <v>100</v>
      </c>
      <c r="E29" s="421"/>
      <c r="F29" s="408" t="e">
        <f>LOOKUP(E29,86:86,87:87)-LOOKUP(C29,86:86,87:87)+100</f>
        <v>#N/A</v>
      </c>
      <c r="G29" s="421"/>
      <c r="H29" s="408" t="e">
        <f>LOOKUP(G29,86:86,87:87)-LOOKUP(C29,86:86,87:87)+100</f>
        <v>#N/A</v>
      </c>
      <c r="I29" s="421"/>
      <c r="J29" s="382" t="e">
        <f>LOOKUP(I29,86:86,87:87)-LOOKUP(C29,86:86,87:87)+100</f>
        <v>#N/A</v>
      </c>
      <c r="K29" s="557"/>
      <c r="L29" s="2712"/>
      <c r="M29" s="2706"/>
      <c r="N29" s="2706"/>
      <c r="O29" s="2706"/>
      <c r="P29" s="3737"/>
      <c r="Q29" s="1348" t="str">
        <f t="shared" si="11"/>
        <v>成新率</v>
      </c>
      <c r="R29" s="701" t="s">
        <v>14</v>
      </c>
      <c r="S29" s="702" t="e">
        <f t="shared" si="12"/>
        <v>#N/A</v>
      </c>
      <c r="T29" s="701" t="s">
        <v>14</v>
      </c>
      <c r="U29" s="702" t="e">
        <f t="shared" si="13"/>
        <v>#N/A</v>
      </c>
      <c r="V29" s="701" t="s">
        <v>14</v>
      </c>
      <c r="W29" s="702" t="e">
        <f t="shared" si="14"/>
        <v>#N/A</v>
      </c>
      <c r="X29" s="1351"/>
      <c r="Y29" s="3737"/>
      <c r="Z29" s="1352" t="str">
        <f t="shared" si="15"/>
        <v>成新率</v>
      </c>
      <c r="AA29" s="1349" t="e">
        <f t="shared" si="3"/>
        <v>#N/A</v>
      </c>
      <c r="AB29" s="1349" t="e">
        <f t="shared" si="4"/>
        <v>#N/A</v>
      </c>
      <c r="AC29" s="1349" t="e">
        <f t="shared" si="5"/>
        <v>#N/A</v>
      </c>
    </row>
    <row r="30" spans="1:29" ht="15">
      <c r="A30" s="600"/>
      <c r="B30" s="598" t="s">
        <v>1840</v>
      </c>
      <c r="C30" s="601"/>
      <c r="D30" s="382">
        <v>100</v>
      </c>
      <c r="E30" s="601"/>
      <c r="F30" s="408">
        <f>SUMIF(88:88,E30,89:89)-SUMIF(88:88,C30,89:89)+100</f>
        <v>100</v>
      </c>
      <c r="G30" s="601"/>
      <c r="H30" s="382">
        <f>SUMIF(88:88,E30,89:89)-SUMIF(88:88,C30,89:89)+100</f>
        <v>100</v>
      </c>
      <c r="I30" s="601"/>
      <c r="J30" s="382">
        <f>SUMIF(88:88,E30,89:89)-SUMIF(88:88,C30,89:89)+100</f>
        <v>100</v>
      </c>
      <c r="K30" s="557"/>
      <c r="L30" s="2712"/>
      <c r="M30" s="2706"/>
      <c r="N30" s="2706"/>
      <c r="O30" s="2706"/>
      <c r="P30" s="3737"/>
      <c r="Q30" s="1348" t="str">
        <f t="shared" si="11"/>
        <v>物业等级</v>
      </c>
      <c r="R30" s="701" t="s">
        <v>14</v>
      </c>
      <c r="S30" s="702">
        <f t="shared" si="12"/>
        <v>100</v>
      </c>
      <c r="T30" s="701" t="s">
        <v>14</v>
      </c>
      <c r="U30" s="702">
        <f t="shared" si="13"/>
        <v>100</v>
      </c>
      <c r="V30" s="701" t="s">
        <v>14</v>
      </c>
      <c r="W30" s="702">
        <f t="shared" si="14"/>
        <v>100</v>
      </c>
      <c r="X30" s="1351"/>
      <c r="Y30" s="3737"/>
      <c r="Z30" s="1352" t="str">
        <f t="shared" si="15"/>
        <v>物业等级</v>
      </c>
      <c r="AA30" s="1349">
        <f t="shared" si="3"/>
        <v>1</v>
      </c>
      <c r="AB30" s="1349">
        <f t="shared" si="4"/>
        <v>1</v>
      </c>
      <c r="AC30" s="1349">
        <f t="shared" si="5"/>
        <v>1</v>
      </c>
    </row>
    <row r="31" spans="1:29" s="106" customFormat="1" ht="15">
      <c r="A31" s="602"/>
      <c r="B31" s="598" t="s">
        <v>1841</v>
      </c>
      <c r="C31" s="416"/>
      <c r="D31" s="123">
        <v>100</v>
      </c>
      <c r="E31" s="416"/>
      <c r="F31" s="408" t="e">
        <f>LOOKUP(E31,91:91,92:92)-LOOKUP(C31,91:91,92:92)+100</f>
        <v>#N/A</v>
      </c>
      <c r="G31" s="416"/>
      <c r="H31" s="382" t="e">
        <f>LOOKUP(G31,91:91,92:92)-LOOKUP(C31,91:91,92:92)+100</f>
        <v>#N/A</v>
      </c>
      <c r="I31" s="416"/>
      <c r="J31" s="382" t="e">
        <f>LOOKUP(I31,91:91,92:92)-LOOKUP(C31,91:91,92:92)+100</f>
        <v>#N/A</v>
      </c>
      <c r="K31" s="557"/>
      <c r="L31" s="2707"/>
      <c r="M31" s="2708"/>
      <c r="N31" s="2708"/>
      <c r="O31" s="2708"/>
      <c r="P31" s="3737"/>
      <c r="Q31" s="1339" t="str">
        <f t="shared" si="11"/>
        <v>停车位面积</v>
      </c>
      <c r="R31" s="697" t="s">
        <v>14</v>
      </c>
      <c r="S31" s="698" t="e">
        <f t="shared" si="12"/>
        <v>#N/A</v>
      </c>
      <c r="T31" s="697" t="s">
        <v>14</v>
      </c>
      <c r="U31" s="698" t="e">
        <f t="shared" si="13"/>
        <v>#N/A</v>
      </c>
      <c r="V31" s="697" t="s">
        <v>14</v>
      </c>
      <c r="W31" s="698" t="e">
        <f t="shared" si="14"/>
        <v>#N/A</v>
      </c>
      <c r="X31" s="699"/>
      <c r="Y31" s="3737"/>
      <c r="Z31" s="52" t="str">
        <f t="shared" si="15"/>
        <v>停车位面积</v>
      </c>
      <c r="AA31" s="700" t="e">
        <f t="shared" si="3"/>
        <v>#N/A</v>
      </c>
      <c r="AB31" s="700" t="e">
        <f t="shared" si="4"/>
        <v>#N/A</v>
      </c>
      <c r="AC31" s="700" t="e">
        <f t="shared" si="5"/>
        <v>#N/A</v>
      </c>
    </row>
    <row r="32" spans="1:29" ht="15">
      <c r="A32" s="600"/>
      <c r="B32" s="598" t="s">
        <v>1842</v>
      </c>
      <c r="C32" s="407"/>
      <c r="D32" s="382">
        <v>100</v>
      </c>
      <c r="E32" s="407"/>
      <c r="F32" s="408">
        <f>SUMIF(93:93,E32,94:94)-SUMIF(93:93,C32,94:94)+100</f>
        <v>100</v>
      </c>
      <c r="G32" s="407"/>
      <c r="H32" s="382">
        <f>SUMIF(93:93,G32,94:94)-SUMIF(93:93,C32,94:94)+100</f>
        <v>100</v>
      </c>
      <c r="I32" s="407"/>
      <c r="J32" s="382">
        <f>SUMIF(93:93,I32,94:94)-SUMIF(93:93,C32,94:94)+100</f>
        <v>100</v>
      </c>
      <c r="K32" s="557"/>
      <c r="L32" s="2712"/>
      <c r="M32" s="2706"/>
      <c r="N32" s="2706"/>
      <c r="O32" s="2706"/>
      <c r="P32" s="3737" t="s">
        <v>1696</v>
      </c>
      <c r="Q32" s="1348" t="str">
        <f t="shared" si="11"/>
        <v>车位类型</v>
      </c>
      <c r="R32" s="701" t="s">
        <v>14</v>
      </c>
      <c r="S32" s="702">
        <f t="shared" si="12"/>
        <v>100</v>
      </c>
      <c r="T32" s="701" t="s">
        <v>14</v>
      </c>
      <c r="U32" s="702">
        <f t="shared" si="13"/>
        <v>100</v>
      </c>
      <c r="V32" s="701" t="s">
        <v>14</v>
      </c>
      <c r="W32" s="702">
        <f t="shared" si="14"/>
        <v>100</v>
      </c>
      <c r="X32" s="1351"/>
      <c r="Y32" s="3737" t="s">
        <v>1696</v>
      </c>
      <c r="Z32" s="1352" t="str">
        <f t="shared" si="15"/>
        <v>车位类型</v>
      </c>
      <c r="AA32" s="1349">
        <f t="shared" si="3"/>
        <v>1</v>
      </c>
      <c r="AB32" s="1349">
        <f t="shared" si="4"/>
        <v>1</v>
      </c>
      <c r="AC32" s="1349">
        <f t="shared" si="5"/>
        <v>1</v>
      </c>
    </row>
    <row r="33" spans="1:29" ht="15">
      <c r="A33" s="600"/>
      <c r="B33" s="598" t="s">
        <v>1843</v>
      </c>
      <c r="C33" s="407"/>
      <c r="D33" s="382">
        <v>100</v>
      </c>
      <c r="E33" s="407"/>
      <c r="F33" s="408">
        <f>SUMIF(95:95,E33,96:96)-SUMIF(95:95,C33,96:96)+100</f>
        <v>100</v>
      </c>
      <c r="G33" s="407"/>
      <c r="H33" s="382">
        <f>SUMIF(95:95,G33,96:96)-SUMIF(95:95,C33,96:96)+100</f>
        <v>100</v>
      </c>
      <c r="I33" s="407"/>
      <c r="J33" s="382">
        <f>SUMIF(95:95,I33,96:96)-SUMIF(95:95,C33,96:96)+100</f>
        <v>100</v>
      </c>
      <c r="K33" s="557"/>
      <c r="L33" s="2712"/>
      <c r="M33" s="2706"/>
      <c r="N33" s="2706"/>
      <c r="O33" s="2706"/>
      <c r="P33" s="3737"/>
      <c r="Q33" s="1348" t="str">
        <f t="shared" si="11"/>
        <v>是否直接入户</v>
      </c>
      <c r="R33" s="701" t="s">
        <v>14</v>
      </c>
      <c r="S33" s="702">
        <f t="shared" si="12"/>
        <v>100</v>
      </c>
      <c r="T33" s="701" t="s">
        <v>14</v>
      </c>
      <c r="U33" s="702">
        <f t="shared" si="13"/>
        <v>100</v>
      </c>
      <c r="V33" s="701" t="s">
        <v>14</v>
      </c>
      <c r="W33" s="702">
        <f t="shared" si="14"/>
        <v>100</v>
      </c>
      <c r="X33" s="1351"/>
      <c r="Y33" s="3737"/>
      <c r="Z33" s="1352" t="str">
        <f t="shared" si="15"/>
        <v>是否直接入户</v>
      </c>
      <c r="AA33" s="1349">
        <f t="shared" si="3"/>
        <v>1</v>
      </c>
      <c r="AB33" s="1349">
        <f t="shared" si="4"/>
        <v>1</v>
      </c>
      <c r="AC33" s="1349">
        <f t="shared" si="5"/>
        <v>1</v>
      </c>
    </row>
    <row r="34" spans="1:29" ht="15">
      <c r="A34" s="600"/>
      <c r="B34" s="592">
        <v>111</v>
      </c>
      <c r="C34" s="379"/>
      <c r="D34" s="382">
        <v>100</v>
      </c>
      <c r="E34" s="379"/>
      <c r="F34" s="408">
        <f>SUMIF(97:97,E34,98:98)-SUMIF(97:97,C34,98:98)+100</f>
        <v>100</v>
      </c>
      <c r="G34" s="379"/>
      <c r="H34" s="382">
        <f>SUMIF(97:97,G34,98:98)-SUMIF(97:97,C34,98:98)+100</f>
        <v>100</v>
      </c>
      <c r="I34" s="379"/>
      <c r="J34" s="382">
        <f>SUMIF(97:97,I34,98:98)-SUMIF(97:97,C34,98:98)+100</f>
        <v>100</v>
      </c>
      <c r="K34" s="558"/>
      <c r="L34" s="2712"/>
      <c r="M34" s="2706"/>
      <c r="N34" s="2706"/>
      <c r="O34" s="2706"/>
      <c r="P34" s="3737"/>
      <c r="Q34" s="1348">
        <f t="shared" si="11"/>
        <v>111</v>
      </c>
      <c r="R34" s="701" t="s">
        <v>14</v>
      </c>
      <c r="S34" s="702">
        <f t="shared" si="12"/>
        <v>100</v>
      </c>
      <c r="T34" s="701" t="s">
        <v>14</v>
      </c>
      <c r="U34" s="702">
        <f t="shared" si="13"/>
        <v>100</v>
      </c>
      <c r="V34" s="701" t="s">
        <v>14</v>
      </c>
      <c r="W34" s="702">
        <f t="shared" si="14"/>
        <v>100</v>
      </c>
      <c r="X34" s="1351"/>
      <c r="Y34" s="3737"/>
      <c r="Z34" s="1352">
        <f t="shared" si="15"/>
        <v>111</v>
      </c>
      <c r="AA34" s="1349">
        <f t="shared" si="3"/>
        <v>1</v>
      </c>
      <c r="AB34" s="1349">
        <f t="shared" si="4"/>
        <v>1</v>
      </c>
      <c r="AC34" s="1349">
        <f t="shared" si="5"/>
        <v>1</v>
      </c>
    </row>
    <row r="35" spans="1:29" s="418" customFormat="1" ht="15">
      <c r="A35" s="597"/>
      <c r="B35" s="592">
        <v>111</v>
      </c>
      <c r="C35" s="379"/>
      <c r="D35" s="382">
        <v>100</v>
      </c>
      <c r="E35" s="379"/>
      <c r="F35" s="408">
        <f>SUMIF(99:99,E35,100:100)-SUMIF(99:99,C35,100:100)+100</f>
        <v>100</v>
      </c>
      <c r="G35" s="379"/>
      <c r="H35" s="382">
        <f>SUMIF(99:99,G35,100:100)-SUMIF(99:99,C35,100:100)+100</f>
        <v>100</v>
      </c>
      <c r="I35" s="379"/>
      <c r="J35" s="382">
        <f>SUMIF(99:99,I35,100:100)-SUMIF(99:99,C35,100:100)+100</f>
        <v>100</v>
      </c>
      <c r="K35" s="558"/>
      <c r="L35" s="2711"/>
      <c r="M35" s="2713"/>
      <c r="N35" s="2713"/>
      <c r="O35" s="2713"/>
      <c r="P35" s="3737"/>
      <c r="Q35" s="703">
        <f t="shared" si="11"/>
        <v>111</v>
      </c>
      <c r="R35" s="704" t="s">
        <v>14</v>
      </c>
      <c r="S35" s="705">
        <f t="shared" si="12"/>
        <v>100</v>
      </c>
      <c r="T35" s="704" t="s">
        <v>14</v>
      </c>
      <c r="U35" s="705">
        <f t="shared" si="13"/>
        <v>100</v>
      </c>
      <c r="V35" s="704" t="s">
        <v>14</v>
      </c>
      <c r="W35" s="705">
        <f t="shared" si="14"/>
        <v>100</v>
      </c>
      <c r="X35" s="706"/>
      <c r="Y35" s="3737"/>
      <c r="Z35" s="707">
        <f t="shared" si="15"/>
        <v>111</v>
      </c>
      <c r="AA35" s="1349">
        <f t="shared" si="3"/>
        <v>1</v>
      </c>
      <c r="AB35" s="1349">
        <f t="shared" si="4"/>
        <v>1</v>
      </c>
      <c r="AC35" s="1349">
        <f t="shared" si="5"/>
        <v>1</v>
      </c>
    </row>
    <row r="36" spans="1:29" ht="15.75" thickBot="1">
      <c r="A36" s="603"/>
      <c r="B36" s="579">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58"/>
      <c r="L36" s="2712"/>
      <c r="M36" s="2706"/>
      <c r="N36" s="2706"/>
      <c r="O36" s="2706"/>
      <c r="P36" s="3737"/>
      <c r="Q36" s="1348">
        <f t="shared" si="11"/>
        <v>111</v>
      </c>
      <c r="R36" s="701" t="s">
        <v>14</v>
      </c>
      <c r="S36" s="702">
        <f t="shared" si="12"/>
        <v>100</v>
      </c>
      <c r="T36" s="701" t="s">
        <v>14</v>
      </c>
      <c r="U36" s="702">
        <f t="shared" si="13"/>
        <v>100</v>
      </c>
      <c r="V36" s="701" t="s">
        <v>14</v>
      </c>
      <c r="W36" s="702">
        <f t="shared" si="14"/>
        <v>100</v>
      </c>
      <c r="X36" s="1351"/>
      <c r="Y36" s="3737"/>
      <c r="Z36" s="1352">
        <f t="shared" si="15"/>
        <v>111</v>
      </c>
      <c r="AA36" s="1349">
        <f t="shared" si="3"/>
        <v>1</v>
      </c>
      <c r="AB36" s="1349">
        <f t="shared" si="4"/>
        <v>1</v>
      </c>
      <c r="AC36" s="1349">
        <f t="shared" si="5"/>
        <v>1</v>
      </c>
    </row>
    <row r="37" spans="1:29" ht="15">
      <c r="A37" s="426" t="s">
        <v>1844</v>
      </c>
      <c r="B37" s="1969" t="s">
        <v>3355</v>
      </c>
      <c r="C37" s="1150" t="s">
        <v>0</v>
      </c>
      <c r="D37" s="1151"/>
      <c r="E37" s="1152"/>
      <c r="F37" s="1153"/>
      <c r="G37" s="1154"/>
      <c r="H37" s="1155"/>
      <c r="I37" s="1152"/>
      <c r="J37" s="1155"/>
      <c r="K37" s="564"/>
      <c r="L37" s="2714"/>
      <c r="M37" s="2715"/>
      <c r="N37" s="2706"/>
      <c r="O37" s="2715"/>
      <c r="P37" s="3733" t="str">
        <f>A37</f>
        <v>成交单价</v>
      </c>
      <c r="Q37" s="3733"/>
      <c r="R37" s="3798">
        <f>E37</f>
        <v>0</v>
      </c>
      <c r="S37" s="3798"/>
      <c r="T37" s="3798">
        <f>G37</f>
        <v>0</v>
      </c>
      <c r="U37" s="3798"/>
      <c r="V37" s="3798">
        <f>I37</f>
        <v>0</v>
      </c>
      <c r="W37" s="3798"/>
      <c r="X37" s="686"/>
      <c r="Y37" s="708"/>
      <c r="Z37" s="686"/>
      <c r="AA37" s="686"/>
      <c r="AB37" s="686"/>
      <c r="AC37" s="686"/>
    </row>
    <row r="38" spans="1:29" ht="15.75" thickBot="1">
      <c r="A38" s="433" t="s">
        <v>1845</v>
      </c>
      <c r="B38" s="434" t="str">
        <f>B37</f>
        <v>元/平方米</v>
      </c>
      <c r="C38" s="1156" t="e">
        <f>R39</f>
        <v>#DIV/0!</v>
      </c>
      <c r="D38" s="2313" t="s">
        <v>2138</v>
      </c>
      <c r="E38" s="1157" t="e">
        <f>R38</f>
        <v>#DIV/0!</v>
      </c>
      <c r="F38" s="2314"/>
      <c r="G38" s="1156" t="e">
        <f>T38</f>
        <v>#DIV/0!</v>
      </c>
      <c r="H38" s="2314"/>
      <c r="I38" s="1157" t="e">
        <f>V38</f>
        <v>#DIV/0!</v>
      </c>
      <c r="J38" s="2314"/>
      <c r="K38" s="2316">
        <f>F38+H38+J38</f>
        <v>0</v>
      </c>
      <c r="L38" s="2714"/>
      <c r="M38" s="2715"/>
      <c r="N38" s="2715"/>
      <c r="O38" s="2715"/>
      <c r="P38" s="3733" t="str">
        <f>A38</f>
        <v>比较价值（元/平方米）</v>
      </c>
      <c r="Q38" s="3733"/>
      <c r="R38" s="3798" t="e">
        <f>IF(F1="售价",ROUND(PRODUCT(R37,AA7:AA36),0),ROUND(PRODUCT(R37,AA7:AA36),1))</f>
        <v>#DIV/0!</v>
      </c>
      <c r="S38" s="3798"/>
      <c r="T38" s="3798" t="e">
        <f>IF(F1="售价",ROUND(PRODUCT(T37,AB7:AB36),0),ROUND(PRODUCT(T37,AB7:AB36),1))</f>
        <v>#DIV/0!</v>
      </c>
      <c r="U38" s="3798"/>
      <c r="V38" s="3798" t="e">
        <f>IF(F1="售价",ROUND(PRODUCT(V37,AC7:AC36),0),ROUND(PRODUCT(V37,AC7:AC36),1))</f>
        <v>#DIV/0!</v>
      </c>
      <c r="W38" s="3798"/>
      <c r="X38" s="686"/>
      <c r="Y38" s="686"/>
      <c r="Z38" s="686"/>
      <c r="AA38" s="686"/>
      <c r="AB38" s="686"/>
      <c r="AC38" s="686"/>
    </row>
    <row r="39" spans="1:29" ht="15.75" thickBot="1">
      <c r="A39" s="437" t="s">
        <v>1846</v>
      </c>
      <c r="B39" s="438"/>
      <c r="C39" s="1159" t="e">
        <f>R39</f>
        <v>#DIV/0!</v>
      </c>
      <c r="D39" s="1159"/>
      <c r="E39" s="1159"/>
      <c r="F39" s="1159"/>
      <c r="G39" s="1159"/>
      <c r="H39" s="1159"/>
      <c r="I39" s="1159"/>
      <c r="J39" s="1159"/>
      <c r="K39" s="565"/>
      <c r="L39" s="2714"/>
      <c r="M39" s="2715"/>
      <c r="N39" s="2715"/>
      <c r="O39" s="2715"/>
      <c r="P39" s="3727" t="str">
        <f>A39</f>
        <v>估价对象XX用房的比较价值（楼面单价，元/平方米）</v>
      </c>
      <c r="Q39" s="3728"/>
      <c r="R39" s="3820" t="e">
        <f>IF(F1="售价",ROUND(IF(D38="简单平均",AVERAGE(R38:W38),R38*F38+T38*H38+V38*J38),0),ROUND(IF(D38="简单平均",AVERAGE(R38:V38),R38*F38+T38*H38+V38*J38),1))</f>
        <v>#DIV/0!</v>
      </c>
      <c r="S39" s="3820"/>
      <c r="T39" s="3820"/>
      <c r="U39" s="3820"/>
      <c r="V39" s="3820"/>
      <c r="W39" s="3820"/>
      <c r="X39" s="686"/>
      <c r="Y39" s="686"/>
      <c r="Z39" s="686"/>
      <c r="AA39" s="686"/>
      <c r="AB39" s="686"/>
      <c r="AC39" s="686"/>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2" t="s">
        <v>1847</v>
      </c>
      <c r="D42" s="443"/>
      <c r="E42" s="444" t="e">
        <f>IF(E37&lt;E38,E38/E37-1,E37/E38-1)</f>
        <v>#DIV/0!</v>
      </c>
      <c r="F42" s="445" t="e">
        <f>IF(OR(E42&gt;=0.3,E42&lt;=-0.3),"超过30%","")</f>
        <v>#DIV/0!</v>
      </c>
      <c r="G42" s="444" t="e">
        <f>IF(G37&lt;G38,G38/G37-1,G37/G38-1)</f>
        <v>#DIV/0!</v>
      </c>
      <c r="H42" s="445" t="e">
        <f>IF(OR(G42&gt;=0.3,G42&lt;=-0.3),"超过30%","")</f>
        <v>#DIV/0!</v>
      </c>
      <c r="I42" s="444" t="e">
        <f>IF(I37&lt;I38,I38/I37-1,I37/I38-1)</f>
        <v>#DIV/0!</v>
      </c>
      <c r="J42" s="445"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2" t="s">
        <v>1848</v>
      </c>
      <c r="D43" s="446"/>
      <c r="E43" s="444" t="e">
        <f>IF(E38&lt;G38,G38/E38-1,E38/G38-1)</f>
        <v>#DIV/0!</v>
      </c>
      <c r="F43" s="445" t="e">
        <f>IF(OR(E43&gt;=0.2,E43&lt;=-0.2),"超过20%","")</f>
        <v>#DIV/0!</v>
      </c>
      <c r="G43" s="444" t="e">
        <f>IF(G38&lt;I38,I38/G38-1,G38/I38-1)</f>
        <v>#DIV/0!</v>
      </c>
      <c r="H43" s="445" t="e">
        <f>IF(OR(G43&gt;=0.2,G43&lt;=-0.2),"超过20%","")</f>
        <v>#DIV/0!</v>
      </c>
      <c r="I43" s="444" t="e">
        <f>IF(I38&lt;E38,E38/I38-1,I38/E38-1)</f>
        <v>#DIV/0!</v>
      </c>
      <c r="J43" s="445"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7" customFormat="1" ht="13.5" customHeight="1">
      <c r="A44" s="2718"/>
      <c r="B44" s="2718"/>
      <c r="C44" s="442" t="s">
        <v>1849</v>
      </c>
      <c r="D44" s="446"/>
      <c r="E44" s="444" t="e">
        <f>IF(E37&lt;G37,G37/E37-1,E37/G37-1)</f>
        <v>#DIV/0!</v>
      </c>
      <c r="F44" s="445" t="e">
        <f>IF(OR(E44&gt;=0.3,E44&lt;=-0.3),"超过30%","")</f>
        <v>#DIV/0!</v>
      </c>
      <c r="G44" s="444" t="e">
        <f>IF(G37&lt;I37,I37/G37-1,G37/I37-1)</f>
        <v>#DIV/0!</v>
      </c>
      <c r="H44" s="445" t="e">
        <f>IF(OR(G44&gt;=0.3,G44&lt;=-0.3),"超过30%","")</f>
        <v>#DIV/0!</v>
      </c>
      <c r="I44" s="444" t="e">
        <f>IF(I37&lt;E37,E37/I37-1,I37/E37-1)</f>
        <v>#DIV/0!</v>
      </c>
      <c r="J44" s="445"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7"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2" t="s">
        <v>1850</v>
      </c>
      <c r="B47" s="923"/>
      <c r="C47" s="936"/>
      <c r="D47" s="936"/>
      <c r="E47" s="936"/>
      <c r="F47" s="1163"/>
      <c r="G47" s="1163"/>
      <c r="H47" s="936"/>
      <c r="I47" s="936"/>
      <c r="J47" s="936"/>
      <c r="K47" s="937"/>
      <c r="L47" s="938"/>
      <c r="M47" s="936"/>
      <c r="N47" s="2759"/>
      <c r="O47" s="2759"/>
      <c r="P47" s="2748"/>
      <c r="Q47" s="2729"/>
      <c r="R47" s="2715"/>
      <c r="S47" s="2715"/>
      <c r="T47" s="2715"/>
      <c r="U47" s="2715"/>
      <c r="V47" s="2715"/>
      <c r="W47" s="2715"/>
      <c r="X47" s="2715"/>
      <c r="Y47" s="2715"/>
      <c r="Z47" s="2715"/>
      <c r="AA47" s="2715"/>
      <c r="AB47" s="2715"/>
      <c r="AC47" s="2715"/>
    </row>
    <row r="48" spans="1:29" s="453" customFormat="1" ht="15">
      <c r="A48" s="450" t="s">
        <v>1851</v>
      </c>
      <c r="B48" s="451"/>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49"/>
      <c r="Q48" s="2731"/>
      <c r="R48" s="2731"/>
      <c r="S48" s="2731"/>
      <c r="T48" s="2731"/>
      <c r="U48" s="2731"/>
      <c r="V48" s="2731"/>
      <c r="W48" s="2731"/>
      <c r="X48" s="2731"/>
      <c r="Y48" s="2731"/>
      <c r="Z48" s="2731"/>
      <c r="AA48" s="2731"/>
      <c r="AB48" s="2731"/>
      <c r="AC48" s="2731"/>
    </row>
    <row r="49" spans="1:29" s="106" customFormat="1" ht="15">
      <c r="A49" s="454"/>
      <c r="B49" s="455"/>
      <c r="C49" s="1173">
        <v>100</v>
      </c>
      <c r="D49" s="457"/>
      <c r="E49" s="457"/>
      <c r="F49" s="457"/>
      <c r="G49" s="457"/>
      <c r="H49" s="457"/>
      <c r="I49" s="457"/>
      <c r="J49" s="457"/>
      <c r="K49" s="457"/>
      <c r="L49" s="457"/>
      <c r="M49" s="458"/>
      <c r="N49" s="457"/>
      <c r="O49" s="458"/>
      <c r="P49" s="2750"/>
      <c r="Q49" s="2652"/>
      <c r="R49" s="2652"/>
      <c r="S49" s="2652"/>
      <c r="T49" s="2652"/>
      <c r="U49" s="2652"/>
      <c r="V49" s="2652"/>
      <c r="W49" s="2652"/>
      <c r="X49" s="2652"/>
      <c r="Y49" s="2652"/>
      <c r="Z49" s="2652"/>
      <c r="AA49" s="2652"/>
      <c r="AB49" s="2652"/>
      <c r="AC49" s="2652"/>
    </row>
    <row r="50" spans="1:29" s="106" customFormat="1" ht="15.75" thickBot="1">
      <c r="A50" s="460" t="s">
        <v>1716</v>
      </c>
      <c r="B50" s="461"/>
      <c r="C50" s="462"/>
      <c r="D50" s="463"/>
      <c r="E50" s="463"/>
      <c r="F50" s="463"/>
      <c r="G50" s="463"/>
      <c r="H50" s="463"/>
      <c r="I50" s="463"/>
      <c r="J50" s="463"/>
      <c r="K50" s="463"/>
      <c r="L50" s="463"/>
      <c r="M50" s="464"/>
      <c r="N50" s="463"/>
      <c r="O50" s="464"/>
      <c r="P50" s="2750"/>
      <c r="Q50" s="2729"/>
      <c r="R50" s="2652"/>
      <c r="S50" s="2652"/>
      <c r="T50" s="2652"/>
      <c r="U50" s="2652"/>
      <c r="V50" s="2652"/>
      <c r="W50" s="2652"/>
      <c r="X50" s="2652"/>
      <c r="Y50" s="2652"/>
      <c r="Z50" s="2652"/>
      <c r="AA50" s="2652"/>
      <c r="AB50" s="2652"/>
      <c r="AC50" s="2652"/>
    </row>
    <row r="51" spans="1:29" s="106" customFormat="1" ht="15">
      <c r="A51" s="466" t="s">
        <v>1681</v>
      </c>
      <c r="B51" s="455"/>
      <c r="C51" s="467" t="s">
        <v>1776</v>
      </c>
      <c r="D51" s="468"/>
      <c r="E51" s="468"/>
      <c r="F51" s="468"/>
      <c r="G51" s="468"/>
      <c r="H51" s="468"/>
      <c r="I51" s="468"/>
      <c r="J51" s="468"/>
      <c r="K51" s="468"/>
      <c r="L51" s="469"/>
      <c r="M51" s="470"/>
      <c r="N51" s="2742"/>
      <c r="O51" s="2742"/>
      <c r="P51" s="2751"/>
      <c r="Q51" s="2729"/>
      <c r="R51" s="2652"/>
      <c r="S51" s="2652"/>
      <c r="T51" s="2652"/>
      <c r="U51" s="2652"/>
      <c r="V51" s="2652"/>
      <c r="W51" s="2652"/>
      <c r="X51" s="2652"/>
      <c r="Y51" s="2652"/>
      <c r="Z51" s="2652"/>
      <c r="AA51" s="2652"/>
      <c r="AB51" s="2652"/>
      <c r="AC51" s="2652"/>
    </row>
    <row r="52" spans="1:29" s="106" customFormat="1" ht="15.75" thickBot="1">
      <c r="A52" s="466"/>
      <c r="B52" s="455"/>
      <c r="C52" s="583">
        <v>100</v>
      </c>
      <c r="D52" s="457"/>
      <c r="E52" s="457"/>
      <c r="F52" s="457"/>
      <c r="G52" s="457"/>
      <c r="H52" s="457"/>
      <c r="I52" s="457"/>
      <c r="J52" s="457"/>
      <c r="K52" s="457"/>
      <c r="L52" s="457"/>
      <c r="M52" s="459"/>
      <c r="N52" s="2742"/>
      <c r="O52" s="2742"/>
      <c r="P52" s="2750"/>
      <c r="Q52" s="2729"/>
      <c r="R52" s="2652"/>
      <c r="S52" s="2652"/>
      <c r="T52" s="2652"/>
      <c r="U52" s="2652"/>
      <c r="V52" s="2652"/>
      <c r="W52" s="2652"/>
      <c r="X52" s="2652"/>
      <c r="Y52" s="2652"/>
      <c r="Z52" s="2652"/>
      <c r="AA52" s="2652"/>
      <c r="AB52" s="2652"/>
      <c r="AC52" s="2652"/>
    </row>
    <row r="53" spans="1:29">
      <c r="A53" s="472" t="s">
        <v>1719</v>
      </c>
      <c r="B53" s="473" t="s">
        <v>1685</v>
      </c>
      <c r="C53" s="474">
        <f>C9</f>
        <v>0</v>
      </c>
      <c r="D53" s="475"/>
      <c r="E53" s="475"/>
      <c r="F53" s="475"/>
      <c r="G53" s="475"/>
      <c r="H53" s="475"/>
      <c r="I53" s="475"/>
      <c r="J53" s="475"/>
      <c r="K53" s="476"/>
      <c r="L53" s="477"/>
      <c r="M53" s="478"/>
      <c r="N53" s="2743"/>
      <c r="O53" s="2743"/>
      <c r="P53" s="2752"/>
      <c r="Q53" s="2729"/>
      <c r="R53" s="2715"/>
      <c r="S53" s="2715"/>
      <c r="T53" s="2715"/>
      <c r="U53" s="2715"/>
      <c r="V53" s="2715"/>
      <c r="W53" s="2715"/>
      <c r="X53" s="2715"/>
      <c r="Y53" s="2715"/>
      <c r="Z53" s="2715"/>
      <c r="AA53" s="2715"/>
      <c r="AB53" s="2715"/>
      <c r="AC53" s="2715"/>
    </row>
    <row r="54" spans="1:29" ht="15.75" thickBot="1">
      <c r="A54" s="479"/>
      <c r="B54" s="480"/>
      <c r="C54" s="481">
        <v>100</v>
      </c>
      <c r="D54" s="481"/>
      <c r="E54" s="481"/>
      <c r="F54" s="481"/>
      <c r="G54" s="481"/>
      <c r="H54" s="481"/>
      <c r="I54" s="481"/>
      <c r="J54" s="481"/>
      <c r="K54" s="481"/>
      <c r="L54" s="481"/>
      <c r="M54" s="482"/>
      <c r="N54" s="2744"/>
      <c r="O54" s="2744"/>
      <c r="P54" s="2752"/>
      <c r="Q54" s="2729"/>
      <c r="R54" s="2715"/>
      <c r="S54" s="2715"/>
      <c r="T54" s="2715"/>
      <c r="U54" s="2715"/>
      <c r="V54" s="2715"/>
      <c r="W54" s="2715"/>
      <c r="X54" s="2715"/>
      <c r="Y54" s="2715"/>
      <c r="Z54" s="2715"/>
      <c r="AA54" s="2715"/>
      <c r="AB54" s="2715"/>
      <c r="AC54" s="2715"/>
    </row>
    <row r="55" spans="1:29" ht="27.75" thickTop="1">
      <c r="A55" s="479"/>
      <c r="B55" s="483" t="s">
        <v>1688</v>
      </c>
      <c r="C55" s="528"/>
      <c r="D55" s="528"/>
      <c r="E55" s="528"/>
      <c r="F55" s="528"/>
      <c r="G55" s="528"/>
      <c r="H55" s="528"/>
      <c r="I55" s="528"/>
      <c r="J55" s="528"/>
      <c r="K55" s="529"/>
      <c r="L55" s="530"/>
      <c r="M55" s="531"/>
      <c r="N55" s="2743"/>
      <c r="O55" s="2743"/>
      <c r="P55" s="2752"/>
      <c r="Q55" s="2729"/>
      <c r="R55" s="2715"/>
      <c r="S55" s="2715"/>
      <c r="T55" s="2715"/>
      <c r="U55" s="2715"/>
      <c r="V55" s="2715"/>
      <c r="W55" s="2715"/>
      <c r="X55" s="2715"/>
      <c r="Y55" s="2715"/>
      <c r="Z55" s="2715"/>
      <c r="AA55" s="2715"/>
      <c r="AB55" s="2715"/>
      <c r="AC55" s="2715"/>
    </row>
    <row r="56" spans="1:29" ht="15.75" thickBot="1">
      <c r="A56" s="479"/>
      <c r="B56" s="488"/>
      <c r="C56" s="481"/>
      <c r="D56" s="481"/>
      <c r="E56" s="481"/>
      <c r="F56" s="481"/>
      <c r="G56" s="481"/>
      <c r="H56" s="481"/>
      <c r="I56" s="481"/>
      <c r="J56" s="481"/>
      <c r="K56" s="481"/>
      <c r="L56" s="481"/>
      <c r="M56" s="482"/>
      <c r="N56" s="2744"/>
      <c r="O56" s="2744"/>
      <c r="P56" s="2752"/>
      <c r="Q56" s="2729"/>
      <c r="R56" s="2715"/>
      <c r="S56" s="2715"/>
      <c r="T56" s="2715"/>
      <c r="U56" s="2715"/>
      <c r="V56" s="2715"/>
      <c r="W56" s="2715"/>
      <c r="X56" s="2715"/>
      <c r="Y56" s="2715"/>
      <c r="Z56" s="2715"/>
      <c r="AA56" s="2715"/>
      <c r="AB56" s="2715"/>
      <c r="AC56" s="2715"/>
    </row>
    <row r="57" spans="1:29" ht="15.75" thickTop="1">
      <c r="A57" s="479"/>
      <c r="B57" s="604">
        <f>B11</f>
        <v>111</v>
      </c>
      <c r="C57" s="494"/>
      <c r="D57" s="494"/>
      <c r="E57" s="494"/>
      <c r="F57" s="494"/>
      <c r="G57" s="494"/>
      <c r="H57" s="494"/>
      <c r="I57" s="494"/>
      <c r="J57" s="494"/>
      <c r="K57" s="495"/>
      <c r="L57" s="496"/>
      <c r="M57" s="497"/>
      <c r="N57" s="2743"/>
      <c r="O57" s="2743"/>
      <c r="P57" s="2752"/>
      <c r="Q57" s="2729"/>
      <c r="R57" s="2715"/>
      <c r="S57" s="2715"/>
      <c r="T57" s="2715"/>
      <c r="U57" s="2715"/>
      <c r="V57" s="2715"/>
      <c r="W57" s="2715"/>
      <c r="X57" s="2715"/>
      <c r="Y57" s="2715"/>
      <c r="Z57" s="2715"/>
      <c r="AA57" s="2715"/>
      <c r="AB57" s="2715"/>
      <c r="AC57" s="2715"/>
    </row>
    <row r="58" spans="1:29" ht="15.75" thickBot="1">
      <c r="A58" s="479"/>
      <c r="B58" s="480"/>
      <c r="C58" s="505"/>
      <c r="D58" s="481"/>
      <c r="E58" s="481"/>
      <c r="F58" s="481"/>
      <c r="G58" s="481"/>
      <c r="H58" s="481"/>
      <c r="I58" s="481"/>
      <c r="J58" s="481"/>
      <c r="K58" s="481"/>
      <c r="L58" s="481"/>
      <c r="M58" s="482"/>
      <c r="N58" s="2744"/>
      <c r="O58" s="2744"/>
      <c r="P58" s="2752"/>
      <c r="Q58" s="2729"/>
      <c r="R58" s="2715"/>
      <c r="S58" s="2715"/>
      <c r="T58" s="2715"/>
      <c r="U58" s="2715"/>
      <c r="V58" s="2715"/>
      <c r="W58" s="2715"/>
      <c r="X58" s="2715"/>
      <c r="Y58" s="2715"/>
      <c r="Z58" s="2715"/>
      <c r="AA58" s="2715"/>
      <c r="AB58" s="2715"/>
      <c r="AC58" s="2715"/>
    </row>
    <row r="59" spans="1:29" s="418" customFormat="1" ht="15.75" thickTop="1">
      <c r="A59" s="498"/>
      <c r="B59" s="483">
        <f>B12</f>
        <v>111</v>
      </c>
      <c r="C59" s="494"/>
      <c r="D59" s="494"/>
      <c r="E59" s="494"/>
      <c r="F59" s="494"/>
      <c r="G59" s="499"/>
      <c r="H59" s="500"/>
      <c r="I59" s="500"/>
      <c r="J59" s="500"/>
      <c r="K59" s="500"/>
      <c r="L59" s="501"/>
      <c r="M59" s="502"/>
      <c r="N59" s="2745"/>
      <c r="O59" s="2745"/>
      <c r="P59" s="2753"/>
      <c r="Q59" s="2736"/>
      <c r="R59" s="2737"/>
      <c r="S59" s="2737"/>
      <c r="T59" s="2737"/>
      <c r="U59" s="2737"/>
      <c r="V59" s="2737"/>
      <c r="W59" s="2737"/>
      <c r="X59" s="2737"/>
      <c r="Y59" s="2737"/>
      <c r="Z59" s="2737"/>
      <c r="AA59" s="2737"/>
      <c r="AB59" s="2737"/>
      <c r="AC59" s="2737"/>
    </row>
    <row r="60" spans="1:29" s="418" customFormat="1" ht="15.75" thickBot="1">
      <c r="A60" s="498"/>
      <c r="B60" s="488"/>
      <c r="C60" s="505"/>
      <c r="D60" s="481"/>
      <c r="E60" s="481"/>
      <c r="F60" s="481"/>
      <c r="G60" s="481"/>
      <c r="H60" s="481"/>
      <c r="I60" s="481"/>
      <c r="J60" s="481"/>
      <c r="K60" s="481"/>
      <c r="L60" s="481"/>
      <c r="M60" s="482"/>
      <c r="N60" s="2744"/>
      <c r="O60" s="2744"/>
      <c r="P60" s="2753"/>
      <c r="Q60" s="2736"/>
      <c r="R60" s="2737"/>
      <c r="S60" s="2737"/>
      <c r="T60" s="2737"/>
      <c r="U60" s="2737"/>
      <c r="V60" s="2737"/>
      <c r="W60" s="2737"/>
      <c r="X60" s="2737"/>
      <c r="Y60" s="2737"/>
      <c r="Z60" s="2737"/>
      <c r="AA60" s="2737"/>
      <c r="AB60" s="2737"/>
      <c r="AC60" s="2737"/>
    </row>
    <row r="61" spans="1:29" s="418" customFormat="1" ht="15.75" thickTop="1">
      <c r="A61" s="498"/>
      <c r="B61" s="483">
        <f>B13</f>
        <v>111</v>
      </c>
      <c r="C61" s="499"/>
      <c r="D61" s="499"/>
      <c r="E61" s="499"/>
      <c r="F61" s="499"/>
      <c r="G61" s="499"/>
      <c r="H61" s="500"/>
      <c r="I61" s="500"/>
      <c r="J61" s="500"/>
      <c r="K61" s="500"/>
      <c r="L61" s="501"/>
      <c r="M61" s="502"/>
      <c r="N61" s="2745"/>
      <c r="O61" s="2745"/>
      <c r="P61" s="2754"/>
      <c r="Q61" s="2739"/>
      <c r="R61" s="2737"/>
      <c r="S61" s="2737"/>
      <c r="T61" s="2737"/>
      <c r="U61" s="2737"/>
      <c r="V61" s="2737"/>
      <c r="W61" s="2737"/>
      <c r="X61" s="2737"/>
      <c r="Y61" s="2737"/>
      <c r="Z61" s="2737"/>
      <c r="AA61" s="2737"/>
      <c r="AB61" s="2737"/>
      <c r="AC61" s="2737"/>
    </row>
    <row r="62" spans="1:29" s="418" customFormat="1" ht="15.75" thickBot="1">
      <c r="A62" s="498"/>
      <c r="B62" s="488"/>
      <c r="C62" s="505"/>
      <c r="D62" s="505"/>
      <c r="E62" s="505"/>
      <c r="F62" s="505"/>
      <c r="G62" s="505"/>
      <c r="H62" s="507"/>
      <c r="I62" s="507"/>
      <c r="J62" s="507"/>
      <c r="K62" s="507"/>
      <c r="L62" s="507"/>
      <c r="M62" s="508"/>
      <c r="N62" s="2745"/>
      <c r="O62" s="2745"/>
      <c r="P62" s="2753"/>
      <c r="Q62" s="2736"/>
      <c r="R62" s="2737"/>
      <c r="S62" s="2737"/>
      <c r="T62" s="2737"/>
      <c r="U62" s="2737"/>
      <c r="V62" s="2737"/>
      <c r="W62" s="2737"/>
      <c r="X62" s="2737"/>
      <c r="Y62" s="2737"/>
      <c r="Z62" s="2737"/>
      <c r="AA62" s="2737"/>
      <c r="AB62" s="2737"/>
      <c r="AC62" s="2737"/>
    </row>
    <row r="63" spans="1:29" ht="15" thickTop="1">
      <c r="A63" s="472" t="s">
        <v>1690</v>
      </c>
      <c r="B63" s="473" t="s">
        <v>1726</v>
      </c>
      <c r="C63" s="518" t="s">
        <v>1721</v>
      </c>
      <c r="D63" s="518" t="s">
        <v>1722</v>
      </c>
      <c r="E63" s="518" t="s">
        <v>1723</v>
      </c>
      <c r="F63" s="518" t="s">
        <v>1724</v>
      </c>
      <c r="G63" s="518" t="s">
        <v>1725</v>
      </c>
      <c r="H63" s="474"/>
      <c r="I63" s="474"/>
      <c r="J63" s="474"/>
      <c r="K63" s="519"/>
      <c r="L63" s="520"/>
      <c r="M63" s="521"/>
      <c r="N63" s="2743"/>
      <c r="O63" s="2743"/>
      <c r="P63" s="2756"/>
      <c r="Q63" s="2729"/>
      <c r="R63" s="2715"/>
      <c r="S63" s="2715"/>
      <c r="T63" s="2715"/>
      <c r="U63" s="2715"/>
      <c r="V63" s="2715"/>
      <c r="W63" s="2715"/>
      <c r="X63" s="2715"/>
      <c r="Y63" s="2715"/>
      <c r="Z63" s="2715"/>
      <c r="AA63" s="2715"/>
      <c r="AB63" s="2715"/>
      <c r="AC63" s="2715"/>
    </row>
    <row r="64" spans="1:29" ht="15.75" thickBot="1">
      <c r="A64" s="479"/>
      <c r="B64" s="488"/>
      <c r="C64" s="489">
        <v>100</v>
      </c>
      <c r="D64" s="489">
        <f>C64-$K14</f>
        <v>100</v>
      </c>
      <c r="E64" s="489">
        <f>D64-$K14</f>
        <v>100</v>
      </c>
      <c r="F64" s="489">
        <f>E64-$K14</f>
        <v>100</v>
      </c>
      <c r="G64" s="489">
        <f>F64-$K14</f>
        <v>100</v>
      </c>
      <c r="H64" s="489"/>
      <c r="I64" s="489"/>
      <c r="J64" s="489"/>
      <c r="K64" s="489"/>
      <c r="L64" s="489"/>
      <c r="M64" s="490"/>
      <c r="N64" s="2744"/>
      <c r="O64" s="2744"/>
      <c r="P64" s="2752"/>
      <c r="Q64" s="2729"/>
      <c r="R64" s="2715"/>
      <c r="S64" s="2715"/>
      <c r="T64" s="2715"/>
      <c r="U64" s="2715"/>
      <c r="V64" s="2715"/>
      <c r="W64" s="2715"/>
      <c r="X64" s="2715"/>
      <c r="Y64" s="2715"/>
      <c r="Z64" s="2715"/>
      <c r="AA64" s="2715"/>
      <c r="AB64" s="2715"/>
      <c r="AC64" s="2715"/>
    </row>
    <row r="65" spans="1:29" ht="15.75" thickTop="1">
      <c r="A65" s="479"/>
      <c r="B65" s="483" t="s">
        <v>1727</v>
      </c>
      <c r="C65" s="523" t="s">
        <v>1721</v>
      </c>
      <c r="D65" s="523" t="s">
        <v>1722</v>
      </c>
      <c r="E65" s="523" t="s">
        <v>1723</v>
      </c>
      <c r="F65" s="523" t="s">
        <v>1724</v>
      </c>
      <c r="G65" s="523" t="s">
        <v>1725</v>
      </c>
      <c r="H65" s="484"/>
      <c r="I65" s="484"/>
      <c r="J65" s="484"/>
      <c r="K65" s="485"/>
      <c r="L65" s="486"/>
      <c r="M65" s="487"/>
      <c r="N65" s="2743"/>
      <c r="O65" s="2743"/>
      <c r="P65" s="2752"/>
      <c r="Q65" s="2729"/>
      <c r="R65" s="2715"/>
      <c r="S65" s="2715"/>
      <c r="T65" s="2715"/>
      <c r="U65" s="2715"/>
      <c r="V65" s="2715"/>
      <c r="W65" s="2715"/>
      <c r="X65" s="2715"/>
      <c r="Y65" s="2715"/>
      <c r="Z65" s="2715"/>
      <c r="AA65" s="2715"/>
      <c r="AB65" s="2715"/>
      <c r="AC65" s="2715"/>
    </row>
    <row r="66" spans="1:29" ht="15.75" thickBot="1">
      <c r="A66" s="479"/>
      <c r="B66" s="488"/>
      <c r="C66" s="489">
        <v>100</v>
      </c>
      <c r="D66" s="489">
        <f>C66-$K16</f>
        <v>100</v>
      </c>
      <c r="E66" s="489">
        <f>D66-$K16</f>
        <v>100</v>
      </c>
      <c r="F66" s="489">
        <f>E66-$K16</f>
        <v>100</v>
      </c>
      <c r="G66" s="489">
        <f>F66-$K16</f>
        <v>100</v>
      </c>
      <c r="H66" s="489"/>
      <c r="I66" s="489"/>
      <c r="J66" s="489"/>
      <c r="K66" s="489"/>
      <c r="L66" s="489"/>
      <c r="M66" s="490"/>
      <c r="N66" s="2744"/>
      <c r="O66" s="2744"/>
      <c r="P66" s="2752"/>
      <c r="Q66" s="2729"/>
      <c r="R66" s="2715"/>
      <c r="S66" s="2715"/>
      <c r="T66" s="2715"/>
      <c r="U66" s="2715"/>
      <c r="V66" s="2715"/>
      <c r="W66" s="2715"/>
      <c r="X66" s="2715"/>
      <c r="Y66" s="2715"/>
      <c r="Z66" s="2715"/>
      <c r="AA66" s="2715"/>
      <c r="AB66" s="2715"/>
      <c r="AC66" s="2715"/>
    </row>
    <row r="67" spans="1:29" ht="15.75" thickTop="1">
      <c r="A67" s="479"/>
      <c r="B67" s="491" t="s">
        <v>1813</v>
      </c>
      <c r="C67" s="604" t="s">
        <v>1799</v>
      </c>
      <c r="D67" s="604" t="s">
        <v>1800</v>
      </c>
      <c r="E67" s="604" t="s">
        <v>1801</v>
      </c>
      <c r="F67" s="604" t="s">
        <v>1802</v>
      </c>
      <c r="G67" s="604" t="s">
        <v>1803</v>
      </c>
      <c r="H67" s="484"/>
      <c r="I67" s="484"/>
      <c r="J67" s="484"/>
      <c r="K67" s="484"/>
      <c r="L67" s="484"/>
      <c r="M67" s="1125"/>
      <c r="N67" s="2744"/>
      <c r="O67" s="2744"/>
      <c r="P67" s="2752"/>
      <c r="Q67" s="2729"/>
      <c r="R67" s="2715"/>
      <c r="S67" s="2715"/>
      <c r="T67" s="2715"/>
      <c r="U67" s="2715"/>
      <c r="V67" s="2715"/>
      <c r="W67" s="2715"/>
      <c r="X67" s="2715"/>
      <c r="Y67" s="2715"/>
      <c r="Z67" s="2715"/>
      <c r="AA67" s="2715"/>
      <c r="AB67" s="2715"/>
      <c r="AC67" s="2715"/>
    </row>
    <row r="68" spans="1:29" ht="15.75" thickBot="1">
      <c r="A68" s="479"/>
      <c r="B68" s="491"/>
      <c r="C68" s="489">
        <v>100</v>
      </c>
      <c r="D68" s="489">
        <f>C68-$K18</f>
        <v>100</v>
      </c>
      <c r="E68" s="489">
        <f>D68-$K18</f>
        <v>100</v>
      </c>
      <c r="F68" s="489">
        <f>E68-$K18</f>
        <v>100</v>
      </c>
      <c r="G68" s="489">
        <f>F68-$K18</f>
        <v>100</v>
      </c>
      <c r="H68" s="604"/>
      <c r="I68" s="604"/>
      <c r="J68" s="604"/>
      <c r="K68" s="604"/>
      <c r="L68" s="604"/>
      <c r="M68" s="397"/>
      <c r="N68" s="2744"/>
      <c r="O68" s="2744"/>
      <c r="P68" s="2752"/>
      <c r="Q68" s="2729"/>
      <c r="R68" s="2715"/>
      <c r="S68" s="2715"/>
      <c r="T68" s="2715"/>
      <c r="U68" s="2715"/>
      <c r="V68" s="2715"/>
      <c r="W68" s="2715"/>
      <c r="X68" s="2715"/>
      <c r="Y68" s="2715"/>
      <c r="Z68" s="2715"/>
      <c r="AA68" s="2715"/>
      <c r="AB68" s="2715"/>
      <c r="AC68" s="2715"/>
    </row>
    <row r="69" spans="1:29" ht="15.75" thickTop="1">
      <c r="A69" s="479"/>
      <c r="B69" s="483" t="s">
        <v>1733</v>
      </c>
      <c r="C69" s="523" t="s">
        <v>1721</v>
      </c>
      <c r="D69" s="523" t="s">
        <v>1722</v>
      </c>
      <c r="E69" s="523" t="s">
        <v>1723</v>
      </c>
      <c r="F69" s="523" t="s">
        <v>1724</v>
      </c>
      <c r="G69" s="523" t="s">
        <v>1725</v>
      </c>
      <c r="H69" s="484"/>
      <c r="I69" s="484"/>
      <c r="J69" s="484"/>
      <c r="K69" s="485"/>
      <c r="L69" s="486"/>
      <c r="M69" s="487"/>
      <c r="N69" s="2743"/>
      <c r="O69" s="2743"/>
      <c r="P69" s="2752"/>
      <c r="Q69" s="2729"/>
      <c r="R69" s="2715"/>
      <c r="S69" s="2715"/>
      <c r="T69" s="2715"/>
      <c r="U69" s="2715"/>
      <c r="V69" s="2715"/>
      <c r="W69" s="2715"/>
      <c r="X69" s="2715"/>
      <c r="Y69" s="2715"/>
      <c r="Z69" s="2715"/>
      <c r="AA69" s="2715"/>
      <c r="AB69" s="2715"/>
      <c r="AC69" s="2715"/>
    </row>
    <row r="70" spans="1:29" ht="15.75" thickBot="1">
      <c r="A70" s="479"/>
      <c r="B70" s="488"/>
      <c r="C70" s="489">
        <v>100</v>
      </c>
      <c r="D70" s="489">
        <f>C70-$K20</f>
        <v>100</v>
      </c>
      <c r="E70" s="489">
        <f>D70-$K20</f>
        <v>100</v>
      </c>
      <c r="F70" s="489">
        <f>E70-$K20</f>
        <v>100</v>
      </c>
      <c r="G70" s="489">
        <f>F70-$K20</f>
        <v>100</v>
      </c>
      <c r="H70" s="489"/>
      <c r="I70" s="489"/>
      <c r="J70" s="489"/>
      <c r="K70" s="489"/>
      <c r="L70" s="489"/>
      <c r="M70" s="490"/>
      <c r="N70" s="2744"/>
      <c r="O70" s="2744"/>
      <c r="P70" s="2752"/>
      <c r="Q70" s="2729"/>
      <c r="R70" s="2715"/>
      <c r="S70" s="2715"/>
      <c r="T70" s="2715"/>
      <c r="U70" s="2715"/>
      <c r="V70" s="2715"/>
      <c r="W70" s="2715"/>
      <c r="X70" s="2715"/>
      <c r="Y70" s="2715"/>
      <c r="Z70" s="2715"/>
      <c r="AA70" s="2715"/>
      <c r="AB70" s="2715"/>
      <c r="AC70" s="2715"/>
    </row>
    <row r="71" spans="1:29" ht="15.75" thickTop="1">
      <c r="A71" s="479"/>
      <c r="B71" s="483" t="s">
        <v>1852</v>
      </c>
      <c r="C71" s="499"/>
      <c r="D71" s="499"/>
      <c r="E71" s="499"/>
      <c r="F71" s="499"/>
      <c r="G71" s="499"/>
      <c r="H71" s="528"/>
      <c r="I71" s="528"/>
      <c r="J71" s="528"/>
      <c r="K71" s="529"/>
      <c r="L71" s="530"/>
      <c r="M71" s="531"/>
      <c r="N71" s="2743"/>
      <c r="O71" s="2743"/>
      <c r="P71" s="2752"/>
      <c r="Q71" s="2729"/>
      <c r="R71" s="2715"/>
      <c r="S71" s="2715"/>
      <c r="T71" s="2715"/>
      <c r="U71" s="2715"/>
      <c r="V71" s="2715"/>
      <c r="W71" s="2715"/>
      <c r="X71" s="2715"/>
      <c r="Y71" s="2715"/>
      <c r="Z71" s="2715"/>
      <c r="AA71" s="2715"/>
      <c r="AB71" s="2715"/>
      <c r="AC71" s="2715"/>
    </row>
    <row r="72" spans="1:29" ht="15.75" thickBot="1">
      <c r="A72" s="479"/>
      <c r="B72" s="488"/>
      <c r="C72" s="489">
        <v>100</v>
      </c>
      <c r="D72" s="489">
        <f>C72-$K22</f>
        <v>100</v>
      </c>
      <c r="E72" s="489">
        <f>D72-$K22</f>
        <v>100</v>
      </c>
      <c r="F72" s="489">
        <f>E72-$K22</f>
        <v>100</v>
      </c>
      <c r="G72" s="489">
        <f>F72-$K22</f>
        <v>100</v>
      </c>
      <c r="H72" s="489"/>
      <c r="I72" s="489"/>
      <c r="J72" s="489"/>
      <c r="K72" s="489"/>
      <c r="L72" s="489"/>
      <c r="M72" s="490"/>
      <c r="N72" s="2744"/>
      <c r="O72" s="2744"/>
      <c r="P72" s="2752"/>
      <c r="Q72" s="2729"/>
      <c r="R72" s="2715"/>
      <c r="S72" s="2715"/>
      <c r="T72" s="2715"/>
      <c r="U72" s="2715"/>
      <c r="V72" s="2715"/>
      <c r="W72" s="2715"/>
      <c r="X72" s="2715"/>
      <c r="Y72" s="2715"/>
      <c r="Z72" s="2715"/>
      <c r="AA72" s="2715"/>
      <c r="AB72" s="2715"/>
      <c r="AC72" s="2715"/>
    </row>
    <row r="73" spans="1:29" s="106" customFormat="1" ht="15.75" thickTop="1">
      <c r="A73" s="524"/>
      <c r="B73" s="483">
        <f>B23</f>
        <v>111</v>
      </c>
      <c r="C73" s="494"/>
      <c r="D73" s="494"/>
      <c r="E73" s="494"/>
      <c r="F73" s="494"/>
      <c r="G73" s="499"/>
      <c r="H73" s="499"/>
      <c r="I73" s="499"/>
      <c r="J73" s="499"/>
      <c r="K73" s="499"/>
      <c r="L73" s="525"/>
      <c r="M73" s="526"/>
      <c r="N73" s="2742"/>
      <c r="O73" s="2742"/>
      <c r="P73" s="2752"/>
      <c r="Q73" s="2729"/>
      <c r="R73" s="2652"/>
      <c r="S73" s="2652"/>
      <c r="T73" s="2652"/>
      <c r="U73" s="2652"/>
      <c r="V73" s="2652"/>
      <c r="W73" s="2652"/>
      <c r="X73" s="2652"/>
      <c r="Y73" s="2652"/>
      <c r="Z73" s="2652"/>
      <c r="AA73" s="2652"/>
      <c r="AB73" s="2652"/>
      <c r="AC73" s="2652"/>
    </row>
    <row r="74" spans="1:29" s="106" customFormat="1" ht="15.75" thickBot="1">
      <c r="A74" s="524"/>
      <c r="B74" s="488"/>
      <c r="C74" s="505"/>
      <c r="D74" s="481"/>
      <c r="E74" s="481"/>
      <c r="F74" s="481"/>
      <c r="G74" s="481"/>
      <c r="H74" s="481"/>
      <c r="I74" s="481"/>
      <c r="J74" s="481"/>
      <c r="K74" s="481"/>
      <c r="L74" s="481"/>
      <c r="M74" s="482"/>
      <c r="N74" s="2744"/>
      <c r="O74" s="2744"/>
      <c r="P74" s="2752"/>
      <c r="Q74" s="2729"/>
      <c r="R74" s="2652"/>
      <c r="S74" s="2652"/>
      <c r="T74" s="2652"/>
      <c r="U74" s="2652"/>
      <c r="V74" s="2652"/>
      <c r="W74" s="2652"/>
      <c r="X74" s="2652"/>
      <c r="Y74" s="2652"/>
      <c r="Z74" s="2652"/>
      <c r="AA74" s="2652"/>
      <c r="AB74" s="2652"/>
      <c r="AC74" s="2652"/>
    </row>
    <row r="75" spans="1:29" s="106" customFormat="1" ht="15.75" thickTop="1">
      <c r="A75" s="524"/>
      <c r="B75" s="483">
        <f>B24</f>
        <v>111</v>
      </c>
      <c r="C75" s="494"/>
      <c r="D75" s="494"/>
      <c r="E75" s="494"/>
      <c r="F75" s="494"/>
      <c r="G75" s="499"/>
      <c r="H75" s="499"/>
      <c r="I75" s="499"/>
      <c r="J75" s="499"/>
      <c r="K75" s="499"/>
      <c r="L75" s="499"/>
      <c r="M75" s="526"/>
      <c r="N75" s="2742"/>
      <c r="O75" s="2742"/>
      <c r="P75" s="2752"/>
      <c r="Q75" s="2729"/>
      <c r="R75" s="2652"/>
      <c r="S75" s="2652"/>
      <c r="T75" s="2652"/>
      <c r="U75" s="2652"/>
      <c r="V75" s="2652"/>
      <c r="W75" s="2652"/>
      <c r="X75" s="2652"/>
      <c r="Y75" s="2652"/>
      <c r="Z75" s="2652"/>
      <c r="AA75" s="2652"/>
      <c r="AB75" s="2652"/>
      <c r="AC75" s="2652"/>
    </row>
    <row r="76" spans="1:29" s="106" customFormat="1" ht="15.75" thickBot="1">
      <c r="A76" s="524"/>
      <c r="B76" s="488"/>
      <c r="C76" s="505"/>
      <c r="D76" s="481"/>
      <c r="E76" s="481"/>
      <c r="F76" s="481"/>
      <c r="G76" s="481"/>
      <c r="H76" s="481"/>
      <c r="I76" s="481"/>
      <c r="J76" s="481"/>
      <c r="K76" s="481"/>
      <c r="L76" s="481"/>
      <c r="M76" s="482"/>
      <c r="N76" s="2744"/>
      <c r="O76" s="2744"/>
      <c r="P76" s="2752"/>
      <c r="Q76" s="2729"/>
      <c r="R76" s="2652"/>
      <c r="S76" s="2652"/>
      <c r="T76" s="2652"/>
      <c r="U76" s="2652"/>
      <c r="V76" s="2652"/>
      <c r="W76" s="2652"/>
      <c r="X76" s="2652"/>
      <c r="Y76" s="2652"/>
      <c r="Z76" s="2652"/>
      <c r="AA76" s="2652"/>
      <c r="AB76" s="2652"/>
      <c r="AC76" s="2652"/>
    </row>
    <row r="77" spans="1:29" s="418" customFormat="1" ht="15.75" thickTop="1">
      <c r="A77" s="498"/>
      <c r="B77" s="483">
        <f>B25</f>
        <v>111</v>
      </c>
      <c r="C77" s="499"/>
      <c r="D77" s="499"/>
      <c r="E77" s="499"/>
      <c r="F77" s="499"/>
      <c r="G77" s="499"/>
      <c r="H77" s="500"/>
      <c r="I77" s="500"/>
      <c r="J77" s="500"/>
      <c r="K77" s="500"/>
      <c r="L77" s="501"/>
      <c r="M77" s="502"/>
      <c r="N77" s="2745"/>
      <c r="O77" s="2745"/>
      <c r="P77" s="2753"/>
      <c r="Q77" s="2736"/>
      <c r="R77" s="2737"/>
      <c r="S77" s="2737"/>
      <c r="T77" s="2737"/>
      <c r="U77" s="2737"/>
      <c r="V77" s="2737"/>
      <c r="W77" s="2737"/>
      <c r="X77" s="2737"/>
      <c r="Y77" s="2737"/>
      <c r="Z77" s="2737"/>
      <c r="AA77" s="2737"/>
      <c r="AB77" s="2737"/>
      <c r="AC77" s="2737"/>
    </row>
    <row r="78" spans="1:29" s="418" customFormat="1" ht="15.75" thickBot="1">
      <c r="A78" s="498"/>
      <c r="B78" s="488"/>
      <c r="C78" s="505"/>
      <c r="D78" s="505"/>
      <c r="E78" s="505"/>
      <c r="F78" s="505"/>
      <c r="G78" s="481"/>
      <c r="H78" s="481"/>
      <c r="I78" s="481"/>
      <c r="J78" s="481"/>
      <c r="K78" s="481"/>
      <c r="L78" s="481"/>
      <c r="M78" s="482"/>
      <c r="N78" s="2745"/>
      <c r="O78" s="2745"/>
      <c r="P78" s="2753"/>
      <c r="Q78" s="2736"/>
      <c r="R78" s="2737"/>
      <c r="S78" s="2737"/>
      <c r="T78" s="2737"/>
      <c r="U78" s="2737"/>
      <c r="V78" s="2737"/>
      <c r="W78" s="2737"/>
      <c r="X78" s="2737"/>
      <c r="Y78" s="2737"/>
      <c r="Z78" s="2737"/>
      <c r="AA78" s="2737"/>
      <c r="AB78" s="2737"/>
      <c r="AC78" s="2737"/>
    </row>
    <row r="79" spans="1:29" ht="27.75" thickTop="1">
      <c r="A79" s="472" t="s">
        <v>1694</v>
      </c>
      <c r="B79" s="473" t="s">
        <v>1853</v>
      </c>
      <c r="C79" s="474" t="str">
        <f>C26</f>
        <v>车库</v>
      </c>
      <c r="D79" s="475"/>
      <c r="E79" s="475"/>
      <c r="F79" s="475"/>
      <c r="G79" s="475"/>
      <c r="H79" s="475"/>
      <c r="I79" s="475"/>
      <c r="J79" s="475"/>
      <c r="K79" s="476"/>
      <c r="L79" s="477"/>
      <c r="M79" s="478"/>
      <c r="N79" s="2743"/>
      <c r="O79" s="2743"/>
      <c r="P79" s="2752"/>
      <c r="Q79" s="2729"/>
      <c r="R79" s="2715"/>
      <c r="S79" s="2715"/>
      <c r="T79" s="2715"/>
      <c r="U79" s="2715"/>
      <c r="V79" s="2715"/>
      <c r="W79" s="2715"/>
      <c r="X79" s="2715"/>
      <c r="Y79" s="2715"/>
      <c r="Z79" s="2715"/>
      <c r="AA79" s="2715"/>
      <c r="AB79" s="2715"/>
      <c r="AC79" s="2715"/>
    </row>
    <row r="80" spans="1:29" ht="15.75" thickBot="1">
      <c r="A80" s="479"/>
      <c r="B80" s="488"/>
      <c r="C80" s="489">
        <v>100</v>
      </c>
      <c r="D80" s="489">
        <f t="shared" ref="D80:M80" si="17">C80-$K26</f>
        <v>100</v>
      </c>
      <c r="E80" s="489">
        <f t="shared" si="17"/>
        <v>100</v>
      </c>
      <c r="F80" s="489">
        <f t="shared" si="17"/>
        <v>100</v>
      </c>
      <c r="G80" s="489">
        <f t="shared" si="17"/>
        <v>100</v>
      </c>
      <c r="H80" s="489">
        <f t="shared" si="17"/>
        <v>100</v>
      </c>
      <c r="I80" s="489">
        <f t="shared" si="17"/>
        <v>100</v>
      </c>
      <c r="J80" s="489">
        <f t="shared" si="17"/>
        <v>100</v>
      </c>
      <c r="K80" s="489">
        <f t="shared" si="17"/>
        <v>100</v>
      </c>
      <c r="L80" s="489">
        <f t="shared" si="17"/>
        <v>100</v>
      </c>
      <c r="M80" s="490">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79"/>
      <c r="B81" s="483" t="s">
        <v>1854</v>
      </c>
      <c r="C81" s="605"/>
      <c r="D81" s="605"/>
      <c r="E81" s="605"/>
      <c r="F81" s="605"/>
      <c r="G81" s="605"/>
      <c r="H81" s="605"/>
      <c r="I81" s="605"/>
      <c r="J81" s="605"/>
      <c r="K81" s="606"/>
      <c r="L81" s="607"/>
      <c r="M81" s="608"/>
      <c r="N81" s="2742"/>
      <c r="O81" s="2742"/>
      <c r="P81" s="2752"/>
      <c r="Q81" s="2729"/>
      <c r="R81" s="2715"/>
      <c r="S81" s="2715"/>
      <c r="T81" s="2715"/>
      <c r="U81" s="2715"/>
      <c r="V81" s="2715"/>
      <c r="W81" s="2715"/>
      <c r="X81" s="2715"/>
      <c r="Y81" s="2715"/>
      <c r="Z81" s="2715"/>
      <c r="AA81" s="2715"/>
      <c r="AB81" s="2715"/>
      <c r="AC81" s="2715"/>
    </row>
    <row r="82" spans="1:29" s="418" customFormat="1" ht="15.75" thickBot="1">
      <c r="A82" s="498"/>
      <c r="B82" s="488"/>
      <c r="C82" s="505"/>
      <c r="D82" s="481"/>
      <c r="E82" s="481"/>
      <c r="F82" s="481"/>
      <c r="G82" s="481"/>
      <c r="H82" s="481"/>
      <c r="I82" s="481"/>
      <c r="J82" s="481"/>
      <c r="K82" s="481"/>
      <c r="L82" s="481"/>
      <c r="M82" s="482"/>
      <c r="N82" s="2744"/>
      <c r="O82" s="2744"/>
      <c r="P82" s="2753"/>
      <c r="Q82" s="2736"/>
      <c r="R82" s="2737"/>
      <c r="S82" s="2737"/>
      <c r="T82" s="2737"/>
      <c r="U82" s="2737"/>
      <c r="V82" s="2737"/>
      <c r="W82" s="2737"/>
      <c r="X82" s="2737"/>
      <c r="Y82" s="2737"/>
      <c r="Z82" s="2737"/>
      <c r="AA82" s="2737"/>
      <c r="AB82" s="2737"/>
      <c r="AC82" s="2737"/>
    </row>
    <row r="83" spans="1:29" ht="15" thickTop="1">
      <c r="A83" s="544"/>
      <c r="B83" s="483" t="s">
        <v>1740</v>
      </c>
      <c r="C83" s="499"/>
      <c r="D83" s="499"/>
      <c r="E83" s="528"/>
      <c r="F83" s="528"/>
      <c r="G83" s="528"/>
      <c r="H83" s="528"/>
      <c r="I83" s="528"/>
      <c r="J83" s="528"/>
      <c r="K83" s="529"/>
      <c r="L83" s="530"/>
      <c r="M83" s="531"/>
      <c r="N83" s="2743"/>
      <c r="O83" s="2743"/>
      <c r="P83" s="2752"/>
      <c r="Q83" s="2729"/>
      <c r="R83" s="2715"/>
      <c r="S83" s="2715"/>
      <c r="T83" s="2715"/>
      <c r="U83" s="2715"/>
      <c r="V83" s="2715"/>
      <c r="W83" s="2715"/>
      <c r="X83" s="2715"/>
      <c r="Y83" s="2715"/>
      <c r="Z83" s="2715"/>
      <c r="AA83" s="2715"/>
      <c r="AB83" s="2715"/>
      <c r="AC83" s="2715"/>
    </row>
    <row r="84" spans="1:29" ht="15.75" thickBot="1">
      <c r="A84" s="479"/>
      <c r="B84" s="488"/>
      <c r="C84" s="489">
        <v>100</v>
      </c>
      <c r="D84" s="489">
        <f t="shared" ref="D84:M84" si="18">C84-$K28</f>
        <v>100</v>
      </c>
      <c r="E84" s="489">
        <f t="shared" si="18"/>
        <v>100</v>
      </c>
      <c r="F84" s="489">
        <f t="shared" si="18"/>
        <v>100</v>
      </c>
      <c r="G84" s="489">
        <f t="shared" si="18"/>
        <v>100</v>
      </c>
      <c r="H84" s="489">
        <f t="shared" si="18"/>
        <v>100</v>
      </c>
      <c r="I84" s="489">
        <f t="shared" si="18"/>
        <v>100</v>
      </c>
      <c r="J84" s="489">
        <f t="shared" si="18"/>
        <v>100</v>
      </c>
      <c r="K84" s="489">
        <f t="shared" si="18"/>
        <v>100</v>
      </c>
      <c r="L84" s="489">
        <f t="shared" si="18"/>
        <v>100</v>
      </c>
      <c r="M84" s="490">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4"/>
      <c r="B85" s="483" t="s">
        <v>1855</v>
      </c>
      <c r="C85" s="523" t="str">
        <f>C86&amp;"(含)"&amp;"-"&amp;D86</f>
        <v>0.5(含)-0.6</v>
      </c>
      <c r="D85" s="523" t="str">
        <f>D86&amp;"(含)"&amp;"-"&amp;E86</f>
        <v>0.6(含)-0.7</v>
      </c>
      <c r="E85" s="523" t="str">
        <f>E86&amp;"(含)"&amp;"-"&amp;F86</f>
        <v>0.7(含)-0.8</v>
      </c>
      <c r="F85" s="523" t="str">
        <f>F86&amp;"(含)"&amp;"-"&amp;G86</f>
        <v>0.8(含)-0.9</v>
      </c>
      <c r="G85" s="523" t="str">
        <f>G86&amp;"(含)"&amp;"-"&amp;ROUND(H86,0)&amp;"(含)"</f>
        <v>0.9(含)-1(含)</v>
      </c>
      <c r="H85" s="523"/>
      <c r="I85" s="528"/>
      <c r="J85" s="528"/>
      <c r="K85" s="529"/>
      <c r="L85" s="530"/>
      <c r="M85" s="531"/>
      <c r="N85" s="2743"/>
      <c r="O85" s="2743"/>
      <c r="P85" s="2752"/>
      <c r="Q85" s="2729"/>
      <c r="R85" s="2715"/>
      <c r="S85" s="2715"/>
      <c r="T85" s="2715"/>
      <c r="U85" s="2715"/>
      <c r="V85" s="2715"/>
      <c r="W85" s="2715"/>
      <c r="X85" s="2715"/>
      <c r="Y85" s="2715"/>
      <c r="Z85" s="2715"/>
      <c r="AA85" s="2715"/>
      <c r="AB85" s="2715"/>
      <c r="AC85" s="2715"/>
    </row>
    <row r="86" spans="1:29">
      <c r="A86" s="544"/>
      <c r="B86" s="491"/>
      <c r="C86" s="548">
        <v>0.5</v>
      </c>
      <c r="D86" s="548">
        <v>0.6</v>
      </c>
      <c r="E86" s="548">
        <v>0.7</v>
      </c>
      <c r="F86" s="548">
        <v>0.8</v>
      </c>
      <c r="G86" s="548">
        <v>0.9</v>
      </c>
      <c r="H86" s="548">
        <v>1.0001</v>
      </c>
      <c r="I86" s="567"/>
      <c r="J86" s="567"/>
      <c r="K86" s="568"/>
      <c r="L86" s="569"/>
      <c r="M86" s="570"/>
      <c r="N86" s="2743"/>
      <c r="O86" s="2743"/>
      <c r="P86" s="2752"/>
      <c r="Q86" s="2729"/>
      <c r="R86" s="2715"/>
      <c r="S86" s="2715"/>
      <c r="T86" s="2715"/>
      <c r="U86" s="2715"/>
      <c r="V86" s="2715"/>
      <c r="W86" s="2715"/>
      <c r="X86" s="2715"/>
      <c r="Y86" s="2715"/>
      <c r="Z86" s="2715"/>
      <c r="AA86" s="2715"/>
      <c r="AB86" s="2715"/>
      <c r="AC86" s="2715"/>
    </row>
    <row r="87" spans="1:29" ht="15.75" thickBot="1">
      <c r="A87" s="479"/>
      <c r="B87" s="488"/>
      <c r="C87" s="527">
        <v>100</v>
      </c>
      <c r="D87" s="489">
        <f>C87+$K$29</f>
        <v>100</v>
      </c>
      <c r="E87" s="489">
        <f t="shared" ref="E87:M87" si="19">D87+$K$29</f>
        <v>100</v>
      </c>
      <c r="F87" s="489">
        <f t="shared" si="19"/>
        <v>100</v>
      </c>
      <c r="G87" s="489">
        <f t="shared" si="19"/>
        <v>100</v>
      </c>
      <c r="H87" s="489">
        <f t="shared" si="19"/>
        <v>100</v>
      </c>
      <c r="I87" s="489">
        <f t="shared" si="19"/>
        <v>100</v>
      </c>
      <c r="J87" s="489">
        <f t="shared" si="19"/>
        <v>100</v>
      </c>
      <c r="K87" s="489">
        <f t="shared" si="19"/>
        <v>100</v>
      </c>
      <c r="L87" s="489">
        <f t="shared" si="19"/>
        <v>100</v>
      </c>
      <c r="M87" s="489">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4"/>
      <c r="B88" s="491" t="s">
        <v>1856</v>
      </c>
      <c r="C88" s="475"/>
      <c r="D88" s="475"/>
      <c r="E88" s="475"/>
      <c r="F88" s="475"/>
      <c r="G88" s="475"/>
      <c r="H88" s="475"/>
      <c r="I88" s="475"/>
      <c r="J88" s="475"/>
      <c r="K88" s="476"/>
      <c r="L88" s="477"/>
      <c r="M88" s="478"/>
      <c r="N88" s="2743"/>
      <c r="O88" s="2743"/>
      <c r="P88" s="2752"/>
      <c r="Q88" s="2729"/>
      <c r="R88" s="2715"/>
      <c r="S88" s="2715"/>
      <c r="T88" s="2715"/>
      <c r="U88" s="2715"/>
      <c r="V88" s="2715"/>
      <c r="W88" s="2715"/>
      <c r="X88" s="2715"/>
      <c r="Y88" s="2715"/>
      <c r="Z88" s="2715"/>
      <c r="AA88" s="2715"/>
      <c r="AB88" s="2715"/>
      <c r="AC88" s="2715"/>
    </row>
    <row r="89" spans="1:29" ht="15.75" thickBot="1">
      <c r="A89" s="479"/>
      <c r="B89" s="488"/>
      <c r="C89" s="527">
        <v>100</v>
      </c>
      <c r="D89" s="489">
        <f t="shared" ref="D89:M89" si="20">C89+$K30</f>
        <v>100</v>
      </c>
      <c r="E89" s="489">
        <f t="shared" si="20"/>
        <v>100</v>
      </c>
      <c r="F89" s="489">
        <f t="shared" si="20"/>
        <v>100</v>
      </c>
      <c r="G89" s="489">
        <f t="shared" si="20"/>
        <v>100</v>
      </c>
      <c r="H89" s="489">
        <f t="shared" si="20"/>
        <v>100</v>
      </c>
      <c r="I89" s="489">
        <f t="shared" si="20"/>
        <v>100</v>
      </c>
      <c r="J89" s="489">
        <f t="shared" si="20"/>
        <v>100</v>
      </c>
      <c r="K89" s="489">
        <f t="shared" si="20"/>
        <v>100</v>
      </c>
      <c r="L89" s="489">
        <f t="shared" si="20"/>
        <v>100</v>
      </c>
      <c r="M89" s="489">
        <f t="shared" si="20"/>
        <v>100</v>
      </c>
      <c r="N89" s="2744"/>
      <c r="O89" s="2744"/>
      <c r="P89" s="2752"/>
      <c r="Q89" s="2729"/>
      <c r="R89" s="2715"/>
      <c r="S89" s="2715"/>
      <c r="T89" s="2715"/>
      <c r="U89" s="2715"/>
      <c r="V89" s="2715"/>
      <c r="W89" s="2715"/>
      <c r="X89" s="2715"/>
      <c r="Y89" s="2715"/>
      <c r="Z89" s="2715"/>
      <c r="AA89" s="2715"/>
      <c r="AB89" s="2715"/>
      <c r="AC89" s="2715"/>
    </row>
    <row r="90" spans="1:29" s="418" customFormat="1" ht="15" thickTop="1">
      <c r="A90" s="538"/>
      <c r="B90" s="483" t="s">
        <v>1857</v>
      </c>
      <c r="C90" s="523" t="str">
        <f>C91&amp;"(含)"&amp;"-"&amp;D91</f>
        <v>(含)-</v>
      </c>
      <c r="D90" s="523" t="str">
        <f t="shared" ref="D90:L90" si="21">D91&amp;"(含)"&amp;"-"&amp;E91</f>
        <v>(含)-</v>
      </c>
      <c r="E90" s="523" t="str">
        <f t="shared" si="21"/>
        <v>(含)-</v>
      </c>
      <c r="F90" s="523" t="str">
        <f t="shared" si="21"/>
        <v>(含)-</v>
      </c>
      <c r="G90" s="523" t="str">
        <f t="shared" si="21"/>
        <v>(含)-</v>
      </c>
      <c r="H90" s="523" t="str">
        <f t="shared" si="21"/>
        <v>(含)-</v>
      </c>
      <c r="I90" s="523" t="str">
        <f t="shared" si="21"/>
        <v>(含)-</v>
      </c>
      <c r="J90" s="523" t="str">
        <f t="shared" si="21"/>
        <v>(含)-</v>
      </c>
      <c r="K90" s="523" t="str">
        <f t="shared" si="21"/>
        <v>(含)-</v>
      </c>
      <c r="L90" s="523" t="str">
        <f t="shared" si="21"/>
        <v>(含)-</v>
      </c>
      <c r="M90" s="566" t="str">
        <f>M91&amp;"(含)"&amp;"-"&amp;P91</f>
        <v>(含)-</v>
      </c>
      <c r="N90" s="2745"/>
      <c r="O90" s="2745"/>
      <c r="P90" s="2753"/>
      <c r="Q90" s="2736"/>
      <c r="R90" s="2737"/>
      <c r="S90" s="2737"/>
      <c r="T90" s="2737"/>
      <c r="U90" s="2737"/>
      <c r="V90" s="2737"/>
      <c r="W90" s="2737"/>
      <c r="X90" s="2737"/>
      <c r="Y90" s="2737"/>
      <c r="Z90" s="2737"/>
      <c r="AA90" s="2737"/>
      <c r="AB90" s="2737"/>
      <c r="AC90" s="2737"/>
    </row>
    <row r="91" spans="1:29" s="418" customFormat="1">
      <c r="A91" s="538"/>
      <c r="B91" s="491"/>
      <c r="C91" s="540"/>
      <c r="D91" s="540"/>
      <c r="E91" s="540"/>
      <c r="F91" s="540"/>
      <c r="G91" s="540"/>
      <c r="H91" s="540"/>
      <c r="I91" s="540"/>
      <c r="J91" s="541"/>
      <c r="K91" s="541"/>
      <c r="L91" s="542"/>
      <c r="M91" s="543"/>
      <c r="N91" s="2745"/>
      <c r="O91" s="2745"/>
      <c r="P91" s="2753"/>
      <c r="Q91" s="2736"/>
      <c r="R91" s="2737"/>
      <c r="S91" s="2737"/>
      <c r="T91" s="2737"/>
      <c r="U91" s="2737"/>
      <c r="V91" s="2737"/>
      <c r="W91" s="2737"/>
      <c r="X91" s="2737"/>
      <c r="Y91" s="2737"/>
      <c r="Z91" s="2737"/>
      <c r="AA91" s="2737"/>
      <c r="AB91" s="2737"/>
      <c r="AC91" s="2737"/>
    </row>
    <row r="92" spans="1:29" s="418" customFormat="1" ht="15.75" thickBot="1">
      <c r="A92" s="498"/>
      <c r="B92" s="488"/>
      <c r="C92" s="505"/>
      <c r="D92" s="481"/>
      <c r="E92" s="481"/>
      <c r="F92" s="481"/>
      <c r="G92" s="481"/>
      <c r="H92" s="481"/>
      <c r="I92" s="481"/>
      <c r="J92" s="481"/>
      <c r="K92" s="481"/>
      <c r="L92" s="481"/>
      <c r="M92" s="482"/>
      <c r="N92" s="2745"/>
      <c r="O92" s="2745"/>
      <c r="P92" s="2753"/>
      <c r="Q92" s="2736"/>
      <c r="R92" s="2737"/>
      <c r="S92" s="2737"/>
      <c r="T92" s="2737"/>
      <c r="U92" s="2737"/>
      <c r="V92" s="2737"/>
      <c r="W92" s="2737"/>
      <c r="X92" s="2737"/>
      <c r="Y92" s="2737"/>
      <c r="Z92" s="2737"/>
      <c r="AA92" s="2737"/>
      <c r="AB92" s="2737"/>
      <c r="AC92" s="2737"/>
    </row>
    <row r="93" spans="1:29" ht="15" thickTop="1">
      <c r="A93" s="544"/>
      <c r="B93" s="483" t="s">
        <v>1858</v>
      </c>
      <c r="C93" s="499"/>
      <c r="D93" s="499"/>
      <c r="E93" s="528"/>
      <c r="F93" s="528"/>
      <c r="G93" s="528"/>
      <c r="H93" s="528"/>
      <c r="I93" s="528"/>
      <c r="J93" s="528"/>
      <c r="K93" s="529"/>
      <c r="L93" s="530"/>
      <c r="M93" s="531"/>
      <c r="N93" s="2743"/>
      <c r="O93" s="2743"/>
      <c r="P93" s="2752"/>
      <c r="Q93" s="2729"/>
      <c r="R93" s="2715"/>
      <c r="S93" s="2715"/>
      <c r="T93" s="2715"/>
      <c r="U93" s="2715"/>
      <c r="V93" s="2715"/>
      <c r="W93" s="2715"/>
      <c r="X93" s="2715"/>
      <c r="Y93" s="2715"/>
      <c r="Z93" s="2715"/>
      <c r="AA93" s="2715"/>
      <c r="AB93" s="2715"/>
      <c r="AC93" s="2715"/>
    </row>
    <row r="94" spans="1:29" ht="15.75" thickBot="1">
      <c r="A94" s="479"/>
      <c r="B94" s="488"/>
      <c r="C94" s="489">
        <v>100</v>
      </c>
      <c r="D94" s="489">
        <f t="shared" ref="D94:M94" si="22">C94-$K32</f>
        <v>100</v>
      </c>
      <c r="E94" s="489">
        <f t="shared" si="22"/>
        <v>100</v>
      </c>
      <c r="F94" s="489">
        <f t="shared" si="22"/>
        <v>100</v>
      </c>
      <c r="G94" s="489">
        <f t="shared" si="22"/>
        <v>100</v>
      </c>
      <c r="H94" s="489">
        <f t="shared" si="22"/>
        <v>100</v>
      </c>
      <c r="I94" s="489">
        <f t="shared" si="22"/>
        <v>100</v>
      </c>
      <c r="J94" s="489">
        <f t="shared" si="22"/>
        <v>100</v>
      </c>
      <c r="K94" s="489">
        <f t="shared" si="22"/>
        <v>100</v>
      </c>
      <c r="L94" s="489">
        <f t="shared" si="22"/>
        <v>100</v>
      </c>
      <c r="M94" s="490">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4"/>
      <c r="B95" s="483" t="s">
        <v>1859</v>
      </c>
      <c r="C95" s="475"/>
      <c r="D95" s="475"/>
      <c r="E95" s="475"/>
      <c r="F95" s="475"/>
      <c r="G95" s="475"/>
      <c r="H95" s="475"/>
      <c r="I95" s="475"/>
      <c r="J95" s="475"/>
      <c r="K95" s="476"/>
      <c r="L95" s="477"/>
      <c r="M95" s="478"/>
      <c r="N95" s="2743"/>
      <c r="O95" s="2743"/>
      <c r="P95" s="2752"/>
      <c r="Q95" s="2729"/>
      <c r="R95" s="2715"/>
      <c r="S95" s="2715"/>
      <c r="T95" s="2715"/>
      <c r="U95" s="2715"/>
      <c r="V95" s="2715"/>
      <c r="W95" s="2715"/>
      <c r="X95" s="2715"/>
      <c r="Y95" s="2715"/>
      <c r="Z95" s="2715"/>
      <c r="AA95" s="2715"/>
      <c r="AB95" s="2715"/>
      <c r="AC95" s="2715"/>
    </row>
    <row r="96" spans="1:29" ht="15.75" thickBot="1">
      <c r="A96" s="479"/>
      <c r="B96" s="488"/>
      <c r="C96" s="489">
        <v>100</v>
      </c>
      <c r="D96" s="489">
        <f>C96-$K33</f>
        <v>100</v>
      </c>
      <c r="E96" s="489">
        <f>D96-$K33</f>
        <v>100</v>
      </c>
      <c r="F96" s="489">
        <f>E96-$K33</f>
        <v>100</v>
      </c>
      <c r="G96" s="489">
        <f>F96-$K33</f>
        <v>100</v>
      </c>
      <c r="H96" s="489"/>
      <c r="I96" s="489"/>
      <c r="J96" s="489"/>
      <c r="K96" s="489"/>
      <c r="L96" s="489"/>
      <c r="M96" s="490"/>
      <c r="N96" s="2744"/>
      <c r="O96" s="2744"/>
      <c r="P96" s="2752"/>
      <c r="Q96" s="2729"/>
      <c r="R96" s="2715"/>
      <c r="S96" s="2715"/>
      <c r="T96" s="2715"/>
      <c r="U96" s="2715"/>
      <c r="V96" s="2715"/>
      <c r="W96" s="2715"/>
      <c r="X96" s="2715"/>
      <c r="Y96" s="2715"/>
      <c r="Z96" s="2715"/>
      <c r="AA96" s="2715"/>
      <c r="AB96" s="2715"/>
      <c r="AC96" s="2715"/>
    </row>
    <row r="97" spans="1:29" ht="15" thickTop="1">
      <c r="A97" s="544"/>
      <c r="B97" s="580">
        <f>B34</f>
        <v>111</v>
      </c>
      <c r="C97" s="494"/>
      <c r="D97" s="494"/>
      <c r="E97" s="494"/>
      <c r="F97" s="494"/>
      <c r="G97" s="499"/>
      <c r="H97" s="500"/>
      <c r="I97" s="500"/>
      <c r="J97" s="500"/>
      <c r="K97" s="500"/>
      <c r="L97" s="501"/>
      <c r="M97" s="502"/>
      <c r="N97" s="2744"/>
      <c r="O97" s="2744"/>
      <c r="P97" s="2757"/>
      <c r="Q97" s="2758"/>
      <c r="R97" s="2715"/>
      <c r="S97" s="2715"/>
      <c r="T97" s="2715"/>
      <c r="U97" s="2715"/>
      <c r="V97" s="2715"/>
      <c r="W97" s="2715"/>
      <c r="X97" s="2715"/>
      <c r="Y97" s="2715"/>
      <c r="Z97" s="2715"/>
      <c r="AA97" s="2715"/>
      <c r="AB97" s="2715"/>
      <c r="AC97" s="2715"/>
    </row>
    <row r="98" spans="1:29" ht="15.75" thickBot="1">
      <c r="A98" s="479"/>
      <c r="B98" s="488"/>
      <c r="C98" s="505"/>
      <c r="D98" s="481"/>
      <c r="E98" s="481"/>
      <c r="F98" s="481"/>
      <c r="G98" s="505"/>
      <c r="H98" s="507"/>
      <c r="I98" s="507"/>
      <c r="J98" s="507"/>
      <c r="K98" s="507"/>
      <c r="L98" s="507"/>
      <c r="M98" s="508"/>
      <c r="N98" s="2744"/>
      <c r="O98" s="2744"/>
      <c r="P98" s="2752"/>
      <c r="Q98" s="2729"/>
      <c r="R98" s="2715"/>
      <c r="S98" s="2715"/>
      <c r="T98" s="2715"/>
      <c r="U98" s="2715"/>
      <c r="V98" s="2715"/>
      <c r="W98" s="2715"/>
      <c r="X98" s="2715"/>
      <c r="Y98" s="2715"/>
      <c r="Z98" s="2715"/>
      <c r="AA98" s="2715"/>
      <c r="AB98" s="2715"/>
      <c r="AC98" s="2715"/>
    </row>
    <row r="99" spans="1:29" s="418" customFormat="1" ht="15" thickTop="1">
      <c r="A99" s="538"/>
      <c r="B99" s="483">
        <f>B35</f>
        <v>111</v>
      </c>
      <c r="C99" s="494"/>
      <c r="D99" s="494"/>
      <c r="E99" s="494"/>
      <c r="F99" s="494"/>
      <c r="G99" s="499"/>
      <c r="H99" s="500"/>
      <c r="I99" s="500"/>
      <c r="J99" s="500"/>
      <c r="K99" s="500"/>
      <c r="L99" s="501"/>
      <c r="M99" s="502"/>
      <c r="N99" s="2745"/>
      <c r="O99" s="2745"/>
      <c r="P99" s="2753"/>
      <c r="Q99" s="2736"/>
      <c r="R99" s="2737"/>
      <c r="S99" s="2737"/>
      <c r="T99" s="2737"/>
      <c r="U99" s="2737"/>
      <c r="V99" s="2737"/>
      <c r="W99" s="2737"/>
      <c r="X99" s="2737"/>
      <c r="Y99" s="2737"/>
      <c r="Z99" s="2737"/>
      <c r="AA99" s="2737"/>
      <c r="AB99" s="2737"/>
      <c r="AC99" s="2737"/>
    </row>
    <row r="100" spans="1:29" s="418" customFormat="1" ht="15.75" thickBot="1">
      <c r="A100" s="498"/>
      <c r="B100" s="480"/>
      <c r="C100" s="505"/>
      <c r="D100" s="481"/>
      <c r="E100" s="481"/>
      <c r="F100" s="481"/>
      <c r="G100" s="505"/>
      <c r="H100" s="507"/>
      <c r="I100" s="507"/>
      <c r="J100" s="507"/>
      <c r="K100" s="507"/>
      <c r="L100" s="507"/>
      <c r="M100" s="508"/>
      <c r="N100" s="2745"/>
      <c r="O100" s="2745"/>
      <c r="P100" s="2753"/>
      <c r="Q100" s="2736"/>
      <c r="R100" s="2737"/>
      <c r="S100" s="2737"/>
      <c r="T100" s="2737"/>
      <c r="U100" s="2737"/>
      <c r="V100" s="2737"/>
      <c r="W100" s="2737"/>
      <c r="X100" s="2737"/>
      <c r="Y100" s="2737"/>
      <c r="Z100" s="2737"/>
      <c r="AA100" s="2737"/>
      <c r="AB100" s="2737"/>
      <c r="AC100" s="2737"/>
    </row>
    <row r="101" spans="1:29" ht="15" thickTop="1">
      <c r="A101" s="544"/>
      <c r="B101" s="483">
        <f>B36</f>
        <v>111</v>
      </c>
      <c r="C101" s="499"/>
      <c r="D101" s="499"/>
      <c r="E101" s="499"/>
      <c r="F101" s="499"/>
      <c r="G101" s="499"/>
      <c r="H101" s="500"/>
      <c r="I101" s="500"/>
      <c r="J101" s="500"/>
      <c r="K101" s="500"/>
      <c r="L101" s="501"/>
      <c r="M101" s="502"/>
      <c r="N101" s="2743"/>
      <c r="O101" s="2743"/>
      <c r="P101" s="2752"/>
      <c r="Q101" s="2729"/>
      <c r="R101" s="2715"/>
      <c r="S101" s="2715"/>
      <c r="T101" s="2715"/>
      <c r="U101" s="2715"/>
      <c r="V101" s="2715"/>
      <c r="W101" s="2715"/>
      <c r="X101" s="2715"/>
      <c r="Y101" s="2715"/>
      <c r="Z101" s="2715"/>
      <c r="AA101" s="2715"/>
      <c r="AB101" s="2715"/>
      <c r="AC101" s="2715"/>
    </row>
    <row r="102" spans="1:29" ht="15.75" thickBot="1">
      <c r="A102" s="479"/>
      <c r="B102" s="488"/>
      <c r="C102" s="505"/>
      <c r="D102" s="505"/>
      <c r="E102" s="505"/>
      <c r="F102" s="505"/>
      <c r="G102" s="505"/>
      <c r="H102" s="507"/>
      <c r="I102" s="507"/>
      <c r="J102" s="507"/>
      <c r="K102" s="507"/>
      <c r="L102" s="507"/>
      <c r="M102" s="508"/>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1831</v>
      </c>
      <c r="B1" s="1219" t="s">
        <v>3335</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4"/>
      <c r="M2" s="2725"/>
      <c r="N2" s="2725"/>
      <c r="O2" s="2725"/>
      <c r="P2" s="695"/>
      <c r="Q2" s="695"/>
      <c r="R2" s="695"/>
      <c r="S2" s="695"/>
      <c r="T2" s="695"/>
      <c r="U2" s="695"/>
      <c r="V2" s="695"/>
      <c r="W2" s="695"/>
      <c r="X2" s="695"/>
      <c r="Y2" s="695"/>
      <c r="Z2" s="695"/>
      <c r="AA2" s="695"/>
      <c r="AB2" s="695"/>
      <c r="AC2" s="696"/>
    </row>
    <row r="3" spans="1:29" s="348" customFormat="1" ht="28.5" customHeight="1" thickBot="1">
      <c r="A3" s="199" t="s">
        <v>1464</v>
      </c>
      <c r="B3" s="554" t="e">
        <f>IF(C2="——",C37,ROUND(B2*10000/D3,0))</f>
        <v>#DIV/0!</v>
      </c>
      <c r="C3" s="350" t="s">
        <v>1768</v>
      </c>
      <c r="D3" s="349">
        <f>SUMIF('数据-汇总表'!$C19:$C33,D1,'数据-汇总表'!$E19:$E33)</f>
        <v>0</v>
      </c>
      <c r="E3" s="904"/>
      <c r="F3" s="905"/>
      <c r="G3" s="904"/>
      <c r="H3" s="904"/>
      <c r="I3" s="904"/>
      <c r="J3" s="904"/>
      <c r="K3" s="906"/>
      <c r="L3" s="2724"/>
      <c r="M3" s="2725"/>
      <c r="N3" s="2725"/>
      <c r="O3" s="2725"/>
      <c r="P3" s="695"/>
      <c r="Q3" s="695"/>
      <c r="R3" s="695"/>
      <c r="S3" s="695"/>
      <c r="T3" s="695"/>
      <c r="U3" s="695"/>
      <c r="V3" s="695"/>
      <c r="W3" s="695"/>
      <c r="X3" s="695"/>
      <c r="Y3" s="695"/>
      <c r="Z3" s="695"/>
      <c r="AA3" s="695"/>
      <c r="AB3" s="712"/>
      <c r="AC3" s="709"/>
    </row>
    <row r="4" spans="1:29" ht="15">
      <c r="A4" s="351" t="s">
        <v>1769</v>
      </c>
      <c r="B4" s="352"/>
      <c r="C4" s="3730" t="s">
        <v>1770</v>
      </c>
      <c r="D4" s="3742"/>
      <c r="E4" s="3743" t="s">
        <v>1771</v>
      </c>
      <c r="F4" s="3744"/>
      <c r="G4" s="3730" t="s">
        <v>1772</v>
      </c>
      <c r="H4" s="3742"/>
      <c r="I4" s="3730" t="s">
        <v>1773</v>
      </c>
      <c r="J4" s="3742"/>
      <c r="K4" s="555" t="s">
        <v>1774</v>
      </c>
      <c r="L4" s="2705"/>
      <c r="M4" s="2706"/>
      <c r="N4" s="2706"/>
      <c r="O4" s="2706"/>
      <c r="P4" s="3745" t="s">
        <v>1775</v>
      </c>
      <c r="Q4" s="3746"/>
      <c r="R4" s="3751" t="s">
        <v>1771</v>
      </c>
      <c r="S4" s="3752"/>
      <c r="T4" s="3751" t="s">
        <v>1772</v>
      </c>
      <c r="U4" s="3752"/>
      <c r="V4" s="3738" t="s">
        <v>1773</v>
      </c>
      <c r="W4" s="3738"/>
      <c r="X4" s="1351"/>
      <c r="Y4" s="3751" t="s">
        <v>1775</v>
      </c>
      <c r="Z4" s="3752"/>
      <c r="AA4" s="3739" t="s">
        <v>1771</v>
      </c>
      <c r="AB4" s="3740" t="s">
        <v>1772</v>
      </c>
      <c r="AC4" s="3739" t="s">
        <v>1773</v>
      </c>
    </row>
    <row r="5" spans="1:29" ht="15">
      <c r="A5" s="354"/>
      <c r="B5" s="355"/>
      <c r="C5" s="3759" t="s">
        <v>1673</v>
      </c>
      <c r="D5" s="3760"/>
      <c r="E5" s="3766" t="s">
        <v>1674</v>
      </c>
      <c r="F5" s="3767"/>
      <c r="G5" s="3759" t="s">
        <v>1675</v>
      </c>
      <c r="H5" s="3760"/>
      <c r="I5" s="3759" t="s">
        <v>1676</v>
      </c>
      <c r="J5" s="3760"/>
      <c r="K5" s="555"/>
      <c r="L5" s="2705"/>
      <c r="M5" s="2706"/>
      <c r="N5" s="2706"/>
      <c r="O5" s="2706"/>
      <c r="P5" s="3747"/>
      <c r="Q5" s="3748"/>
      <c r="R5" s="3753"/>
      <c r="S5" s="3754"/>
      <c r="T5" s="3753"/>
      <c r="U5" s="3754"/>
      <c r="V5" s="3738"/>
      <c r="W5" s="3738"/>
      <c r="X5" s="1351"/>
      <c r="Y5" s="3753"/>
      <c r="Z5" s="3754"/>
      <c r="AA5" s="3740"/>
      <c r="AB5" s="3740"/>
      <c r="AC5" s="3740"/>
    </row>
    <row r="6" spans="1:29" ht="15.75" thickBot="1">
      <c r="A6" s="356"/>
      <c r="B6" s="357"/>
      <c r="C6" s="3757" t="s">
        <v>1677</v>
      </c>
      <c r="D6" s="3758"/>
      <c r="E6" s="3764" t="s">
        <v>1677</v>
      </c>
      <c r="F6" s="3765"/>
      <c r="G6" s="3757" t="s">
        <v>1677</v>
      </c>
      <c r="H6" s="3758"/>
      <c r="I6" s="3757" t="s">
        <v>1677</v>
      </c>
      <c r="J6" s="3758"/>
      <c r="K6" s="555" t="s">
        <v>1678</v>
      </c>
      <c r="L6" s="2705"/>
      <c r="M6" s="2706"/>
      <c r="N6" s="2706"/>
      <c r="O6" s="2706"/>
      <c r="P6" s="3749"/>
      <c r="Q6" s="3750"/>
      <c r="R6" s="3753"/>
      <c r="S6" s="3754"/>
      <c r="T6" s="3755"/>
      <c r="U6" s="3756"/>
      <c r="V6" s="3738"/>
      <c r="W6" s="3738"/>
      <c r="X6" s="1351"/>
      <c r="Y6" s="3755"/>
      <c r="Z6" s="3756"/>
      <c r="AA6" s="3741"/>
      <c r="AB6" s="3741"/>
      <c r="AC6" s="3741"/>
    </row>
    <row r="7" spans="1:29" s="106" customFormat="1" ht="15.75" thickBot="1">
      <c r="A7" s="358" t="s">
        <v>1679</v>
      </c>
      <c r="B7" s="359"/>
      <c r="C7" s="360">
        <f>'数据-取费表'!B2</f>
        <v>44992</v>
      </c>
      <c r="D7" s="361">
        <v>100</v>
      </c>
      <c r="E7" s="362"/>
      <c r="F7" s="363">
        <f>SUMIF(46:46,YEAR(E7)&amp;"-"&amp;MONTH(E7),47:47)</f>
        <v>0</v>
      </c>
      <c r="G7" s="1970"/>
      <c r="H7" s="361">
        <f>SUMIF(46:46,YEAR(G7)&amp;"-"&amp;MONTH(G7),47:47)</f>
        <v>0</v>
      </c>
      <c r="I7" s="362"/>
      <c r="J7" s="361">
        <f>SUMIF(46:46,YEAR(I7)&amp;"-"&amp;MONTH(I7),47:47)</f>
        <v>0</v>
      </c>
      <c r="K7" s="556"/>
      <c r="L7" s="2707"/>
      <c r="M7" s="2708"/>
      <c r="N7" s="2708"/>
      <c r="O7" s="2708"/>
      <c r="P7" s="3761" t="s">
        <v>1680</v>
      </c>
      <c r="Q7" s="3763"/>
      <c r="R7" s="697" t="s">
        <v>14</v>
      </c>
      <c r="S7" s="698">
        <f t="shared" ref="S7:S14" si="0">F7</f>
        <v>0</v>
      </c>
      <c r="T7" s="697" t="s">
        <v>14</v>
      </c>
      <c r="U7" s="698">
        <f t="shared" ref="U7:U14" si="1">H7</f>
        <v>0</v>
      </c>
      <c r="V7" s="697" t="s">
        <v>14</v>
      </c>
      <c r="W7" s="698">
        <f t="shared" ref="W7:W14" si="2">J7</f>
        <v>0</v>
      </c>
      <c r="X7" s="699"/>
      <c r="Y7" s="3761" t="s">
        <v>1680</v>
      </c>
      <c r="Z7" s="3762"/>
      <c r="AA7" s="700" t="e">
        <f>D7/F7</f>
        <v>#DIV/0!</v>
      </c>
      <c r="AB7" s="700" t="e">
        <f>D7/H7</f>
        <v>#DIV/0!</v>
      </c>
      <c r="AC7" s="700" t="e">
        <f>D7/J7</f>
        <v>#DIV/0!</v>
      </c>
    </row>
    <row r="8" spans="1:29" s="106" customFormat="1" ht="15.75" thickBot="1">
      <c r="A8" s="358" t="s">
        <v>1681</v>
      </c>
      <c r="B8" s="359"/>
      <c r="C8" s="364"/>
      <c r="D8" s="361">
        <v>100</v>
      </c>
      <c r="E8" s="364"/>
      <c r="F8" s="363">
        <f>SUMIF(49:49,E8,50:50)-SUMIF(49:49,C8,50:50)+100</f>
        <v>100</v>
      </c>
      <c r="G8" s="364"/>
      <c r="H8" s="361">
        <f>SUMIF(49:49,G8,50:50)-SUMIF(49:49,C8,50:50)+100</f>
        <v>100</v>
      </c>
      <c r="I8" s="364"/>
      <c r="J8" s="361">
        <f>SUMIF(49:49,I8,50:50)-SUMIF(49:49,C8,50:50)+100</f>
        <v>100</v>
      </c>
      <c r="K8" s="556"/>
      <c r="L8" s="2707"/>
      <c r="M8" s="2708"/>
      <c r="N8" s="2708"/>
      <c r="O8" s="2708"/>
      <c r="P8" s="3761" t="s">
        <v>1683</v>
      </c>
      <c r="Q8" s="3762"/>
      <c r="R8" s="697" t="s">
        <v>14</v>
      </c>
      <c r="S8" s="698">
        <f t="shared" si="0"/>
        <v>100</v>
      </c>
      <c r="T8" s="697" t="s">
        <v>14</v>
      </c>
      <c r="U8" s="698">
        <f t="shared" si="1"/>
        <v>100</v>
      </c>
      <c r="V8" s="697" t="s">
        <v>14</v>
      </c>
      <c r="W8" s="698">
        <f t="shared" si="2"/>
        <v>100</v>
      </c>
      <c r="X8" s="699"/>
      <c r="Y8" s="3761" t="s">
        <v>1683</v>
      </c>
      <c r="Z8" s="3762"/>
      <c r="AA8" s="700">
        <f t="shared" ref="AA8:AA34" si="3">D8/F8</f>
        <v>1</v>
      </c>
      <c r="AB8" s="700">
        <f t="shared" ref="AB8:AB34" si="4">D8/H8</f>
        <v>1</v>
      </c>
      <c r="AC8" s="700">
        <f t="shared" ref="AC8:AC34" si="5">D8/J8</f>
        <v>1</v>
      </c>
    </row>
    <row r="9" spans="1:29" s="106" customFormat="1">
      <c r="A9" s="365" t="s">
        <v>1684</v>
      </c>
      <c r="B9" s="63" t="s">
        <v>1685</v>
      </c>
      <c r="C9" s="366"/>
      <c r="D9" s="122">
        <v>100</v>
      </c>
      <c r="E9" s="369"/>
      <c r="F9" s="368">
        <f>SUMIF(51:51,E9,52:52)-SUMIF(51:51,C9,52:52)+100</f>
        <v>100</v>
      </c>
      <c r="G9" s="369"/>
      <c r="H9" s="122">
        <f>SUMIF(51:51,G9,52:52)-SUMIF(51:51,C9,52:52)+100</f>
        <v>100</v>
      </c>
      <c r="I9" s="369"/>
      <c r="J9" s="122">
        <f>SUMIF(51:51,I9,52:52)-SUMIF(51:51,C9,52:52)+100</f>
        <v>100</v>
      </c>
      <c r="K9" s="556"/>
      <c r="L9" s="2707"/>
      <c r="M9" s="2708"/>
      <c r="N9" s="2708"/>
      <c r="O9" s="2762"/>
      <c r="P9" s="3733" t="s">
        <v>1686</v>
      </c>
      <c r="Q9" s="1339" t="str">
        <f t="shared" ref="Q9:Q14" si="6">B9</f>
        <v>用途</v>
      </c>
      <c r="R9" s="697" t="s">
        <v>14</v>
      </c>
      <c r="S9" s="698">
        <f t="shared" si="0"/>
        <v>100</v>
      </c>
      <c r="T9" s="697" t="s">
        <v>14</v>
      </c>
      <c r="U9" s="698">
        <f t="shared" si="1"/>
        <v>100</v>
      </c>
      <c r="V9" s="697" t="s">
        <v>14</v>
      </c>
      <c r="W9" s="698">
        <f t="shared" si="2"/>
        <v>100</v>
      </c>
      <c r="X9" s="699"/>
      <c r="Y9" s="3614" t="s">
        <v>1687</v>
      </c>
      <c r="Z9" s="52" t="str">
        <f t="shared" ref="Z9:Z14" si="7">Q9</f>
        <v>用途</v>
      </c>
      <c r="AA9" s="700">
        <f t="shared" si="3"/>
        <v>1</v>
      </c>
      <c r="AB9" s="700">
        <f t="shared" si="4"/>
        <v>1</v>
      </c>
      <c r="AC9" s="700">
        <f t="shared" si="5"/>
        <v>1</v>
      </c>
    </row>
    <row r="10" spans="1:29" s="374" customFormat="1" ht="27">
      <c r="A10" s="370"/>
      <c r="B10" s="371" t="s">
        <v>1688</v>
      </c>
      <c r="C10" s="3424"/>
      <c r="D10" s="123">
        <v>100</v>
      </c>
      <c r="E10" s="3424"/>
      <c r="F10" s="372">
        <f>SUMIF(53:53,E10,54:54)-SUMIF(53:53,C10,54:54)+100</f>
        <v>100</v>
      </c>
      <c r="G10" s="3424"/>
      <c r="H10" s="123">
        <f>SUMIF(53:53,G10,54:54)-SUMIF(53:53,C10,54:54)+100</f>
        <v>100</v>
      </c>
      <c r="I10" s="3424"/>
      <c r="J10" s="123">
        <f>SUMIF(53:53,I10,54:54)-SUMIF(53:53,C10,54:54)+100</f>
        <v>100</v>
      </c>
      <c r="K10" s="556"/>
      <c r="L10" s="2709"/>
      <c r="M10" s="2710"/>
      <c r="N10" s="2710"/>
      <c r="O10" s="2763"/>
      <c r="P10" s="3733"/>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375"/>
      <c r="B11" s="1889">
        <v>111</v>
      </c>
      <c r="C11" s="379"/>
      <c r="D11" s="123">
        <v>100</v>
      </c>
      <c r="E11" s="416"/>
      <c r="F11" s="372">
        <f>SUMIF(55:55,E11,56:56)-SUMIF(55:55,C11,56:56)+100</f>
        <v>100</v>
      </c>
      <c r="G11" s="416"/>
      <c r="H11" s="123">
        <f>SUMIF(55:55,G11,56:56)-SUMIF(55:55,C11,56:56)+100</f>
        <v>100</v>
      </c>
      <c r="I11" s="416"/>
      <c r="J11" s="123">
        <f>SUMIF(55:55,I11,56:56)-SUMIF(55:55,C11,56:56)+100</f>
        <v>100</v>
      </c>
      <c r="K11" s="558"/>
      <c r="L11" s="2711"/>
      <c r="M11" s="2706"/>
      <c r="N11" s="2706"/>
      <c r="O11" s="2764"/>
      <c r="P11" s="3733"/>
      <c r="Q11" s="1339">
        <f t="shared" si="6"/>
        <v>111</v>
      </c>
      <c r="R11" s="697" t="s">
        <v>14</v>
      </c>
      <c r="S11" s="698">
        <f t="shared" si="0"/>
        <v>100</v>
      </c>
      <c r="T11" s="697" t="s">
        <v>14</v>
      </c>
      <c r="U11" s="698">
        <f t="shared" si="1"/>
        <v>100</v>
      </c>
      <c r="V11" s="697" t="s">
        <v>14</v>
      </c>
      <c r="W11" s="698">
        <f t="shared" si="2"/>
        <v>100</v>
      </c>
      <c r="X11" s="699"/>
      <c r="Y11" s="3614"/>
      <c r="Z11" s="52">
        <f t="shared" si="7"/>
        <v>111</v>
      </c>
      <c r="AA11" s="700">
        <f t="shared" si="3"/>
        <v>1</v>
      </c>
      <c r="AB11" s="700">
        <f t="shared" si="4"/>
        <v>1</v>
      </c>
      <c r="AC11" s="700">
        <f t="shared" si="5"/>
        <v>1</v>
      </c>
    </row>
    <row r="12" spans="1:29" s="106" customFormat="1" ht="15">
      <c r="A12" s="378"/>
      <c r="B12" s="1889">
        <v>111</v>
      </c>
      <c r="C12" s="379"/>
      <c r="D12" s="380">
        <v>100</v>
      </c>
      <c r="E12" s="416"/>
      <c r="F12" s="372">
        <f>SUMIF(57:57,E12,58:58)-SUMIF(57:57,C12,58:58)+100</f>
        <v>100</v>
      </c>
      <c r="G12" s="416"/>
      <c r="H12" s="123">
        <f>SUMIF(57:57,G12,58:58)-SUMIF(57:57,C12,58:58)+100</f>
        <v>100</v>
      </c>
      <c r="I12" s="416"/>
      <c r="J12" s="123">
        <f>SUMIF(57:57,I12,58:58)-SUMIF(57:57,C12,58:58)+100</f>
        <v>100</v>
      </c>
      <c r="K12" s="558"/>
      <c r="L12" s="2707"/>
      <c r="M12" s="2708"/>
      <c r="N12" s="2708"/>
      <c r="O12" s="2762"/>
      <c r="P12" s="3733"/>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75" thickBot="1">
      <c r="A13" s="375"/>
      <c r="B13" s="1889">
        <v>111</v>
      </c>
      <c r="C13" s="381"/>
      <c r="D13" s="382">
        <v>100</v>
      </c>
      <c r="E13" s="416"/>
      <c r="F13" s="372">
        <f>SUMIF(59:59,E13,60:60)-SUMIF(59:59,C13,60:60)+100</f>
        <v>100</v>
      </c>
      <c r="G13" s="1971"/>
      <c r="H13" s="385">
        <f>SUMIF(59:59,G13,60:60)-SUMIF(59:59,C13,60:60)+100</f>
        <v>100</v>
      </c>
      <c r="I13" s="416"/>
      <c r="J13" s="382">
        <f>SUMIF(59:59,I13,60:60)-SUMIF(59:59,C13,60:60)+100</f>
        <v>100</v>
      </c>
      <c r="K13" s="558"/>
      <c r="L13" s="2712"/>
      <c r="M13" s="2706"/>
      <c r="N13" s="2706"/>
      <c r="O13" s="2764"/>
      <c r="P13" s="3733"/>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85.5">
      <c r="A14" s="387" t="s">
        <v>1690</v>
      </c>
      <c r="B14" s="61" t="s">
        <v>1833</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59"/>
      <c r="L14" s="2712"/>
      <c r="M14" s="2706"/>
      <c r="N14" s="2706"/>
      <c r="O14" s="2764"/>
      <c r="P14" s="3734" t="s">
        <v>1691</v>
      </c>
      <c r="Q14" s="1348" t="str">
        <f t="shared" si="6"/>
        <v>交通便捷度</v>
      </c>
      <c r="R14" s="701" t="s">
        <v>14</v>
      </c>
      <c r="S14" s="702">
        <f t="shared" si="0"/>
        <v>100</v>
      </c>
      <c r="T14" s="701" t="s">
        <v>14</v>
      </c>
      <c r="U14" s="702">
        <f t="shared" si="1"/>
        <v>100</v>
      </c>
      <c r="V14" s="701" t="s">
        <v>14</v>
      </c>
      <c r="W14" s="702">
        <f t="shared" si="2"/>
        <v>100</v>
      </c>
      <c r="X14" s="1351"/>
      <c r="Y14" s="3734" t="s">
        <v>1691</v>
      </c>
      <c r="Z14" s="1352" t="str">
        <f t="shared" si="7"/>
        <v>交通便捷度</v>
      </c>
      <c r="AA14" s="1349">
        <f t="shared" si="3"/>
        <v>1</v>
      </c>
      <c r="AB14" s="1349">
        <f t="shared" si="4"/>
        <v>1</v>
      </c>
      <c r="AC14" s="1349">
        <f t="shared" si="5"/>
        <v>1</v>
      </c>
    </row>
    <row r="15" spans="1:29" ht="15">
      <c r="A15" s="375"/>
      <c r="B15" s="393"/>
      <c r="C15" s="394"/>
      <c r="D15" s="395"/>
      <c r="E15" s="394"/>
      <c r="F15" s="396"/>
      <c r="G15" s="394"/>
      <c r="H15" s="397"/>
      <c r="I15" s="394"/>
      <c r="J15" s="395"/>
      <c r="K15" s="560"/>
      <c r="L15" s="2712"/>
      <c r="M15" s="2706"/>
      <c r="N15" s="2706"/>
      <c r="O15" s="2764"/>
      <c r="P15" s="3735"/>
      <c r="Q15" s="1348"/>
      <c r="R15" s="701"/>
      <c r="S15" s="702"/>
      <c r="T15" s="701"/>
      <c r="U15" s="702"/>
      <c r="V15" s="701"/>
      <c r="W15" s="702"/>
      <c r="X15" s="1351"/>
      <c r="Y15" s="3735"/>
      <c r="Z15" s="1352"/>
      <c r="AA15" s="1349">
        <v>1</v>
      </c>
      <c r="AB15" s="1349">
        <v>1</v>
      </c>
      <c r="AC15" s="1349">
        <v>1</v>
      </c>
    </row>
    <row r="16" spans="1:29" ht="42.75">
      <c r="A16" s="375"/>
      <c r="B16" s="398" t="s">
        <v>1812</v>
      </c>
      <c r="C16" s="1896"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59"/>
      <c r="L16" s="2712"/>
      <c r="M16" s="2706"/>
      <c r="N16" s="2706"/>
      <c r="O16" s="2764"/>
      <c r="P16" s="3735"/>
      <c r="Q16" s="1348" t="str">
        <f>B16</f>
        <v>公共配套设施</v>
      </c>
      <c r="R16" s="701" t="s">
        <v>14</v>
      </c>
      <c r="S16" s="702">
        <f>F16</f>
        <v>100</v>
      </c>
      <c r="T16" s="701" t="s">
        <v>14</v>
      </c>
      <c r="U16" s="702">
        <f>H16</f>
        <v>100</v>
      </c>
      <c r="V16" s="701" t="s">
        <v>14</v>
      </c>
      <c r="W16" s="702">
        <f>J16</f>
        <v>100</v>
      </c>
      <c r="X16" s="1351"/>
      <c r="Y16" s="3735"/>
      <c r="Z16" s="1352" t="str">
        <f>Q16</f>
        <v>公共配套设施</v>
      </c>
      <c r="AA16" s="1349">
        <f t="shared" si="3"/>
        <v>1</v>
      </c>
      <c r="AB16" s="1349">
        <f t="shared" si="4"/>
        <v>1</v>
      </c>
      <c r="AC16" s="1349">
        <f t="shared" si="5"/>
        <v>1</v>
      </c>
    </row>
    <row r="17" spans="1:29" ht="15">
      <c r="A17" s="375"/>
      <c r="B17" s="403"/>
      <c r="C17" s="1897"/>
      <c r="D17" s="395"/>
      <c r="E17" s="394"/>
      <c r="F17" s="396"/>
      <c r="G17" s="394"/>
      <c r="H17" s="395"/>
      <c r="I17" s="394"/>
      <c r="J17" s="395"/>
      <c r="K17" s="560"/>
      <c r="L17" s="2712"/>
      <c r="M17" s="2706"/>
      <c r="N17" s="2706"/>
      <c r="O17" s="2764"/>
      <c r="P17" s="3735"/>
      <c r="Q17" s="1348"/>
      <c r="R17" s="701"/>
      <c r="S17" s="702"/>
      <c r="T17" s="701"/>
      <c r="U17" s="702"/>
      <c r="V17" s="701"/>
      <c r="W17" s="702"/>
      <c r="X17" s="1351"/>
      <c r="Y17" s="3735"/>
      <c r="Z17" s="1352"/>
      <c r="AA17" s="1349">
        <v>1</v>
      </c>
      <c r="AB17" s="1349">
        <v>1</v>
      </c>
      <c r="AC17" s="1349">
        <v>1</v>
      </c>
    </row>
    <row r="18" spans="1:29" ht="28.5">
      <c r="A18" s="375"/>
      <c r="B18" s="1127" t="s">
        <v>1813</v>
      </c>
      <c r="C18" s="1896"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59"/>
      <c r="L18" s="2712"/>
      <c r="M18" s="2706"/>
      <c r="N18" s="2706"/>
      <c r="O18" s="2764"/>
      <c r="P18" s="3735"/>
      <c r="Q18" s="1348" t="str">
        <f>B18</f>
        <v>基础设施水平</v>
      </c>
      <c r="R18" s="701" t="s">
        <v>14</v>
      </c>
      <c r="S18" s="702">
        <f>F18</f>
        <v>100</v>
      </c>
      <c r="T18" s="701" t="s">
        <v>14</v>
      </c>
      <c r="U18" s="702">
        <f>H18</f>
        <v>100</v>
      </c>
      <c r="V18" s="701" t="s">
        <v>14</v>
      </c>
      <c r="W18" s="702">
        <f>J18</f>
        <v>100</v>
      </c>
      <c r="X18" s="1351"/>
      <c r="Y18" s="3735"/>
      <c r="Z18" s="1352" t="str">
        <f>Q18</f>
        <v>基础设施水平</v>
      </c>
      <c r="AA18" s="1349">
        <f t="shared" ref="AA18" si="8">D18/F18</f>
        <v>1</v>
      </c>
      <c r="AB18" s="1349">
        <f t="shared" ref="AB18" si="9">D18/H18</f>
        <v>1</v>
      </c>
      <c r="AC18" s="1349">
        <f t="shared" ref="AC18" si="10">D18/J18</f>
        <v>1</v>
      </c>
    </row>
    <row r="19" spans="1:29" ht="15">
      <c r="A19" s="375"/>
      <c r="B19" s="1127"/>
      <c r="C19" s="1897"/>
      <c r="D19" s="397"/>
      <c r="E19" s="1897"/>
      <c r="F19" s="400"/>
      <c r="G19" s="1897"/>
      <c r="H19" s="395"/>
      <c r="I19" s="394"/>
      <c r="J19" s="395"/>
      <c r="K19" s="1126"/>
      <c r="L19" s="2712"/>
      <c r="M19" s="2706"/>
      <c r="N19" s="2706"/>
      <c r="O19" s="2764"/>
      <c r="P19" s="3735"/>
      <c r="Q19" s="1348"/>
      <c r="R19" s="701"/>
      <c r="S19" s="702"/>
      <c r="T19" s="701"/>
      <c r="U19" s="702"/>
      <c r="V19" s="701"/>
      <c r="W19" s="702"/>
      <c r="X19" s="1351"/>
      <c r="Y19" s="3735"/>
      <c r="Z19" s="1352"/>
      <c r="AA19" s="1349">
        <v>1</v>
      </c>
      <c r="AB19" s="1349">
        <v>1</v>
      </c>
      <c r="AC19" s="1349">
        <v>1</v>
      </c>
    </row>
    <row r="20" spans="1:29" ht="57">
      <c r="A20" s="375"/>
      <c r="B20" s="398" t="s">
        <v>1834</v>
      </c>
      <c r="C20" s="1896"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59"/>
      <c r="L20" s="2712"/>
      <c r="M20" s="2706"/>
      <c r="N20" s="2706"/>
      <c r="O20" s="2764"/>
      <c r="P20" s="3735"/>
      <c r="Q20" s="1348" t="str">
        <f>B20</f>
        <v>自然及人文环境</v>
      </c>
      <c r="R20" s="701" t="s">
        <v>14</v>
      </c>
      <c r="S20" s="702">
        <f>F20</f>
        <v>100</v>
      </c>
      <c r="T20" s="701" t="s">
        <v>14</v>
      </c>
      <c r="U20" s="702">
        <f>H20</f>
        <v>100</v>
      </c>
      <c r="V20" s="701" t="s">
        <v>14</v>
      </c>
      <c r="W20" s="702">
        <f>J20</f>
        <v>100</v>
      </c>
      <c r="X20" s="1351"/>
      <c r="Y20" s="3735"/>
      <c r="Z20" s="1352" t="str">
        <f>Q20</f>
        <v>自然及人文环境</v>
      </c>
      <c r="AA20" s="1349">
        <f t="shared" si="3"/>
        <v>1</v>
      </c>
      <c r="AB20" s="1349">
        <f t="shared" si="4"/>
        <v>1</v>
      </c>
      <c r="AC20" s="1349">
        <f t="shared" si="5"/>
        <v>1</v>
      </c>
    </row>
    <row r="21" spans="1:29" ht="15">
      <c r="A21" s="375"/>
      <c r="B21" s="403"/>
      <c r="C21" s="394"/>
      <c r="D21" s="395"/>
      <c r="E21" s="394"/>
      <c r="F21" s="396"/>
      <c r="G21" s="394"/>
      <c r="H21" s="395"/>
      <c r="I21" s="394"/>
      <c r="J21" s="395"/>
      <c r="K21" s="560"/>
      <c r="L21" s="2712"/>
      <c r="M21" s="2706"/>
      <c r="N21" s="2706"/>
      <c r="O21" s="2764"/>
      <c r="P21" s="3735"/>
      <c r="Q21" s="1348"/>
      <c r="R21" s="701"/>
      <c r="S21" s="702"/>
      <c r="T21" s="701"/>
      <c r="U21" s="702"/>
      <c r="V21" s="701"/>
      <c r="W21" s="702"/>
      <c r="X21" s="1351"/>
      <c r="Y21" s="3735"/>
      <c r="Z21" s="1352"/>
      <c r="AA21" s="1349">
        <v>1</v>
      </c>
      <c r="AB21" s="1349">
        <v>1</v>
      </c>
      <c r="AC21" s="1349">
        <v>1</v>
      </c>
    </row>
    <row r="22" spans="1:29" ht="15">
      <c r="A22" s="375"/>
      <c r="B22" s="398" t="s">
        <v>1835</v>
      </c>
      <c r="C22" s="561"/>
      <c r="D22" s="397">
        <v>100</v>
      </c>
      <c r="E22" s="561"/>
      <c r="F22" s="408">
        <f>SUMIF(69:69,E22,70:70)-SUMIF(69:69,C22,70:70)+100</f>
        <v>100</v>
      </c>
      <c r="G22" s="561"/>
      <c r="H22" s="382">
        <f>SUMIF(69:69,G22,70:70)-SUMIF(69:69,C22,70:70)+100</f>
        <v>100</v>
      </c>
      <c r="I22" s="561"/>
      <c r="J22" s="382">
        <f>SUMIF(69:69,I22,70:70)-SUMIF(69:69,C22,70:70)+100</f>
        <v>100</v>
      </c>
      <c r="K22" s="557"/>
      <c r="L22" s="2712"/>
      <c r="M22" s="2706"/>
      <c r="N22" s="2706"/>
      <c r="O22" s="2764"/>
      <c r="P22" s="3735"/>
      <c r="Q22" s="1348" t="str">
        <f>B22</f>
        <v>楼层</v>
      </c>
      <c r="R22" s="701" t="s">
        <v>14</v>
      </c>
      <c r="S22" s="702">
        <f>F22</f>
        <v>100</v>
      </c>
      <c r="T22" s="701" t="s">
        <v>14</v>
      </c>
      <c r="U22" s="702">
        <f>H22</f>
        <v>100</v>
      </c>
      <c r="V22" s="701" t="s">
        <v>14</v>
      </c>
      <c r="W22" s="702">
        <f>J22</f>
        <v>100</v>
      </c>
      <c r="X22" s="1351"/>
      <c r="Y22" s="3735"/>
      <c r="Z22" s="1352" t="str">
        <f>Q22</f>
        <v>楼层</v>
      </c>
      <c r="AA22" s="1349">
        <f t="shared" si="3"/>
        <v>1</v>
      </c>
      <c r="AB22" s="1349">
        <f t="shared" si="4"/>
        <v>1</v>
      </c>
      <c r="AC22" s="1349">
        <f t="shared" si="5"/>
        <v>1</v>
      </c>
    </row>
    <row r="23" spans="1:29" ht="15">
      <c r="A23" s="354"/>
      <c r="B23" s="1889">
        <v>111</v>
      </c>
      <c r="C23" s="379"/>
      <c r="D23" s="382">
        <v>100</v>
      </c>
      <c r="E23" s="381"/>
      <c r="F23" s="408">
        <f>SUMIF(71:71,E23,72:72)-SUMIF(71:71,C23,72:72)+100</f>
        <v>100</v>
      </c>
      <c r="G23" s="381"/>
      <c r="H23" s="382">
        <f>SUMIF(71:71,G23,72:72)-SUMIF(71:71,C23,72:72)+100</f>
        <v>100</v>
      </c>
      <c r="I23" s="381"/>
      <c r="J23" s="382">
        <f>SUMIF(71:71,I23,72:72)-SUMIF(71:71,C23,72:72)+100</f>
        <v>100</v>
      </c>
      <c r="K23" s="558"/>
      <c r="L23" s="2712"/>
      <c r="M23" s="2706"/>
      <c r="N23" s="2706"/>
      <c r="O23" s="2764"/>
      <c r="P23" s="3735"/>
      <c r="Q23" s="1348">
        <f>B23</f>
        <v>111</v>
      </c>
      <c r="R23" s="701" t="s">
        <v>14</v>
      </c>
      <c r="S23" s="702">
        <f>F23</f>
        <v>100</v>
      </c>
      <c r="T23" s="701" t="s">
        <v>14</v>
      </c>
      <c r="U23" s="702">
        <f>H23</f>
        <v>100</v>
      </c>
      <c r="V23" s="701" t="s">
        <v>14</v>
      </c>
      <c r="W23" s="702">
        <f>J23</f>
        <v>100</v>
      </c>
      <c r="X23" s="1351"/>
      <c r="Y23" s="3735"/>
      <c r="Z23" s="1352">
        <f>Q23</f>
        <v>111</v>
      </c>
      <c r="AA23" s="1349">
        <f t="shared" si="3"/>
        <v>1</v>
      </c>
      <c r="AB23" s="1349">
        <f t="shared" si="4"/>
        <v>1</v>
      </c>
      <c r="AC23" s="1349">
        <f t="shared" si="5"/>
        <v>1</v>
      </c>
    </row>
    <row r="24" spans="1:29" ht="15">
      <c r="A24" s="375"/>
      <c r="B24" s="1889">
        <v>111</v>
      </c>
      <c r="C24" s="379"/>
      <c r="D24" s="382">
        <v>100</v>
      </c>
      <c r="E24" s="381"/>
      <c r="F24" s="408">
        <f>SUMIF(73:73,E24,74:74)-SUMIF(73:73,C24,74:74)+100</f>
        <v>100</v>
      </c>
      <c r="G24" s="381"/>
      <c r="H24" s="382">
        <f>SUMIF(73:73,G24,74:74)-SUMIF(73:73,C24,74:74)+100</f>
        <v>100</v>
      </c>
      <c r="I24" s="381"/>
      <c r="J24" s="382">
        <f>SUMIF(73:73,I24,74:74)-SUMIF(73:73,C24,74:74)+100</f>
        <v>100</v>
      </c>
      <c r="K24" s="558"/>
      <c r="L24" s="2712"/>
      <c r="M24" s="2706"/>
      <c r="N24" s="2706"/>
      <c r="O24" s="2764"/>
      <c r="P24" s="3735"/>
      <c r="Q24" s="1348">
        <f t="shared" ref="Q24:Q34" si="11">B24</f>
        <v>111</v>
      </c>
      <c r="R24" s="701" t="s">
        <v>14</v>
      </c>
      <c r="S24" s="702">
        <f>F24</f>
        <v>100</v>
      </c>
      <c r="T24" s="701" t="s">
        <v>14</v>
      </c>
      <c r="U24" s="702">
        <f>H24</f>
        <v>100</v>
      </c>
      <c r="V24" s="701" t="s">
        <v>14</v>
      </c>
      <c r="W24" s="702">
        <f>J24</f>
        <v>100</v>
      </c>
      <c r="X24" s="1351"/>
      <c r="Y24" s="3735"/>
      <c r="Z24" s="1352">
        <f>Q24</f>
        <v>111</v>
      </c>
      <c r="AA24" s="1349">
        <f t="shared" si="3"/>
        <v>1</v>
      </c>
      <c r="AB24" s="1349">
        <f t="shared" si="4"/>
        <v>1</v>
      </c>
      <c r="AC24" s="1349">
        <f t="shared" si="5"/>
        <v>1</v>
      </c>
    </row>
    <row r="25" spans="1:29" s="106" customFormat="1" ht="15.75" thickBot="1">
      <c r="A25" s="378"/>
      <c r="B25" s="1889">
        <v>111</v>
      </c>
      <c r="C25" s="1972"/>
      <c r="D25" s="609">
        <v>100</v>
      </c>
      <c r="E25" s="1972"/>
      <c r="F25" s="610">
        <f>SUMIF(75:75,E25,76:76)-SUMIF(75:75,C25,76:76)+100</f>
        <v>100</v>
      </c>
      <c r="G25" s="1972"/>
      <c r="H25" s="609">
        <f>SUMIF(75:75,G25,76:76)-SUMIF(75:75,C25,76:76)+100</f>
        <v>100</v>
      </c>
      <c r="I25" s="1972"/>
      <c r="J25" s="609">
        <f>SUMIF(75:75,I25,76:76)-SUMIF(75:75,C25,76:76)+100</f>
        <v>100</v>
      </c>
      <c r="K25" s="558"/>
      <c r="L25" s="2707"/>
      <c r="M25" s="2708"/>
      <c r="N25" s="2708"/>
      <c r="O25" s="2762"/>
      <c r="P25" s="3735"/>
      <c r="Q25" s="1339">
        <f t="shared" si="11"/>
        <v>111</v>
      </c>
      <c r="R25" s="697" t="s">
        <v>14</v>
      </c>
      <c r="S25" s="698">
        <f>F25</f>
        <v>100</v>
      </c>
      <c r="T25" s="697" t="s">
        <v>14</v>
      </c>
      <c r="U25" s="698">
        <f>H25</f>
        <v>100</v>
      </c>
      <c r="V25" s="697" t="s">
        <v>14</v>
      </c>
      <c r="W25" s="698">
        <f>J25</f>
        <v>100</v>
      </c>
      <c r="X25" s="699"/>
      <c r="Y25" s="3735"/>
      <c r="Z25" s="52">
        <f>Q25</f>
        <v>111</v>
      </c>
      <c r="AA25" s="1349">
        <f>D25/F25</f>
        <v>1</v>
      </c>
      <c r="AB25" s="1349">
        <f>D25/H25</f>
        <v>1</v>
      </c>
      <c r="AC25" s="1349">
        <f>D25/J25</f>
        <v>1</v>
      </c>
    </row>
    <row r="26" spans="1:29" ht="28.5">
      <c r="A26" s="413" t="s">
        <v>1694</v>
      </c>
      <c r="B26" s="63" t="s">
        <v>1838</v>
      </c>
      <c r="C26" s="1963"/>
      <c r="D26" s="414">
        <v>100</v>
      </c>
      <c r="E26" s="1963"/>
      <c r="F26" s="611">
        <f>SUMIF(77:77,E26,78:78)-SUMIF(77:77,C26,78:78)+100</f>
        <v>100</v>
      </c>
      <c r="G26" s="1963"/>
      <c r="H26" s="414">
        <f>SUMIF(77:77,G26,78:78)-SUMIF(77:77,C26,78:78)+100</f>
        <v>100</v>
      </c>
      <c r="I26" s="1963"/>
      <c r="J26" s="414">
        <f>SUMIF(77:77,I26,78:78)-SUMIF(77:77,C26,78:78)+100</f>
        <v>100</v>
      </c>
      <c r="K26" s="557"/>
      <c r="L26" s="2712"/>
      <c r="M26" s="2706"/>
      <c r="N26" s="2706"/>
      <c r="O26" s="2764"/>
      <c r="P26" s="3736"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37" t="s">
        <v>1696</v>
      </c>
      <c r="Z26" s="1352" t="str">
        <f t="shared" ref="Z26:Z34" si="15">Q26</f>
        <v>公共部分装修</v>
      </c>
      <c r="AA26" s="1349">
        <f t="shared" si="3"/>
        <v>1</v>
      </c>
      <c r="AB26" s="1349">
        <f t="shared" si="4"/>
        <v>1</v>
      </c>
      <c r="AC26" s="1349">
        <f t="shared" si="5"/>
        <v>1</v>
      </c>
    </row>
    <row r="27" spans="1:29" s="418" customFormat="1" ht="15">
      <c r="A27" s="415"/>
      <c r="B27" s="371" t="s">
        <v>1839</v>
      </c>
      <c r="C27" s="421"/>
      <c r="D27" s="123">
        <v>100</v>
      </c>
      <c r="E27" s="422"/>
      <c r="F27" s="408" t="e">
        <f>LOOKUP(E27,80:80,81:81)-LOOKUP(C27,80:80,81:81)+100</f>
        <v>#N/A</v>
      </c>
      <c r="G27" s="423"/>
      <c r="H27" s="382" t="e">
        <f>LOOKUP(G27,80:80,81:81)-LOOKUP(C27,80:80,81:81)+100</f>
        <v>#N/A</v>
      </c>
      <c r="I27" s="423"/>
      <c r="J27" s="382" t="e">
        <f>LOOKUP(I27,80:80,81:81)-LOOKUP(C27,80:80,81:81)+100</f>
        <v>#N/A</v>
      </c>
      <c r="K27" s="557"/>
      <c r="L27" s="2711"/>
      <c r="M27" s="2713"/>
      <c r="N27" s="2713"/>
      <c r="O27" s="2765"/>
      <c r="P27" s="3737"/>
      <c r="Q27" s="703" t="str">
        <f t="shared" si="11"/>
        <v>成新率</v>
      </c>
      <c r="R27" s="704" t="s">
        <v>14</v>
      </c>
      <c r="S27" s="705" t="e">
        <f t="shared" si="12"/>
        <v>#N/A</v>
      </c>
      <c r="T27" s="704" t="s">
        <v>14</v>
      </c>
      <c r="U27" s="705" t="e">
        <f t="shared" si="13"/>
        <v>#N/A</v>
      </c>
      <c r="V27" s="704" t="s">
        <v>14</v>
      </c>
      <c r="W27" s="705" t="e">
        <f t="shared" si="14"/>
        <v>#N/A</v>
      </c>
      <c r="X27" s="706"/>
      <c r="Y27" s="3737"/>
      <c r="Z27" s="707" t="str">
        <f t="shared" si="15"/>
        <v>成新率</v>
      </c>
      <c r="AA27" s="1349" t="e">
        <f t="shared" si="3"/>
        <v>#N/A</v>
      </c>
      <c r="AB27" s="1349" t="e">
        <f t="shared" si="4"/>
        <v>#N/A</v>
      </c>
      <c r="AC27" s="1349" t="e">
        <f t="shared" si="5"/>
        <v>#N/A</v>
      </c>
    </row>
    <row r="28" spans="1:29" ht="15">
      <c r="A28" s="419"/>
      <c r="B28" s="371" t="s">
        <v>1840</v>
      </c>
      <c r="C28" s="407"/>
      <c r="D28" s="382">
        <v>100</v>
      </c>
      <c r="E28" s="407"/>
      <c r="F28" s="408">
        <f>SUMIF(82:82,E28,83:83)-SUMIF(82:82,C28,83:83)+100</f>
        <v>100</v>
      </c>
      <c r="G28" s="407"/>
      <c r="H28" s="382">
        <f>SUMIF(82:82,G28,83:83)-SUMIF(82:82,C28,83:83)+100</f>
        <v>100</v>
      </c>
      <c r="I28" s="407"/>
      <c r="J28" s="382">
        <f>SUMIF(82:82,I28,83:83)-SUMIF(82:82,C28,83:83)+100</f>
        <v>100</v>
      </c>
      <c r="K28" s="557"/>
      <c r="L28" s="2712"/>
      <c r="M28" s="2706"/>
      <c r="N28" s="2706"/>
      <c r="O28" s="2764"/>
      <c r="P28" s="3737"/>
      <c r="Q28" s="1348" t="str">
        <f t="shared" si="11"/>
        <v>物业等级</v>
      </c>
      <c r="R28" s="701" t="s">
        <v>14</v>
      </c>
      <c r="S28" s="702">
        <f t="shared" si="12"/>
        <v>100</v>
      </c>
      <c r="T28" s="701" t="s">
        <v>14</v>
      </c>
      <c r="U28" s="702">
        <f t="shared" si="13"/>
        <v>100</v>
      </c>
      <c r="V28" s="701" t="s">
        <v>14</v>
      </c>
      <c r="W28" s="702">
        <f t="shared" si="14"/>
        <v>100</v>
      </c>
      <c r="X28" s="1351"/>
      <c r="Y28" s="3737"/>
      <c r="Z28" s="1352" t="str">
        <f t="shared" si="15"/>
        <v>物业等级</v>
      </c>
      <c r="AA28" s="1349">
        <f t="shared" si="3"/>
        <v>1</v>
      </c>
      <c r="AB28" s="1349">
        <f t="shared" si="4"/>
        <v>1</v>
      </c>
      <c r="AC28" s="1349">
        <f t="shared" si="5"/>
        <v>1</v>
      </c>
    </row>
    <row r="29" spans="1:29" ht="15">
      <c r="A29" s="419"/>
      <c r="B29" s="371" t="s">
        <v>1860</v>
      </c>
      <c r="C29" s="601"/>
      <c r="D29" s="382">
        <v>100</v>
      </c>
      <c r="E29" s="601"/>
      <c r="F29" s="408">
        <f>SUMIF(84:84,E29,85:85)-SUMIF(84:84,C29,85:85)+100</f>
        <v>100</v>
      </c>
      <c r="G29" s="601"/>
      <c r="H29" s="382">
        <f>SUMIF(84:84,G29,85:85)-SUMIF(84:84,C29,85:85)+100</f>
        <v>100</v>
      </c>
      <c r="I29" s="601"/>
      <c r="J29" s="382">
        <f>SUMIF(84:84,I29,85:85)-SUMIF(84:84,C29,85:85)+100</f>
        <v>100</v>
      </c>
      <c r="K29" s="557"/>
      <c r="L29" s="2712"/>
      <c r="M29" s="2706"/>
      <c r="N29" s="2706"/>
      <c r="O29" s="2764"/>
      <c r="P29" s="3737"/>
      <c r="Q29" s="1348" t="str">
        <f t="shared" si="11"/>
        <v>有无电梯</v>
      </c>
      <c r="R29" s="701" t="s">
        <v>14</v>
      </c>
      <c r="S29" s="702">
        <f t="shared" si="12"/>
        <v>100</v>
      </c>
      <c r="T29" s="701" t="s">
        <v>14</v>
      </c>
      <c r="U29" s="702">
        <f t="shared" si="13"/>
        <v>100</v>
      </c>
      <c r="V29" s="701" t="s">
        <v>14</v>
      </c>
      <c r="W29" s="702">
        <f t="shared" si="14"/>
        <v>100</v>
      </c>
      <c r="X29" s="1351"/>
      <c r="Y29" s="3737"/>
      <c r="Z29" s="1352" t="str">
        <f t="shared" si="15"/>
        <v>有无电梯</v>
      </c>
      <c r="AA29" s="1349">
        <f t="shared" si="3"/>
        <v>1</v>
      </c>
      <c r="AB29" s="1349">
        <f t="shared" si="4"/>
        <v>1</v>
      </c>
      <c r="AC29" s="1349">
        <f t="shared" si="5"/>
        <v>1</v>
      </c>
    </row>
    <row r="30" spans="1:29" ht="15">
      <c r="A30" s="419"/>
      <c r="B30" s="371" t="s">
        <v>1861</v>
      </c>
      <c r="C30" s="416"/>
      <c r="D30" s="382">
        <v>100</v>
      </c>
      <c r="E30" s="416"/>
      <c r="F30" s="408" t="e">
        <f>LOOKUP(E30,87:87,88:88)-LOOKUP(C30,87:87,88:88)+100</f>
        <v>#N/A</v>
      </c>
      <c r="G30" s="416"/>
      <c r="H30" s="382" t="e">
        <f>LOOKUP(G30,87:87,88:88)-LOOKUP(C30,87:87,88:88)+100</f>
        <v>#N/A</v>
      </c>
      <c r="I30" s="416"/>
      <c r="J30" s="382" t="e">
        <f>LOOKUP(I30,87:87,88:88)-LOOKUP(C30,87:87,88:88)+100</f>
        <v>#N/A</v>
      </c>
      <c r="K30" s="558"/>
      <c r="L30" s="2712"/>
      <c r="M30" s="2706"/>
      <c r="N30" s="2706"/>
      <c r="O30" s="2764"/>
      <c r="P30" s="3737"/>
      <c r="Q30" s="1348" t="str">
        <f t="shared" si="11"/>
        <v>建筑面积</v>
      </c>
      <c r="R30" s="701" t="s">
        <v>14</v>
      </c>
      <c r="S30" s="702" t="e">
        <f t="shared" si="12"/>
        <v>#N/A</v>
      </c>
      <c r="T30" s="701" t="s">
        <v>14</v>
      </c>
      <c r="U30" s="702" t="e">
        <f t="shared" si="13"/>
        <v>#N/A</v>
      </c>
      <c r="V30" s="701" t="s">
        <v>14</v>
      </c>
      <c r="W30" s="702" t="e">
        <f t="shared" si="14"/>
        <v>#N/A</v>
      </c>
      <c r="X30" s="1351"/>
      <c r="Y30" s="3737"/>
      <c r="Z30" s="1352" t="str">
        <f t="shared" si="15"/>
        <v>建筑面积</v>
      </c>
      <c r="AA30" s="1349" t="e">
        <f t="shared" si="3"/>
        <v>#N/A</v>
      </c>
      <c r="AB30" s="1349" t="e">
        <f t="shared" si="4"/>
        <v>#N/A</v>
      </c>
      <c r="AC30" s="1349" t="e">
        <f t="shared" si="5"/>
        <v>#N/A</v>
      </c>
    </row>
    <row r="31" spans="1:29" s="106" customFormat="1" ht="15">
      <c r="A31" s="420"/>
      <c r="B31" s="371" t="s">
        <v>1862</v>
      </c>
      <c r="C31" s="601"/>
      <c r="D31" s="123">
        <v>100</v>
      </c>
      <c r="E31" s="601"/>
      <c r="F31" s="408">
        <f>SUMIF(89:89,E31,90:90)-SUMIF(89:89,C31,90:90)+100</f>
        <v>100</v>
      </c>
      <c r="G31" s="601"/>
      <c r="H31" s="382">
        <f>SUMIF(89:89,G31,90:90)-SUMIF(89:89,C31,90:90)+100</f>
        <v>100</v>
      </c>
      <c r="I31" s="601"/>
      <c r="J31" s="382">
        <f>SUMIF(89:89,I31,90:90)-SUMIF(89:89,C31,90:90)+100</f>
        <v>100</v>
      </c>
      <c r="K31" s="557"/>
      <c r="L31" s="2707"/>
      <c r="M31" s="2708"/>
      <c r="N31" s="2708"/>
      <c r="O31" s="2762"/>
      <c r="P31" s="3737"/>
      <c r="Q31" s="1339" t="str">
        <f t="shared" si="11"/>
        <v>是否封闭</v>
      </c>
      <c r="R31" s="697" t="s">
        <v>14</v>
      </c>
      <c r="S31" s="698">
        <f t="shared" si="12"/>
        <v>100</v>
      </c>
      <c r="T31" s="697" t="s">
        <v>14</v>
      </c>
      <c r="U31" s="698">
        <f t="shared" si="13"/>
        <v>100</v>
      </c>
      <c r="V31" s="697" t="s">
        <v>14</v>
      </c>
      <c r="W31" s="698">
        <f t="shared" si="14"/>
        <v>100</v>
      </c>
      <c r="X31" s="699"/>
      <c r="Y31" s="3737"/>
      <c r="Z31" s="52" t="str">
        <f t="shared" si="15"/>
        <v>是否封闭</v>
      </c>
      <c r="AA31" s="700">
        <f t="shared" si="3"/>
        <v>1</v>
      </c>
      <c r="AB31" s="700">
        <f t="shared" si="4"/>
        <v>1</v>
      </c>
      <c r="AC31" s="700">
        <f t="shared" si="5"/>
        <v>1</v>
      </c>
    </row>
    <row r="32" spans="1:29" ht="15">
      <c r="A32" s="419"/>
      <c r="B32" s="1889">
        <v>111</v>
      </c>
      <c r="C32" s="379"/>
      <c r="D32" s="382">
        <v>100</v>
      </c>
      <c r="E32" s="416"/>
      <c r="F32" s="408">
        <f>SUMIF(91:91,E32,92:92)-SUMIF(91:91,C32,92:92)+100</f>
        <v>100</v>
      </c>
      <c r="G32" s="416"/>
      <c r="H32" s="382">
        <f>SUMIF(91:91,G32,92:92)-SUMIF(91:91,C32,92:92)+100</f>
        <v>100</v>
      </c>
      <c r="I32" s="416"/>
      <c r="J32" s="382">
        <f>SUMIF(91:91,I32,92:92)-SUMIF(91:91,C32,92:92)+100</f>
        <v>100</v>
      </c>
      <c r="K32" s="558"/>
      <c r="L32" s="2712"/>
      <c r="M32" s="2706"/>
      <c r="N32" s="2706"/>
      <c r="O32" s="2764"/>
      <c r="P32" s="3737" t="s">
        <v>1696</v>
      </c>
      <c r="Q32" s="1348">
        <f t="shared" si="11"/>
        <v>111</v>
      </c>
      <c r="R32" s="701" t="s">
        <v>14</v>
      </c>
      <c r="S32" s="702">
        <f t="shared" si="12"/>
        <v>100</v>
      </c>
      <c r="T32" s="701" t="s">
        <v>14</v>
      </c>
      <c r="U32" s="702">
        <f t="shared" si="13"/>
        <v>100</v>
      </c>
      <c r="V32" s="701" t="s">
        <v>14</v>
      </c>
      <c r="W32" s="702">
        <f t="shared" si="14"/>
        <v>100</v>
      </c>
      <c r="X32" s="1351"/>
      <c r="Y32" s="3737" t="s">
        <v>1696</v>
      </c>
      <c r="Z32" s="1352">
        <f t="shared" si="15"/>
        <v>111</v>
      </c>
      <c r="AA32" s="1349">
        <f t="shared" si="3"/>
        <v>1</v>
      </c>
      <c r="AB32" s="1349">
        <f t="shared" si="4"/>
        <v>1</v>
      </c>
      <c r="AC32" s="1349">
        <f t="shared" si="5"/>
        <v>1</v>
      </c>
    </row>
    <row r="33" spans="1:30" ht="15">
      <c r="A33" s="419"/>
      <c r="B33" s="1889">
        <v>111</v>
      </c>
      <c r="C33" s="379"/>
      <c r="D33" s="382">
        <v>100</v>
      </c>
      <c r="E33" s="416"/>
      <c r="F33" s="408">
        <f>SUMIF(93:93,E33,94:94)-SUMIF(93:93,C33,94:94)+100</f>
        <v>100</v>
      </c>
      <c r="G33" s="416"/>
      <c r="H33" s="382">
        <f>SUMIF(93:93,G33,94:94)-SUMIF(93:93,C33,94:94)+100</f>
        <v>100</v>
      </c>
      <c r="I33" s="416"/>
      <c r="J33" s="382">
        <f>SUMIF(93:93,I33,94:94)-SUMIF(93:93,C33,94:94)+100</f>
        <v>100</v>
      </c>
      <c r="K33" s="558"/>
      <c r="L33" s="2712"/>
      <c r="M33" s="2706"/>
      <c r="N33" s="2706"/>
      <c r="O33" s="2764"/>
      <c r="P33" s="3737"/>
      <c r="Q33" s="1348">
        <f t="shared" si="11"/>
        <v>111</v>
      </c>
      <c r="R33" s="701" t="s">
        <v>14</v>
      </c>
      <c r="S33" s="702">
        <f t="shared" si="12"/>
        <v>100</v>
      </c>
      <c r="T33" s="701" t="s">
        <v>14</v>
      </c>
      <c r="U33" s="702">
        <f t="shared" si="13"/>
        <v>100</v>
      </c>
      <c r="V33" s="701" t="s">
        <v>14</v>
      </c>
      <c r="W33" s="702">
        <f t="shared" si="14"/>
        <v>100</v>
      </c>
      <c r="X33" s="1351"/>
      <c r="Y33" s="3737"/>
      <c r="Z33" s="1352">
        <f t="shared" si="15"/>
        <v>111</v>
      </c>
      <c r="AA33" s="1349">
        <f t="shared" si="3"/>
        <v>1</v>
      </c>
      <c r="AB33" s="1349">
        <f t="shared" si="4"/>
        <v>1</v>
      </c>
      <c r="AC33" s="1349">
        <f t="shared" si="5"/>
        <v>1</v>
      </c>
    </row>
    <row r="34" spans="1:30" ht="15.75" thickBot="1">
      <c r="A34" s="425"/>
      <c r="B34" s="1891">
        <v>111</v>
      </c>
      <c r="C34" s="384"/>
      <c r="D34" s="385">
        <v>100</v>
      </c>
      <c r="E34" s="1971"/>
      <c r="F34" s="386">
        <f>SUMIF(95:95,E34,96:96)-SUMIF(95:95,C34,96:96)+100</f>
        <v>100</v>
      </c>
      <c r="G34" s="1971"/>
      <c r="H34" s="385">
        <f>SUMIF(95:95,G34,96:96)-SUMIF(95:95,C34,96:96)+100</f>
        <v>100</v>
      </c>
      <c r="I34" s="1971"/>
      <c r="J34" s="385">
        <f>SUMIF(95:95,I34,96:96)-SUMIF(95:95,C34,96:96)+100</f>
        <v>100</v>
      </c>
      <c r="K34" s="558"/>
      <c r="L34" s="2712"/>
      <c r="M34" s="2706"/>
      <c r="N34" s="2706"/>
      <c r="O34" s="2764"/>
      <c r="P34" s="3737"/>
      <c r="Q34" s="1348">
        <f t="shared" si="11"/>
        <v>111</v>
      </c>
      <c r="R34" s="701" t="s">
        <v>14</v>
      </c>
      <c r="S34" s="702">
        <f t="shared" si="12"/>
        <v>100</v>
      </c>
      <c r="T34" s="701" t="s">
        <v>14</v>
      </c>
      <c r="U34" s="702">
        <f t="shared" si="13"/>
        <v>100</v>
      </c>
      <c r="V34" s="701" t="s">
        <v>14</v>
      </c>
      <c r="W34" s="702">
        <f t="shared" si="14"/>
        <v>100</v>
      </c>
      <c r="X34" s="1351"/>
      <c r="Y34" s="3737"/>
      <c r="Z34" s="1352">
        <f t="shared" si="15"/>
        <v>111</v>
      </c>
      <c r="AA34" s="1349">
        <f t="shared" si="3"/>
        <v>1</v>
      </c>
      <c r="AB34" s="1349">
        <f t="shared" si="4"/>
        <v>1</v>
      </c>
      <c r="AC34" s="1349">
        <f t="shared" si="5"/>
        <v>1</v>
      </c>
    </row>
    <row r="35" spans="1:30" ht="15">
      <c r="A35" s="426" t="s">
        <v>1708</v>
      </c>
      <c r="B35" s="427"/>
      <c r="C35" s="1150" t="s">
        <v>0</v>
      </c>
      <c r="D35" s="1151"/>
      <c r="E35" s="1152"/>
      <c r="F35" s="1153"/>
      <c r="G35" s="1154"/>
      <c r="H35" s="1155"/>
      <c r="I35" s="1152"/>
      <c r="J35" s="1155"/>
      <c r="K35" s="710"/>
      <c r="L35" s="2714"/>
      <c r="M35" s="2715"/>
      <c r="N35" s="2706"/>
      <c r="O35" s="2715"/>
      <c r="P35" s="3733" t="str">
        <f>A35</f>
        <v>成交单价（元/平方米）</v>
      </c>
      <c r="Q35" s="3733"/>
      <c r="R35" s="3798">
        <f>E35</f>
        <v>0</v>
      </c>
      <c r="S35" s="3798"/>
      <c r="T35" s="3798">
        <f>G35</f>
        <v>0</v>
      </c>
      <c r="U35" s="3798"/>
      <c r="V35" s="3798">
        <f>I35</f>
        <v>0</v>
      </c>
      <c r="W35" s="3798"/>
      <c r="X35" s="686"/>
      <c r="Y35" s="708"/>
      <c r="Z35" s="686"/>
      <c r="AA35" s="686"/>
      <c r="AB35" s="686"/>
      <c r="AC35" s="686"/>
    </row>
    <row r="36" spans="1:30" ht="15.75" thickBot="1">
      <c r="A36" s="433" t="s">
        <v>1793</v>
      </c>
      <c r="B36" s="434"/>
      <c r="C36" s="1156" t="e">
        <f>R37</f>
        <v>#DIV/0!</v>
      </c>
      <c r="D36" s="2313" t="s">
        <v>2138</v>
      </c>
      <c r="E36" s="1157" t="e">
        <f>R36</f>
        <v>#DIV/0!</v>
      </c>
      <c r="F36" s="2314"/>
      <c r="G36" s="1156" t="e">
        <f>T36</f>
        <v>#DIV/0!</v>
      </c>
      <c r="H36" s="2314"/>
      <c r="I36" s="1157" t="e">
        <f>V36</f>
        <v>#DIV/0!</v>
      </c>
      <c r="J36" s="2314"/>
      <c r="K36" s="2316">
        <f>F36+H36+J36</f>
        <v>0</v>
      </c>
      <c r="L36" s="2714"/>
      <c r="M36" s="2715"/>
      <c r="N36" s="2706"/>
      <c r="O36" s="2715"/>
      <c r="P36" s="3733" t="str">
        <f>A36</f>
        <v>比较价值（元/平方米）</v>
      </c>
      <c r="Q36" s="3733"/>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686"/>
      <c r="Y36" s="686"/>
      <c r="Z36" s="686"/>
      <c r="AA36" s="686"/>
      <c r="AB36" s="686"/>
      <c r="AC36" s="686"/>
    </row>
    <row r="37" spans="1:30" ht="15.75" thickBot="1">
      <c r="A37" s="437" t="s">
        <v>1794</v>
      </c>
      <c r="B37" s="438"/>
      <c r="C37" s="1159" t="e">
        <f>R37</f>
        <v>#DIV/0!</v>
      </c>
      <c r="D37" s="1159"/>
      <c r="E37" s="1159"/>
      <c r="F37" s="1159"/>
      <c r="G37" s="1159"/>
      <c r="H37" s="1159"/>
      <c r="I37" s="1159"/>
      <c r="J37" s="1159"/>
      <c r="K37" s="711"/>
      <c r="L37" s="2714"/>
      <c r="M37" s="2715"/>
      <c r="N37" s="2715"/>
      <c r="O37" s="2715"/>
      <c r="P37" s="3727" t="str">
        <f>A37</f>
        <v>估价对象XX用房的比较价值（楼面单价，元/平方米）</v>
      </c>
      <c r="Q37" s="3728"/>
      <c r="R37" s="3820" t="e">
        <f>IF(F1="售价",ROUND(IF(D36="简单平均",AVERAGE(R36:W36),R36*F36+T36*H36+V36*J36),0),ROUND(IF(D36="简单平均",AVERAGE(R36:V36),R36*F36+T36*H36+V36*J36),1))</f>
        <v>#DIV/0!</v>
      </c>
      <c r="S37" s="3820"/>
      <c r="T37" s="3820"/>
      <c r="U37" s="3820"/>
      <c r="V37" s="3820"/>
      <c r="W37" s="3820"/>
      <c r="X37" s="686"/>
      <c r="Y37" s="686"/>
      <c r="Z37" s="686"/>
      <c r="AA37" s="686"/>
      <c r="AB37" s="686"/>
      <c r="AC37" s="686"/>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2" t="s">
        <v>1795</v>
      </c>
      <c r="D40" s="443"/>
      <c r="E40" s="444" t="e">
        <f>IF(E35&lt;E36,E36/E35-1,E35/E36-1)</f>
        <v>#DIV/0!</v>
      </c>
      <c r="F40" s="445" t="e">
        <f>IF(OR(E40&gt;=0.3,E40&lt;=-0.3),"超过30%","")</f>
        <v>#DIV/0!</v>
      </c>
      <c r="G40" s="444" t="e">
        <f>IF(G35&lt;G36,G36/G35-1,G35/G36-1)</f>
        <v>#DIV/0!</v>
      </c>
      <c r="H40" s="445" t="e">
        <f>IF(OR(G40&gt;=0.3,G40&lt;=-0.3),"超过30%","")</f>
        <v>#DIV/0!</v>
      </c>
      <c r="I40" s="444" t="e">
        <f>IF(I35&lt;I36,I36/I35-1,I35/I36-1)</f>
        <v>#DIV/0!</v>
      </c>
      <c r="J40" s="445"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2" t="s">
        <v>1796</v>
      </c>
      <c r="D41" s="446"/>
      <c r="E41" s="444" t="e">
        <f>IF(E36&lt;G36,G36/E36-1,E36/G36-1)</f>
        <v>#DIV/0!</v>
      </c>
      <c r="F41" s="445" t="e">
        <f>IF(OR(E41&gt;=0.2,E41&lt;=-0.2),"超过20%","")</f>
        <v>#DIV/0!</v>
      </c>
      <c r="G41" s="444" t="e">
        <f>IF(G36&lt;I36,I36/G36-1,G36/I36-1)</f>
        <v>#DIV/0!</v>
      </c>
      <c r="H41" s="445" t="e">
        <f>IF(OR(G41&gt;=0.2,G41&lt;=-0.2),"超过20%","")</f>
        <v>#DIV/0!</v>
      </c>
      <c r="I41" s="444" t="e">
        <f>IF(I36&lt;E36,E36/I36-1,I36/E36-1)</f>
        <v>#DIV/0!</v>
      </c>
      <c r="J41" s="445"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7" customFormat="1" ht="13.5" customHeight="1">
      <c r="A42" s="2718"/>
      <c r="B42" s="2718"/>
      <c r="C42" s="442" t="s">
        <v>1797</v>
      </c>
      <c r="D42" s="446"/>
      <c r="E42" s="444" t="e">
        <f>IF(E35&lt;G35,G35/E35-1,E35/G35-1)</f>
        <v>#DIV/0!</v>
      </c>
      <c r="F42" s="445" t="e">
        <f>IF(OR(E42&gt;=0.3,E42&lt;=-0.3),"超过30%","")</f>
        <v>#DIV/0!</v>
      </c>
      <c r="G42" s="444" t="e">
        <f>IF(G35&lt;I35,I35/G35-1,G35/I35-1)</f>
        <v>#DIV/0!</v>
      </c>
      <c r="H42" s="445" t="e">
        <f>IF(OR(G42&gt;=0.3,G42&lt;=-0.3),"超过30%","")</f>
        <v>#DIV/0!</v>
      </c>
      <c r="I42" s="444" t="e">
        <f>IF(I35&lt;E35,E35/I35-1,I35/E35-1)</f>
        <v>#DIV/0!</v>
      </c>
      <c r="J42" s="445"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7"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0" t="s">
        <v>1798</v>
      </c>
      <c r="B45" s="686"/>
      <c r="C45" s="691"/>
      <c r="D45" s="691"/>
      <c r="E45" s="691"/>
      <c r="F45" s="692"/>
      <c r="G45" s="692"/>
      <c r="H45" s="691"/>
      <c r="I45" s="691"/>
      <c r="J45" s="691"/>
      <c r="K45" s="693"/>
      <c r="L45" s="694"/>
      <c r="M45" s="691"/>
      <c r="N45" s="2759"/>
      <c r="O45" s="2759"/>
      <c r="P45" s="2759"/>
      <c r="Q45" s="2729"/>
      <c r="R45" s="2715"/>
      <c r="S45" s="2715"/>
      <c r="T45" s="2715"/>
      <c r="U45" s="2715"/>
      <c r="V45" s="2715"/>
      <c r="W45" s="2715"/>
      <c r="X45" s="2715"/>
      <c r="Y45" s="2715"/>
      <c r="Z45" s="2715"/>
      <c r="AA45" s="2715"/>
      <c r="AB45" s="2715"/>
      <c r="AC45" s="2715"/>
      <c r="AD45" s="2715"/>
    </row>
    <row r="46" spans="1:30" s="453" customFormat="1" ht="15">
      <c r="A46" s="450" t="s">
        <v>1679</v>
      </c>
      <c r="B46" s="451"/>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66"/>
      <c r="Q46" s="2731"/>
      <c r="R46" s="2731"/>
      <c r="S46" s="2731"/>
      <c r="T46" s="2731"/>
      <c r="U46" s="2731"/>
      <c r="V46" s="2731"/>
      <c r="W46" s="2731"/>
      <c r="X46" s="2731"/>
      <c r="Y46" s="2731"/>
      <c r="Z46" s="2731"/>
      <c r="AA46" s="2731"/>
      <c r="AB46" s="2731"/>
      <c r="AC46" s="2731"/>
      <c r="AD46" s="2731"/>
    </row>
    <row r="47" spans="1:30" s="106" customFormat="1" ht="15">
      <c r="A47" s="454"/>
      <c r="B47" s="455"/>
      <c r="C47" s="1179">
        <v>100</v>
      </c>
      <c r="D47" s="457"/>
      <c r="E47" s="457"/>
      <c r="F47" s="457"/>
      <c r="G47" s="457"/>
      <c r="H47" s="457"/>
      <c r="I47" s="457"/>
      <c r="J47" s="457"/>
      <c r="K47" s="457"/>
      <c r="L47" s="457"/>
      <c r="M47" s="458"/>
      <c r="N47" s="457"/>
      <c r="O47" s="459"/>
      <c r="P47" s="2729"/>
      <c r="Q47" s="2652"/>
      <c r="R47" s="2652"/>
      <c r="S47" s="2652"/>
      <c r="T47" s="2652"/>
      <c r="U47" s="2652"/>
      <c r="V47" s="2652"/>
      <c r="W47" s="2652"/>
      <c r="X47" s="2652"/>
      <c r="Y47" s="2652"/>
      <c r="Z47" s="2652"/>
      <c r="AA47" s="2652"/>
      <c r="AB47" s="2652"/>
      <c r="AC47" s="2652"/>
      <c r="AD47" s="2652"/>
    </row>
    <row r="48" spans="1:30" s="106" customFormat="1" ht="15.75" thickBot="1">
      <c r="A48" s="460" t="s">
        <v>1716</v>
      </c>
      <c r="B48" s="461"/>
      <c r="C48" s="462"/>
      <c r="D48" s="463"/>
      <c r="E48" s="463"/>
      <c r="F48" s="463"/>
      <c r="G48" s="463"/>
      <c r="H48" s="463"/>
      <c r="I48" s="463"/>
      <c r="J48" s="463"/>
      <c r="K48" s="463"/>
      <c r="L48" s="463"/>
      <c r="M48" s="464"/>
      <c r="N48" s="463"/>
      <c r="O48" s="465"/>
      <c r="P48" s="2729"/>
      <c r="Q48" s="2729"/>
      <c r="R48" s="2652"/>
      <c r="S48" s="2652"/>
      <c r="T48" s="2652"/>
      <c r="U48" s="2652"/>
      <c r="V48" s="2652"/>
      <c r="W48" s="2652"/>
      <c r="X48" s="2652"/>
      <c r="Y48" s="2652"/>
      <c r="Z48" s="2652"/>
      <c r="AA48" s="2652"/>
      <c r="AB48" s="2652"/>
      <c r="AC48" s="2652"/>
      <c r="AD48" s="2652"/>
    </row>
    <row r="49" spans="1:30" s="106" customFormat="1" ht="15">
      <c r="A49" s="466" t="s">
        <v>1681</v>
      </c>
      <c r="B49" s="455"/>
      <c r="C49" s="467" t="s">
        <v>1776</v>
      </c>
      <c r="D49" s="468"/>
      <c r="E49" s="468"/>
      <c r="F49" s="468"/>
      <c r="G49" s="468"/>
      <c r="H49" s="468"/>
      <c r="I49" s="468"/>
      <c r="J49" s="468"/>
      <c r="K49" s="468"/>
      <c r="L49" s="469"/>
      <c r="M49" s="470"/>
      <c r="N49" s="2742"/>
      <c r="O49" s="2742"/>
      <c r="P49" s="2767"/>
      <c r="Q49" s="2729"/>
      <c r="R49" s="2652"/>
      <c r="S49" s="2652"/>
      <c r="T49" s="2652"/>
      <c r="U49" s="2652"/>
      <c r="V49" s="2652"/>
      <c r="W49" s="2652"/>
      <c r="X49" s="2652"/>
      <c r="Y49" s="2652"/>
      <c r="Z49" s="2652"/>
      <c r="AA49" s="2652"/>
      <c r="AB49" s="2652"/>
      <c r="AC49" s="2652"/>
      <c r="AD49" s="2652"/>
    </row>
    <row r="50" spans="1:30" s="106" customFormat="1" ht="15.75" thickBot="1">
      <c r="A50" s="466"/>
      <c r="B50" s="455"/>
      <c r="C50" s="583">
        <v>100</v>
      </c>
      <c r="D50" s="457"/>
      <c r="E50" s="457"/>
      <c r="F50" s="457"/>
      <c r="G50" s="457"/>
      <c r="H50" s="457"/>
      <c r="I50" s="457"/>
      <c r="J50" s="457"/>
      <c r="K50" s="457"/>
      <c r="L50" s="457"/>
      <c r="M50" s="459"/>
      <c r="N50" s="2742"/>
      <c r="O50" s="2742"/>
      <c r="P50" s="2729"/>
      <c r="Q50" s="2729"/>
      <c r="R50" s="2652"/>
      <c r="S50" s="2652"/>
      <c r="T50" s="2652"/>
      <c r="U50" s="2652"/>
      <c r="V50" s="2652"/>
      <c r="W50" s="2652"/>
      <c r="X50" s="2652"/>
      <c r="Y50" s="2652"/>
      <c r="Z50" s="2652"/>
      <c r="AA50" s="2652"/>
      <c r="AB50" s="2652"/>
      <c r="AC50" s="2652"/>
      <c r="AD50" s="2652"/>
    </row>
    <row r="51" spans="1:30">
      <c r="A51" s="472" t="s">
        <v>1719</v>
      </c>
      <c r="B51" s="473" t="s">
        <v>1685</v>
      </c>
      <c r="C51" s="474">
        <f>C9</f>
        <v>0</v>
      </c>
      <c r="D51" s="475"/>
      <c r="E51" s="475"/>
      <c r="F51" s="475"/>
      <c r="G51" s="475"/>
      <c r="H51" s="475"/>
      <c r="I51" s="475"/>
      <c r="J51" s="475"/>
      <c r="K51" s="476"/>
      <c r="L51" s="477"/>
      <c r="M51" s="478"/>
      <c r="N51" s="2743"/>
      <c r="O51" s="2743"/>
      <c r="P51" s="2768"/>
      <c r="Q51" s="2729"/>
      <c r="R51" s="2715"/>
      <c r="S51" s="2715"/>
      <c r="T51" s="2715"/>
      <c r="U51" s="2715"/>
      <c r="V51" s="2715"/>
      <c r="W51" s="2715"/>
      <c r="X51" s="2715"/>
      <c r="Y51" s="2715"/>
      <c r="Z51" s="2715"/>
      <c r="AA51" s="2715"/>
      <c r="AB51" s="2715"/>
      <c r="AC51" s="2715"/>
      <c r="AD51" s="2715"/>
    </row>
    <row r="52" spans="1:30" ht="15.75" thickBot="1">
      <c r="A52" s="479"/>
      <c r="B52" s="480"/>
      <c r="C52" s="481">
        <v>100</v>
      </c>
      <c r="D52" s="481"/>
      <c r="E52" s="481"/>
      <c r="F52" s="481"/>
      <c r="G52" s="481"/>
      <c r="H52" s="481"/>
      <c r="I52" s="481"/>
      <c r="J52" s="481"/>
      <c r="K52" s="481"/>
      <c r="L52" s="481"/>
      <c r="M52" s="482"/>
      <c r="N52" s="2744"/>
      <c r="O52" s="2744"/>
      <c r="P52" s="2768"/>
      <c r="Q52" s="2729"/>
      <c r="R52" s="2715"/>
      <c r="S52" s="2715"/>
      <c r="T52" s="2715"/>
      <c r="U52" s="2715"/>
      <c r="V52" s="2715"/>
      <c r="W52" s="2715"/>
      <c r="X52" s="2715"/>
      <c r="Y52" s="2715"/>
      <c r="Z52" s="2715"/>
      <c r="AA52" s="2715"/>
      <c r="AB52" s="2715"/>
      <c r="AC52" s="2715"/>
      <c r="AD52" s="2715"/>
    </row>
    <row r="53" spans="1:30" ht="27.75" thickTop="1">
      <c r="A53" s="479"/>
      <c r="B53" s="483" t="s">
        <v>1688</v>
      </c>
      <c r="C53" s="528"/>
      <c r="D53" s="528"/>
      <c r="E53" s="528"/>
      <c r="F53" s="528"/>
      <c r="G53" s="528"/>
      <c r="H53" s="528"/>
      <c r="I53" s="528"/>
      <c r="J53" s="528"/>
      <c r="K53" s="529"/>
      <c r="L53" s="530"/>
      <c r="M53" s="531"/>
      <c r="N53" s="2743"/>
      <c r="O53" s="2743"/>
      <c r="P53" s="2768"/>
      <c r="Q53" s="2729"/>
      <c r="R53" s="2715"/>
      <c r="S53" s="2715"/>
      <c r="T53" s="2715"/>
      <c r="U53" s="2715"/>
      <c r="V53" s="2715"/>
      <c r="W53" s="2715"/>
      <c r="X53" s="2715"/>
      <c r="Y53" s="2715"/>
      <c r="Z53" s="2715"/>
      <c r="AA53" s="2715"/>
      <c r="AB53" s="2715"/>
      <c r="AC53" s="2715"/>
      <c r="AD53" s="2715"/>
    </row>
    <row r="54" spans="1:30" ht="15.75" thickBot="1">
      <c r="A54" s="479"/>
      <c r="B54" s="488"/>
      <c r="C54" s="481"/>
      <c r="D54" s="481"/>
      <c r="E54" s="481"/>
      <c r="F54" s="481"/>
      <c r="G54" s="481"/>
      <c r="H54" s="481"/>
      <c r="I54" s="481"/>
      <c r="J54" s="481"/>
      <c r="K54" s="481"/>
      <c r="L54" s="481"/>
      <c r="M54" s="482"/>
      <c r="N54" s="2744"/>
      <c r="O54" s="2744"/>
      <c r="P54" s="2768"/>
      <c r="Q54" s="2729"/>
      <c r="R54" s="2715"/>
      <c r="S54" s="2715"/>
      <c r="T54" s="2715"/>
      <c r="U54" s="2715"/>
      <c r="V54" s="2715"/>
      <c r="W54" s="2715"/>
      <c r="X54" s="2715"/>
      <c r="Y54" s="2715"/>
      <c r="Z54" s="2715"/>
      <c r="AA54" s="2715"/>
      <c r="AB54" s="2715"/>
      <c r="AC54" s="2715"/>
      <c r="AD54" s="2715"/>
    </row>
    <row r="55" spans="1:30" ht="15.75" thickTop="1">
      <c r="A55" s="479"/>
      <c r="B55" s="604">
        <f>B11</f>
        <v>111</v>
      </c>
      <c r="C55" s="494"/>
      <c r="D55" s="494"/>
      <c r="E55" s="494"/>
      <c r="F55" s="494"/>
      <c r="G55" s="494"/>
      <c r="H55" s="494"/>
      <c r="I55" s="494"/>
      <c r="J55" s="494"/>
      <c r="K55" s="495"/>
      <c r="L55" s="496"/>
      <c r="M55" s="497"/>
      <c r="N55" s="2743"/>
      <c r="O55" s="2743"/>
      <c r="P55" s="2768"/>
      <c r="Q55" s="2729"/>
      <c r="R55" s="2715"/>
      <c r="S55" s="2715"/>
      <c r="T55" s="2715"/>
      <c r="U55" s="2715"/>
      <c r="V55" s="2715"/>
      <c r="W55" s="2715"/>
      <c r="X55" s="2715"/>
      <c r="Y55" s="2715"/>
      <c r="Z55" s="2715"/>
      <c r="AA55" s="2715"/>
      <c r="AB55" s="2715"/>
      <c r="AC55" s="2715"/>
      <c r="AD55" s="2715"/>
    </row>
    <row r="56" spans="1:30" ht="15.75" thickBot="1">
      <c r="A56" s="479"/>
      <c r="B56" s="480"/>
      <c r="C56" s="505"/>
      <c r="D56" s="481"/>
      <c r="E56" s="481"/>
      <c r="F56" s="481"/>
      <c r="G56" s="481"/>
      <c r="H56" s="481"/>
      <c r="I56" s="481"/>
      <c r="J56" s="481"/>
      <c r="K56" s="481"/>
      <c r="L56" s="481"/>
      <c r="M56" s="482"/>
      <c r="N56" s="2744"/>
      <c r="O56" s="2744"/>
      <c r="P56" s="2768"/>
      <c r="Q56" s="2729"/>
      <c r="R56" s="2715"/>
      <c r="S56" s="2715"/>
      <c r="T56" s="2715"/>
      <c r="U56" s="2715"/>
      <c r="V56" s="2715"/>
      <c r="W56" s="2715"/>
      <c r="X56" s="2715"/>
      <c r="Y56" s="2715"/>
      <c r="Z56" s="2715"/>
      <c r="AA56" s="2715"/>
      <c r="AB56" s="2715"/>
      <c r="AC56" s="2715"/>
      <c r="AD56" s="2715"/>
    </row>
    <row r="57" spans="1:30" s="418" customFormat="1" ht="15.75" thickTop="1">
      <c r="A57" s="498"/>
      <c r="B57" s="483">
        <f>B12</f>
        <v>111</v>
      </c>
      <c r="C57" s="494"/>
      <c r="D57" s="494"/>
      <c r="E57" s="494"/>
      <c r="F57" s="494"/>
      <c r="G57" s="499"/>
      <c r="H57" s="500"/>
      <c r="I57" s="500"/>
      <c r="J57" s="500"/>
      <c r="K57" s="500"/>
      <c r="L57" s="501"/>
      <c r="M57" s="502"/>
      <c r="N57" s="2745"/>
      <c r="O57" s="2745"/>
      <c r="P57" s="2769"/>
      <c r="Q57" s="2736"/>
      <c r="R57" s="2737"/>
      <c r="S57" s="2737"/>
      <c r="T57" s="2737"/>
      <c r="U57" s="2737"/>
      <c r="V57" s="2737"/>
      <c r="W57" s="2737"/>
      <c r="X57" s="2737"/>
      <c r="Y57" s="2737"/>
      <c r="Z57" s="2737"/>
      <c r="AA57" s="2737"/>
      <c r="AB57" s="2737"/>
      <c r="AC57" s="2737"/>
      <c r="AD57" s="2737"/>
    </row>
    <row r="58" spans="1:30" s="418" customFormat="1" ht="15.75" thickBot="1">
      <c r="A58" s="498"/>
      <c r="B58" s="488"/>
      <c r="C58" s="505"/>
      <c r="D58" s="481"/>
      <c r="E58" s="481"/>
      <c r="F58" s="481"/>
      <c r="G58" s="481"/>
      <c r="H58" s="481"/>
      <c r="I58" s="481"/>
      <c r="J58" s="481"/>
      <c r="K58" s="481"/>
      <c r="L58" s="481"/>
      <c r="M58" s="482"/>
      <c r="N58" s="2744"/>
      <c r="O58" s="2744"/>
      <c r="P58" s="2769"/>
      <c r="Q58" s="2736"/>
      <c r="R58" s="2737"/>
      <c r="S58" s="2737"/>
      <c r="T58" s="2737"/>
      <c r="U58" s="2737"/>
      <c r="V58" s="2737"/>
      <c r="W58" s="2737"/>
      <c r="X58" s="2737"/>
      <c r="Y58" s="2737"/>
      <c r="Z58" s="2737"/>
      <c r="AA58" s="2737"/>
      <c r="AB58" s="2737"/>
      <c r="AC58" s="2737"/>
      <c r="AD58" s="2737"/>
    </row>
    <row r="59" spans="1:30" s="418" customFormat="1" ht="15.75" thickTop="1">
      <c r="A59" s="498"/>
      <c r="B59" s="483">
        <f>B13</f>
        <v>111</v>
      </c>
      <c r="C59" s="494"/>
      <c r="D59" s="494"/>
      <c r="E59" s="494"/>
      <c r="F59" s="494"/>
      <c r="G59" s="499"/>
      <c r="H59" s="500"/>
      <c r="I59" s="500"/>
      <c r="J59" s="500"/>
      <c r="K59" s="500"/>
      <c r="L59" s="501"/>
      <c r="M59" s="502"/>
      <c r="N59" s="2745"/>
      <c r="O59" s="2745"/>
      <c r="P59" s="2713"/>
      <c r="Q59" s="2739"/>
      <c r="R59" s="2737"/>
      <c r="S59" s="2737"/>
      <c r="T59" s="2737"/>
      <c r="U59" s="2737"/>
      <c r="V59" s="2737"/>
      <c r="W59" s="2737"/>
      <c r="X59" s="2737"/>
      <c r="Y59" s="2737"/>
      <c r="Z59" s="2737"/>
      <c r="AA59" s="2737"/>
      <c r="AB59" s="2737"/>
      <c r="AC59" s="2737"/>
      <c r="AD59" s="2737"/>
    </row>
    <row r="60" spans="1:30" s="418" customFormat="1" ht="15.75" thickBot="1">
      <c r="A60" s="498"/>
      <c r="B60" s="488"/>
      <c r="C60" s="505"/>
      <c r="D60" s="505"/>
      <c r="E60" s="505"/>
      <c r="F60" s="505"/>
      <c r="G60" s="505"/>
      <c r="H60" s="507"/>
      <c r="I60" s="507"/>
      <c r="J60" s="507"/>
      <c r="K60" s="507"/>
      <c r="L60" s="507"/>
      <c r="M60" s="508"/>
      <c r="N60" s="2745"/>
      <c r="O60" s="2745"/>
      <c r="P60" s="2769"/>
      <c r="Q60" s="2736"/>
      <c r="R60" s="2737"/>
      <c r="S60" s="2737"/>
      <c r="T60" s="2737"/>
      <c r="U60" s="2737"/>
      <c r="V60" s="2737"/>
      <c r="W60" s="2737"/>
      <c r="X60" s="2737"/>
      <c r="Y60" s="2737"/>
      <c r="Z60" s="2737"/>
      <c r="AA60" s="2737"/>
      <c r="AB60" s="2737"/>
      <c r="AC60" s="2737"/>
      <c r="AD60" s="2737"/>
    </row>
    <row r="61" spans="1:30" ht="15" thickTop="1">
      <c r="A61" s="472" t="s">
        <v>1690</v>
      </c>
      <c r="B61" s="473" t="s">
        <v>1726</v>
      </c>
      <c r="C61" s="518" t="s">
        <v>1721</v>
      </c>
      <c r="D61" s="518" t="s">
        <v>1722</v>
      </c>
      <c r="E61" s="518" t="s">
        <v>1723</v>
      </c>
      <c r="F61" s="518" t="s">
        <v>1724</v>
      </c>
      <c r="G61" s="518" t="s">
        <v>1725</v>
      </c>
      <c r="H61" s="474"/>
      <c r="I61" s="474"/>
      <c r="J61" s="474"/>
      <c r="K61" s="519"/>
      <c r="L61" s="520"/>
      <c r="M61" s="521"/>
      <c r="N61" s="2743"/>
      <c r="O61" s="2743"/>
      <c r="P61" s="2770"/>
      <c r="Q61" s="2729"/>
      <c r="R61" s="2715"/>
      <c r="S61" s="2715"/>
      <c r="T61" s="2715"/>
      <c r="U61" s="2715"/>
      <c r="V61" s="2715"/>
      <c r="W61" s="2715"/>
      <c r="X61" s="2715"/>
      <c r="Y61" s="2715"/>
      <c r="Z61" s="2715"/>
      <c r="AA61" s="2715"/>
      <c r="AB61" s="2715"/>
      <c r="AC61" s="2715"/>
      <c r="AD61" s="2715"/>
    </row>
    <row r="62" spans="1:30" ht="15.75" thickBot="1">
      <c r="A62" s="479"/>
      <c r="B62" s="488"/>
      <c r="C62" s="489">
        <v>100</v>
      </c>
      <c r="D62" s="489">
        <f>C62-$K14</f>
        <v>100</v>
      </c>
      <c r="E62" s="489">
        <f>D62-$K14</f>
        <v>100</v>
      </c>
      <c r="F62" s="489">
        <f>E62-$K14</f>
        <v>100</v>
      </c>
      <c r="G62" s="489">
        <f>F62-$K14</f>
        <v>100</v>
      </c>
      <c r="H62" s="489"/>
      <c r="I62" s="489"/>
      <c r="J62" s="489"/>
      <c r="K62" s="489"/>
      <c r="L62" s="489"/>
      <c r="M62" s="490"/>
      <c r="N62" s="2744"/>
      <c r="O62" s="2744"/>
      <c r="P62" s="2768"/>
      <c r="Q62" s="2729"/>
      <c r="R62" s="2715"/>
      <c r="S62" s="2715"/>
      <c r="T62" s="2715"/>
      <c r="U62" s="2715"/>
      <c r="V62" s="2715"/>
      <c r="W62" s="2715"/>
      <c r="X62" s="2715"/>
      <c r="Y62" s="2715"/>
      <c r="Z62" s="2715"/>
      <c r="AA62" s="2715"/>
      <c r="AB62" s="2715"/>
      <c r="AC62" s="2715"/>
      <c r="AD62" s="2715"/>
    </row>
    <row r="63" spans="1:30" ht="27.75" thickTop="1">
      <c r="A63" s="479"/>
      <c r="B63" s="483" t="s">
        <v>1863</v>
      </c>
      <c r="C63" s="523" t="s">
        <v>1721</v>
      </c>
      <c r="D63" s="523" t="s">
        <v>1722</v>
      </c>
      <c r="E63" s="523" t="s">
        <v>1723</v>
      </c>
      <c r="F63" s="523" t="s">
        <v>1724</v>
      </c>
      <c r="G63" s="523" t="s">
        <v>1725</v>
      </c>
      <c r="H63" s="484"/>
      <c r="I63" s="484"/>
      <c r="J63" s="484"/>
      <c r="K63" s="485"/>
      <c r="L63" s="486"/>
      <c r="M63" s="487"/>
      <c r="N63" s="2743"/>
      <c r="O63" s="2743"/>
      <c r="P63" s="2768"/>
      <c r="Q63" s="2729"/>
      <c r="R63" s="2715"/>
      <c r="S63" s="2715"/>
      <c r="T63" s="2715"/>
      <c r="U63" s="2715"/>
      <c r="V63" s="2715"/>
      <c r="W63" s="2715"/>
      <c r="X63" s="2715"/>
      <c r="Y63" s="2715"/>
      <c r="Z63" s="2715"/>
      <c r="AA63" s="2715"/>
      <c r="AB63" s="2715"/>
      <c r="AC63" s="2715"/>
      <c r="AD63" s="2715"/>
    </row>
    <row r="64" spans="1:30" ht="15.75" thickBot="1">
      <c r="A64" s="479"/>
      <c r="B64" s="488"/>
      <c r="C64" s="489">
        <v>100</v>
      </c>
      <c r="D64" s="489">
        <f>C64-$K16</f>
        <v>100</v>
      </c>
      <c r="E64" s="489">
        <f>D64-$K16</f>
        <v>100</v>
      </c>
      <c r="F64" s="489">
        <f>E64-$K16</f>
        <v>100</v>
      </c>
      <c r="G64" s="489">
        <f>F64-$K16</f>
        <v>100</v>
      </c>
      <c r="H64" s="489"/>
      <c r="I64" s="489"/>
      <c r="J64" s="489"/>
      <c r="K64" s="489"/>
      <c r="L64" s="489"/>
      <c r="M64" s="490"/>
      <c r="N64" s="2744"/>
      <c r="O64" s="2744"/>
      <c r="P64" s="2768"/>
      <c r="Q64" s="2729"/>
      <c r="R64" s="2715"/>
      <c r="S64" s="2715"/>
      <c r="T64" s="2715"/>
      <c r="U64" s="2715"/>
      <c r="V64" s="2715"/>
      <c r="W64" s="2715"/>
      <c r="X64" s="2715"/>
      <c r="Y64" s="2715"/>
      <c r="Z64" s="2715"/>
      <c r="AA64" s="2715"/>
      <c r="AB64" s="2715"/>
      <c r="AC64" s="2715"/>
      <c r="AD64" s="2715"/>
    </row>
    <row r="65" spans="1:30" ht="15.75" thickTop="1">
      <c r="A65" s="479"/>
      <c r="B65" s="491" t="s">
        <v>1813</v>
      </c>
      <c r="C65" s="604" t="s">
        <v>1799</v>
      </c>
      <c r="D65" s="604" t="s">
        <v>1800</v>
      </c>
      <c r="E65" s="604" t="s">
        <v>1801</v>
      </c>
      <c r="F65" s="604" t="s">
        <v>1802</v>
      </c>
      <c r="G65" s="604" t="s">
        <v>1803</v>
      </c>
      <c r="H65" s="484"/>
      <c r="I65" s="484"/>
      <c r="J65" s="484"/>
      <c r="K65" s="484"/>
      <c r="L65" s="484"/>
      <c r="M65" s="1125"/>
      <c r="N65" s="2744"/>
      <c r="O65" s="2744"/>
      <c r="P65" s="2768"/>
      <c r="Q65" s="2729"/>
      <c r="R65" s="2715"/>
      <c r="S65" s="2715"/>
      <c r="T65" s="2715"/>
      <c r="U65" s="2715"/>
      <c r="V65" s="2715"/>
      <c r="W65" s="2715"/>
      <c r="X65" s="2715"/>
      <c r="Y65" s="2715"/>
      <c r="Z65" s="2715"/>
      <c r="AA65" s="2715"/>
      <c r="AB65" s="2715"/>
      <c r="AC65" s="2715"/>
      <c r="AD65" s="2715"/>
    </row>
    <row r="66" spans="1:30" ht="15.75" thickBot="1">
      <c r="A66" s="479"/>
      <c r="B66" s="491"/>
      <c r="C66" s="489">
        <v>100</v>
      </c>
      <c r="D66" s="489">
        <f>C66-$K18</f>
        <v>100</v>
      </c>
      <c r="E66" s="489">
        <f>D66-$K18</f>
        <v>100</v>
      </c>
      <c r="F66" s="489">
        <f>E66-$K18</f>
        <v>100</v>
      </c>
      <c r="G66" s="489">
        <f>F66-$K18</f>
        <v>100</v>
      </c>
      <c r="H66" s="604"/>
      <c r="I66" s="604"/>
      <c r="J66" s="604"/>
      <c r="K66" s="604"/>
      <c r="L66" s="604"/>
      <c r="M66" s="397"/>
      <c r="N66" s="2744"/>
      <c r="O66" s="2744"/>
      <c r="P66" s="2768"/>
      <c r="Q66" s="2729"/>
      <c r="R66" s="2715"/>
      <c r="S66" s="2715"/>
      <c r="T66" s="2715"/>
      <c r="U66" s="2715"/>
      <c r="V66" s="2715"/>
      <c r="W66" s="2715"/>
      <c r="X66" s="2715"/>
      <c r="Y66" s="2715"/>
      <c r="Z66" s="2715"/>
      <c r="AA66" s="2715"/>
      <c r="AB66" s="2715"/>
      <c r="AC66" s="2715"/>
      <c r="AD66" s="2715"/>
    </row>
    <row r="67" spans="1:30" ht="15.75" thickTop="1">
      <c r="A67" s="479"/>
      <c r="B67" s="483" t="s">
        <v>1733</v>
      </c>
      <c r="C67" s="523" t="s">
        <v>1721</v>
      </c>
      <c r="D67" s="523" t="s">
        <v>1722</v>
      </c>
      <c r="E67" s="523" t="s">
        <v>1723</v>
      </c>
      <c r="F67" s="523" t="s">
        <v>1724</v>
      </c>
      <c r="G67" s="523" t="s">
        <v>1725</v>
      </c>
      <c r="H67" s="484"/>
      <c r="I67" s="484"/>
      <c r="J67" s="484"/>
      <c r="K67" s="485"/>
      <c r="L67" s="486"/>
      <c r="M67" s="487"/>
      <c r="N67" s="2743"/>
      <c r="O67" s="2743"/>
      <c r="P67" s="2768"/>
      <c r="Q67" s="2729"/>
      <c r="R67" s="2715"/>
      <c r="S67" s="2715"/>
      <c r="T67" s="2715"/>
      <c r="U67" s="2715"/>
      <c r="V67" s="2715"/>
      <c r="W67" s="2715"/>
      <c r="X67" s="2715"/>
      <c r="Y67" s="2715"/>
      <c r="Z67" s="2715"/>
      <c r="AA67" s="2715"/>
      <c r="AB67" s="2715"/>
      <c r="AC67" s="2715"/>
      <c r="AD67" s="2715"/>
    </row>
    <row r="68" spans="1:30" ht="15.75" thickBot="1">
      <c r="A68" s="479"/>
      <c r="B68" s="488"/>
      <c r="C68" s="489">
        <v>100</v>
      </c>
      <c r="D68" s="489">
        <f>C68-$K20</f>
        <v>100</v>
      </c>
      <c r="E68" s="489">
        <f>D68-$K20</f>
        <v>100</v>
      </c>
      <c r="F68" s="489">
        <f>E68-$K20</f>
        <v>100</v>
      </c>
      <c r="G68" s="489">
        <f>F68-$K20</f>
        <v>100</v>
      </c>
      <c r="H68" s="489"/>
      <c r="I68" s="489"/>
      <c r="J68" s="489"/>
      <c r="K68" s="489"/>
      <c r="L68" s="489"/>
      <c r="M68" s="490"/>
      <c r="N68" s="2744"/>
      <c r="O68" s="2744"/>
      <c r="P68" s="2768"/>
      <c r="Q68" s="2729"/>
      <c r="R68" s="2715"/>
      <c r="S68" s="2715"/>
      <c r="T68" s="2715"/>
      <c r="U68" s="2715"/>
      <c r="V68" s="2715"/>
      <c r="W68" s="2715"/>
      <c r="X68" s="2715"/>
      <c r="Y68" s="2715"/>
      <c r="Z68" s="2715"/>
      <c r="AA68" s="2715"/>
      <c r="AB68" s="2715"/>
      <c r="AC68" s="2715"/>
      <c r="AD68" s="2715"/>
    </row>
    <row r="69" spans="1:30" ht="15.75" thickTop="1">
      <c r="A69" s="479"/>
      <c r="B69" s="483" t="s">
        <v>1852</v>
      </c>
      <c r="C69" s="499"/>
      <c r="D69" s="499"/>
      <c r="E69" s="499"/>
      <c r="F69" s="499"/>
      <c r="G69" s="499"/>
      <c r="H69" s="528"/>
      <c r="I69" s="528"/>
      <c r="J69" s="528"/>
      <c r="K69" s="529"/>
      <c r="L69" s="530"/>
      <c r="M69" s="531"/>
      <c r="N69" s="2743"/>
      <c r="O69" s="2743"/>
      <c r="P69" s="2768"/>
      <c r="Q69" s="2729"/>
      <c r="R69" s="2715"/>
      <c r="S69" s="2715"/>
      <c r="T69" s="2715"/>
      <c r="U69" s="2715"/>
      <c r="V69" s="2715"/>
      <c r="W69" s="2715"/>
      <c r="X69" s="2715"/>
      <c r="Y69" s="2715"/>
      <c r="Z69" s="2715"/>
      <c r="AA69" s="2715"/>
      <c r="AB69" s="2715"/>
      <c r="AC69" s="2715"/>
      <c r="AD69" s="2715"/>
    </row>
    <row r="70" spans="1:30" ht="15.75" thickBot="1">
      <c r="A70" s="479"/>
      <c r="B70" s="488"/>
      <c r="C70" s="489">
        <v>100</v>
      </c>
      <c r="D70" s="489">
        <f>C70-$K22</f>
        <v>100</v>
      </c>
      <c r="E70" s="489"/>
      <c r="F70" s="489"/>
      <c r="G70" s="489"/>
      <c r="H70" s="489"/>
      <c r="I70" s="489"/>
      <c r="J70" s="489"/>
      <c r="K70" s="489"/>
      <c r="L70" s="489"/>
      <c r="M70" s="490"/>
      <c r="N70" s="2744"/>
      <c r="O70" s="2744"/>
      <c r="P70" s="2768"/>
      <c r="Q70" s="2729"/>
      <c r="R70" s="2715"/>
      <c r="S70" s="2715"/>
      <c r="T70" s="2715"/>
      <c r="U70" s="2715"/>
      <c r="V70" s="2715"/>
      <c r="W70" s="2715"/>
      <c r="X70" s="2715"/>
      <c r="Y70" s="2715"/>
      <c r="Z70" s="2715"/>
      <c r="AA70" s="2715"/>
      <c r="AB70" s="2715"/>
      <c r="AC70" s="2715"/>
      <c r="AD70" s="2715"/>
    </row>
    <row r="71" spans="1:30" s="106" customFormat="1" ht="15.75" thickTop="1">
      <c r="A71" s="524"/>
      <c r="B71" s="483">
        <f>B23</f>
        <v>111</v>
      </c>
      <c r="C71" s="494"/>
      <c r="D71" s="494"/>
      <c r="E71" s="494"/>
      <c r="F71" s="494"/>
      <c r="G71" s="499"/>
      <c r="H71" s="499"/>
      <c r="I71" s="499"/>
      <c r="J71" s="499"/>
      <c r="K71" s="499"/>
      <c r="L71" s="525"/>
      <c r="M71" s="526"/>
      <c r="N71" s="2742"/>
      <c r="O71" s="2742"/>
      <c r="P71" s="2768"/>
      <c r="Q71" s="2729"/>
      <c r="R71" s="2652"/>
      <c r="S71" s="2652"/>
      <c r="T71" s="2652"/>
      <c r="U71" s="2652"/>
      <c r="V71" s="2652"/>
      <c r="W71" s="2652"/>
      <c r="X71" s="2652"/>
      <c r="Y71" s="2652"/>
      <c r="Z71" s="2652"/>
      <c r="AA71" s="2652"/>
      <c r="AB71" s="2652"/>
      <c r="AC71" s="2652"/>
      <c r="AD71" s="2652"/>
    </row>
    <row r="72" spans="1:30" s="106" customFormat="1" ht="15.75" thickBot="1">
      <c r="A72" s="524"/>
      <c r="B72" s="488"/>
      <c r="C72" s="505"/>
      <c r="D72" s="481"/>
      <c r="E72" s="481"/>
      <c r="F72" s="481"/>
      <c r="G72" s="481"/>
      <c r="H72" s="481"/>
      <c r="I72" s="481"/>
      <c r="J72" s="481"/>
      <c r="K72" s="481"/>
      <c r="L72" s="481"/>
      <c r="M72" s="482"/>
      <c r="N72" s="2744"/>
      <c r="O72" s="2744"/>
      <c r="P72" s="2768"/>
      <c r="Q72" s="2729"/>
      <c r="R72" s="2652"/>
      <c r="S72" s="2652"/>
      <c r="T72" s="2652"/>
      <c r="U72" s="2652"/>
      <c r="V72" s="2652"/>
      <c r="W72" s="2652"/>
      <c r="X72" s="2652"/>
      <c r="Y72" s="2652"/>
      <c r="Z72" s="2652"/>
      <c r="AA72" s="2652"/>
      <c r="AB72" s="2652"/>
      <c r="AC72" s="2652"/>
      <c r="AD72" s="2652"/>
    </row>
    <row r="73" spans="1:30" s="106" customFormat="1" ht="15.75" thickTop="1">
      <c r="A73" s="524"/>
      <c r="B73" s="483">
        <f>B24</f>
        <v>111</v>
      </c>
      <c r="C73" s="494"/>
      <c r="D73" s="494"/>
      <c r="E73" s="494"/>
      <c r="F73" s="494"/>
      <c r="G73" s="499"/>
      <c r="H73" s="499"/>
      <c r="I73" s="499"/>
      <c r="J73" s="499"/>
      <c r="K73" s="499"/>
      <c r="L73" s="499"/>
      <c r="M73" s="526"/>
      <c r="N73" s="2742"/>
      <c r="O73" s="2742"/>
      <c r="P73" s="2768"/>
      <c r="Q73" s="2729"/>
      <c r="R73" s="2652"/>
      <c r="S73" s="2652"/>
      <c r="T73" s="2652"/>
      <c r="U73" s="2652"/>
      <c r="V73" s="2652"/>
      <c r="W73" s="2652"/>
      <c r="X73" s="2652"/>
      <c r="Y73" s="2652"/>
      <c r="Z73" s="2652"/>
      <c r="AA73" s="2652"/>
      <c r="AB73" s="2652"/>
      <c r="AC73" s="2652"/>
      <c r="AD73" s="2652"/>
    </row>
    <row r="74" spans="1:30" s="106" customFormat="1" ht="15.75" thickBot="1">
      <c r="A74" s="524"/>
      <c r="B74" s="488"/>
      <c r="C74" s="505"/>
      <c r="D74" s="481"/>
      <c r="E74" s="481"/>
      <c r="F74" s="481"/>
      <c r="G74" s="481"/>
      <c r="H74" s="481"/>
      <c r="I74" s="481"/>
      <c r="J74" s="481"/>
      <c r="K74" s="481"/>
      <c r="L74" s="481"/>
      <c r="M74" s="482"/>
      <c r="N74" s="2744"/>
      <c r="O74" s="2744"/>
      <c r="P74" s="2768"/>
      <c r="Q74" s="2729"/>
      <c r="R74" s="2652"/>
      <c r="S74" s="2652"/>
      <c r="T74" s="2652"/>
      <c r="U74" s="2652"/>
      <c r="V74" s="2652"/>
      <c r="W74" s="2652"/>
      <c r="X74" s="2652"/>
      <c r="Y74" s="2652"/>
      <c r="Z74" s="2652"/>
      <c r="AA74" s="2652"/>
      <c r="AB74" s="2652"/>
      <c r="AC74" s="2652"/>
      <c r="AD74" s="2652"/>
    </row>
    <row r="75" spans="1:30" s="418" customFormat="1" ht="15.75" thickTop="1">
      <c r="A75" s="498"/>
      <c r="B75" s="483">
        <f>B25</f>
        <v>111</v>
      </c>
      <c r="C75" s="494"/>
      <c r="D75" s="494"/>
      <c r="E75" s="494"/>
      <c r="F75" s="494"/>
      <c r="G75" s="499"/>
      <c r="H75" s="500"/>
      <c r="I75" s="500"/>
      <c r="J75" s="500"/>
      <c r="K75" s="500"/>
      <c r="L75" s="501"/>
      <c r="M75" s="502"/>
      <c r="N75" s="2745"/>
      <c r="O75" s="2745"/>
      <c r="P75" s="2769"/>
      <c r="Q75" s="2736"/>
      <c r="R75" s="2737"/>
      <c r="S75" s="2737"/>
      <c r="T75" s="2737"/>
      <c r="U75" s="2737"/>
      <c r="V75" s="2737"/>
      <c r="W75" s="2737"/>
      <c r="X75" s="2737"/>
      <c r="Y75" s="2737"/>
      <c r="Z75" s="2737"/>
      <c r="AA75" s="2737"/>
      <c r="AB75" s="2737"/>
      <c r="AC75" s="2737"/>
      <c r="AD75" s="2737"/>
    </row>
    <row r="76" spans="1:30" s="418" customFormat="1" ht="15.75" thickBot="1">
      <c r="A76" s="498"/>
      <c r="B76" s="488"/>
      <c r="C76" s="505"/>
      <c r="D76" s="505"/>
      <c r="E76" s="505"/>
      <c r="F76" s="505"/>
      <c r="G76" s="481"/>
      <c r="H76" s="481"/>
      <c r="I76" s="481"/>
      <c r="J76" s="481"/>
      <c r="K76" s="481"/>
      <c r="L76" s="481"/>
      <c r="M76" s="482"/>
      <c r="N76" s="2745"/>
      <c r="O76" s="2745"/>
      <c r="P76" s="2769"/>
      <c r="Q76" s="2736"/>
      <c r="R76" s="2737"/>
      <c r="S76" s="2737"/>
      <c r="T76" s="2737"/>
      <c r="U76" s="2737"/>
      <c r="V76" s="2737"/>
      <c r="W76" s="2737"/>
      <c r="X76" s="2737"/>
      <c r="Y76" s="2737"/>
      <c r="Z76" s="2737"/>
      <c r="AA76" s="2737"/>
      <c r="AB76" s="2737"/>
      <c r="AC76" s="2737"/>
      <c r="AD76" s="2737"/>
    </row>
    <row r="77" spans="1:30" ht="15" thickTop="1">
      <c r="A77" s="472" t="s">
        <v>1694</v>
      </c>
      <c r="B77" s="473" t="s">
        <v>1740</v>
      </c>
      <c r="C77" s="499"/>
      <c r="D77" s="499"/>
      <c r="E77" s="475"/>
      <c r="F77" s="475"/>
      <c r="G77" s="475"/>
      <c r="H77" s="475"/>
      <c r="I77" s="475"/>
      <c r="J77" s="475"/>
      <c r="K77" s="476"/>
      <c r="L77" s="477"/>
      <c r="M77" s="478"/>
      <c r="N77" s="2743"/>
      <c r="O77" s="2743"/>
      <c r="P77" s="2768"/>
      <c r="Q77" s="2729"/>
      <c r="R77" s="2715"/>
      <c r="S77" s="2715"/>
      <c r="T77" s="2715"/>
      <c r="U77" s="2715"/>
      <c r="V77" s="2715"/>
      <c r="W77" s="2715"/>
      <c r="X77" s="2715"/>
      <c r="Y77" s="2715"/>
      <c r="Z77" s="2715"/>
      <c r="AA77" s="2715"/>
      <c r="AB77" s="2715"/>
      <c r="AC77" s="2715"/>
      <c r="AD77" s="2715"/>
    </row>
    <row r="78" spans="1:30" ht="15.75" thickBot="1">
      <c r="A78" s="479"/>
      <c r="B78" s="488"/>
      <c r="C78" s="489">
        <v>100</v>
      </c>
      <c r="D78" s="489">
        <f t="shared" ref="D78:M78" si="17">C78-$K26</f>
        <v>100</v>
      </c>
      <c r="E78" s="489">
        <f t="shared" si="17"/>
        <v>100</v>
      </c>
      <c r="F78" s="489">
        <f t="shared" si="17"/>
        <v>100</v>
      </c>
      <c r="G78" s="489">
        <f t="shared" si="17"/>
        <v>100</v>
      </c>
      <c r="H78" s="489">
        <f t="shared" si="17"/>
        <v>100</v>
      </c>
      <c r="I78" s="489">
        <f t="shared" si="17"/>
        <v>100</v>
      </c>
      <c r="J78" s="489">
        <f t="shared" si="17"/>
        <v>100</v>
      </c>
      <c r="K78" s="489">
        <f t="shared" si="17"/>
        <v>100</v>
      </c>
      <c r="L78" s="489">
        <f t="shared" si="17"/>
        <v>100</v>
      </c>
      <c r="M78" s="490">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79"/>
      <c r="B79" s="483" t="s">
        <v>1855</v>
      </c>
      <c r="C79" s="523" t="str">
        <f>C80&amp;"(含)"&amp;"-"&amp;D80</f>
        <v>0.5(含)-0.6</v>
      </c>
      <c r="D79" s="523" t="str">
        <f>D80&amp;"(含)"&amp;"-"&amp;E80</f>
        <v>0.6(含)-0.7</v>
      </c>
      <c r="E79" s="523" t="str">
        <f>E80&amp;"(含)"&amp;"-"&amp;F80</f>
        <v>0.7(含)-0.8</v>
      </c>
      <c r="F79" s="523" t="str">
        <f>F80&amp;"(含)"&amp;"-"&amp;G80</f>
        <v>0.8(含)-0.9</v>
      </c>
      <c r="G79" s="523" t="str">
        <f>G80&amp;"(含)"&amp;"-"&amp;ROUND(H80,0)&amp;"(含)"</f>
        <v>0.9(含)-1(含)</v>
      </c>
      <c r="H79" s="523"/>
      <c r="I79" s="484"/>
      <c r="J79" s="484"/>
      <c r="K79" s="485"/>
      <c r="L79" s="486"/>
      <c r="M79" s="487"/>
      <c r="N79" s="2742"/>
      <c r="O79" s="2742"/>
      <c r="P79" s="2768"/>
      <c r="Q79" s="2729"/>
      <c r="R79" s="2715"/>
      <c r="S79" s="2715"/>
      <c r="T79" s="2715"/>
      <c r="U79" s="2715"/>
      <c r="V79" s="2715"/>
      <c r="W79" s="2715"/>
      <c r="X79" s="2715"/>
      <c r="Y79" s="2715"/>
      <c r="Z79" s="2715"/>
      <c r="AA79" s="2715"/>
      <c r="AB79" s="2715"/>
      <c r="AC79" s="2715"/>
      <c r="AD79" s="2715"/>
    </row>
    <row r="80" spans="1:30" ht="15">
      <c r="A80" s="479"/>
      <c r="B80" s="491"/>
      <c r="C80" s="548">
        <v>0.5</v>
      </c>
      <c r="D80" s="548">
        <v>0.6</v>
      </c>
      <c r="E80" s="548">
        <v>0.7</v>
      </c>
      <c r="F80" s="548">
        <v>0.8</v>
      </c>
      <c r="G80" s="548">
        <v>0.9</v>
      </c>
      <c r="H80" s="548">
        <v>1.0001</v>
      </c>
      <c r="I80" s="604"/>
      <c r="J80" s="604"/>
      <c r="K80" s="612"/>
      <c r="L80" s="613"/>
      <c r="M80" s="614"/>
      <c r="N80" s="2742"/>
      <c r="O80" s="2742"/>
      <c r="P80" s="2768"/>
      <c r="Q80" s="2729"/>
      <c r="R80" s="2715"/>
      <c r="S80" s="2715"/>
      <c r="T80" s="2715"/>
      <c r="U80" s="2715"/>
      <c r="V80" s="2715"/>
      <c r="W80" s="2715"/>
      <c r="X80" s="2715"/>
      <c r="Y80" s="2715"/>
      <c r="Z80" s="2715"/>
      <c r="AA80" s="2715"/>
      <c r="AB80" s="2715"/>
      <c r="AC80" s="2715"/>
      <c r="AD80" s="2715"/>
    </row>
    <row r="81" spans="1:30" s="418" customFormat="1" ht="15.75" thickBot="1">
      <c r="A81" s="498"/>
      <c r="B81" s="488"/>
      <c r="C81" s="527">
        <v>100</v>
      </c>
      <c r="D81" s="489">
        <f t="shared" ref="D81:M81" si="18">C81+$K27</f>
        <v>100</v>
      </c>
      <c r="E81" s="489">
        <f t="shared" si="18"/>
        <v>100</v>
      </c>
      <c r="F81" s="489">
        <f t="shared" si="18"/>
        <v>100</v>
      </c>
      <c r="G81" s="489">
        <f t="shared" si="18"/>
        <v>100</v>
      </c>
      <c r="H81" s="489">
        <f t="shared" si="18"/>
        <v>100</v>
      </c>
      <c r="I81" s="489">
        <f t="shared" si="18"/>
        <v>100</v>
      </c>
      <c r="J81" s="489">
        <f t="shared" si="18"/>
        <v>100</v>
      </c>
      <c r="K81" s="489">
        <f t="shared" si="18"/>
        <v>100</v>
      </c>
      <c r="L81" s="489">
        <f t="shared" si="18"/>
        <v>100</v>
      </c>
      <c r="M81" s="489">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4"/>
      <c r="B82" s="491" t="s">
        <v>1856</v>
      </c>
      <c r="C82" s="499"/>
      <c r="D82" s="499"/>
      <c r="E82" s="528"/>
      <c r="F82" s="528"/>
      <c r="G82" s="528"/>
      <c r="H82" s="528"/>
      <c r="I82" s="528"/>
      <c r="J82" s="528"/>
      <c r="K82" s="529"/>
      <c r="L82" s="530"/>
      <c r="M82" s="531"/>
      <c r="N82" s="2743"/>
      <c r="O82" s="2743"/>
      <c r="P82" s="2768"/>
      <c r="Q82" s="2729"/>
      <c r="R82" s="2715"/>
      <c r="S82" s="2715"/>
      <c r="T82" s="2715"/>
      <c r="U82" s="2715"/>
      <c r="V82" s="2715"/>
      <c r="W82" s="2715"/>
      <c r="X82" s="2715"/>
      <c r="Y82" s="2715"/>
      <c r="Z82" s="2715"/>
      <c r="AA82" s="2715"/>
      <c r="AB82" s="2715"/>
      <c r="AC82" s="2715"/>
      <c r="AD82" s="2715"/>
    </row>
    <row r="83" spans="1:30" ht="15.75" thickBot="1">
      <c r="A83" s="479"/>
      <c r="B83" s="488"/>
      <c r="C83" s="489">
        <v>100</v>
      </c>
      <c r="D83" s="489">
        <f t="shared" ref="D83:M83" si="19">C83-$K28</f>
        <v>100</v>
      </c>
      <c r="E83" s="489">
        <f t="shared" si="19"/>
        <v>100</v>
      </c>
      <c r="F83" s="489">
        <f t="shared" si="19"/>
        <v>100</v>
      </c>
      <c r="G83" s="489">
        <f t="shared" si="19"/>
        <v>100</v>
      </c>
      <c r="H83" s="489">
        <f t="shared" si="19"/>
        <v>100</v>
      </c>
      <c r="I83" s="489">
        <f t="shared" si="19"/>
        <v>100</v>
      </c>
      <c r="J83" s="489">
        <f t="shared" si="19"/>
        <v>100</v>
      </c>
      <c r="K83" s="489">
        <f t="shared" si="19"/>
        <v>100</v>
      </c>
      <c r="L83" s="489">
        <f t="shared" si="19"/>
        <v>100</v>
      </c>
      <c r="M83" s="490">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4"/>
      <c r="B84" s="483" t="s">
        <v>1864</v>
      </c>
      <c r="C84" s="499"/>
      <c r="D84" s="499"/>
      <c r="E84" s="499"/>
      <c r="F84" s="499"/>
      <c r="G84" s="499"/>
      <c r="H84" s="499"/>
      <c r="I84" s="528"/>
      <c r="J84" s="528"/>
      <c r="K84" s="529"/>
      <c r="L84" s="530"/>
      <c r="M84" s="531"/>
      <c r="N84" s="2743"/>
      <c r="O84" s="2743"/>
      <c r="P84" s="2768"/>
      <c r="Q84" s="2729"/>
      <c r="R84" s="2715"/>
      <c r="S84" s="2715"/>
      <c r="T84" s="2715"/>
      <c r="U84" s="2715"/>
      <c r="V84" s="2715"/>
      <c r="W84" s="2715"/>
      <c r="X84" s="2715"/>
      <c r="Y84" s="2715"/>
      <c r="Z84" s="2715"/>
      <c r="AA84" s="2715"/>
      <c r="AB84" s="2715"/>
      <c r="AC84" s="2715"/>
      <c r="AD84" s="2715"/>
    </row>
    <row r="85" spans="1:30" ht="15.75" thickBot="1">
      <c r="A85" s="479"/>
      <c r="B85" s="488"/>
      <c r="C85" s="527">
        <v>100</v>
      </c>
      <c r="D85" s="489">
        <f t="shared" ref="D85:M85" si="20">C85+$K29</f>
        <v>100</v>
      </c>
      <c r="E85" s="489">
        <f t="shared" si="20"/>
        <v>100</v>
      </c>
      <c r="F85" s="489">
        <f t="shared" si="20"/>
        <v>100</v>
      </c>
      <c r="G85" s="489">
        <f t="shared" si="20"/>
        <v>100</v>
      </c>
      <c r="H85" s="489">
        <f t="shared" si="20"/>
        <v>100</v>
      </c>
      <c r="I85" s="489">
        <f t="shared" si="20"/>
        <v>100</v>
      </c>
      <c r="J85" s="489">
        <f t="shared" si="20"/>
        <v>100</v>
      </c>
      <c r="K85" s="489">
        <f t="shared" si="20"/>
        <v>100</v>
      </c>
      <c r="L85" s="489">
        <f t="shared" si="20"/>
        <v>100</v>
      </c>
      <c r="M85" s="489">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4"/>
      <c r="B86" s="491" t="s">
        <v>1865</v>
      </c>
      <c r="C86" s="523" t="str">
        <f t="shared" ref="C86:L86" si="21">C87&amp;"(含)"&amp;"-"&amp;D87</f>
        <v>(含)-</v>
      </c>
      <c r="D86" s="523" t="str">
        <f t="shared" si="21"/>
        <v>(含)-</v>
      </c>
      <c r="E86" s="523" t="str">
        <f t="shared" si="21"/>
        <v>(含)-</v>
      </c>
      <c r="F86" s="523" t="str">
        <f t="shared" si="21"/>
        <v>(含)-</v>
      </c>
      <c r="G86" s="523" t="str">
        <f t="shared" si="21"/>
        <v>(含)-</v>
      </c>
      <c r="H86" s="523" t="str">
        <f t="shared" si="21"/>
        <v>(含)-</v>
      </c>
      <c r="I86" s="523" t="str">
        <f t="shared" si="21"/>
        <v>(含)-</v>
      </c>
      <c r="J86" s="523" t="str">
        <f t="shared" si="21"/>
        <v>(含)-</v>
      </c>
      <c r="K86" s="523" t="str">
        <f t="shared" si="21"/>
        <v>(含)-</v>
      </c>
      <c r="L86" s="523" t="str">
        <f t="shared" si="21"/>
        <v>(含)-</v>
      </c>
      <c r="M86" s="566"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4"/>
      <c r="B87" s="491"/>
      <c r="C87" s="540"/>
      <c r="D87" s="540"/>
      <c r="E87" s="540"/>
      <c r="F87" s="540"/>
      <c r="G87" s="540"/>
      <c r="H87" s="540"/>
      <c r="I87" s="540"/>
      <c r="J87" s="541"/>
      <c r="K87" s="541"/>
      <c r="L87" s="542"/>
      <c r="M87" s="543"/>
      <c r="N87" s="2743"/>
      <c r="O87" s="2743"/>
      <c r="P87" s="2768"/>
      <c r="Q87" s="2729"/>
      <c r="R87" s="2715"/>
      <c r="S87" s="2715"/>
      <c r="T87" s="2715"/>
      <c r="U87" s="2715"/>
      <c r="V87" s="2715"/>
      <c r="W87" s="2715"/>
      <c r="X87" s="2715"/>
      <c r="Y87" s="2715"/>
      <c r="Z87" s="2715"/>
      <c r="AA87" s="2715"/>
      <c r="AB87" s="2715"/>
      <c r="AC87" s="2715"/>
      <c r="AD87" s="2715"/>
    </row>
    <row r="88" spans="1:30" ht="15.75" thickBot="1">
      <c r="A88" s="479"/>
      <c r="B88" s="488"/>
      <c r="C88" s="505"/>
      <c r="D88" s="481"/>
      <c r="E88" s="481"/>
      <c r="F88" s="481"/>
      <c r="G88" s="481"/>
      <c r="H88" s="481"/>
      <c r="I88" s="481"/>
      <c r="J88" s="481"/>
      <c r="K88" s="481"/>
      <c r="L88" s="481"/>
      <c r="M88" s="481"/>
      <c r="N88" s="2744"/>
      <c r="O88" s="2744"/>
      <c r="P88" s="2768"/>
      <c r="Q88" s="2729"/>
      <c r="R88" s="2715"/>
      <c r="S88" s="2715"/>
      <c r="T88" s="2715"/>
      <c r="U88" s="2715"/>
      <c r="V88" s="2715"/>
      <c r="W88" s="2715"/>
      <c r="X88" s="2715"/>
      <c r="Y88" s="2715"/>
      <c r="Z88" s="2715"/>
      <c r="AA88" s="2715"/>
      <c r="AB88" s="2715"/>
      <c r="AC88" s="2715"/>
      <c r="AD88" s="2715"/>
    </row>
    <row r="89" spans="1:30" s="418" customFormat="1" ht="15" thickTop="1">
      <c r="A89" s="538"/>
      <c r="B89" s="483" t="s">
        <v>1866</v>
      </c>
      <c r="C89" s="499"/>
      <c r="D89" s="499"/>
      <c r="E89" s="499"/>
      <c r="F89" s="499"/>
      <c r="G89" s="499"/>
      <c r="H89" s="499"/>
      <c r="I89" s="499"/>
      <c r="J89" s="499"/>
      <c r="K89" s="499"/>
      <c r="L89" s="499"/>
      <c r="M89" s="526"/>
      <c r="N89" s="2745"/>
      <c r="O89" s="2745"/>
      <c r="P89" s="2769"/>
      <c r="Q89" s="2736"/>
      <c r="R89" s="2737"/>
      <c r="S89" s="2737"/>
      <c r="T89" s="2737"/>
      <c r="U89" s="2737"/>
      <c r="V89" s="2737"/>
      <c r="W89" s="2737"/>
      <c r="X89" s="2737"/>
      <c r="Y89" s="2737"/>
      <c r="Z89" s="2737"/>
      <c r="AA89" s="2737"/>
      <c r="AB89" s="2737"/>
      <c r="AC89" s="2737"/>
      <c r="AD89" s="2737"/>
    </row>
    <row r="90" spans="1:30" s="418" customFormat="1" ht="15.75" thickBot="1">
      <c r="A90" s="498"/>
      <c r="B90" s="488"/>
      <c r="C90" s="505"/>
      <c r="D90" s="481"/>
      <c r="E90" s="481"/>
      <c r="F90" s="481"/>
      <c r="G90" s="481"/>
      <c r="H90" s="481"/>
      <c r="I90" s="481"/>
      <c r="J90" s="481"/>
      <c r="K90" s="481"/>
      <c r="L90" s="481"/>
      <c r="M90" s="482"/>
      <c r="N90" s="2745"/>
      <c r="O90" s="2745"/>
      <c r="P90" s="2769"/>
      <c r="Q90" s="2736"/>
      <c r="R90" s="2737"/>
      <c r="S90" s="2737"/>
      <c r="T90" s="2737"/>
      <c r="U90" s="2737"/>
      <c r="V90" s="2737"/>
      <c r="W90" s="2737"/>
      <c r="X90" s="2737"/>
      <c r="Y90" s="2737"/>
      <c r="Z90" s="2737"/>
      <c r="AA90" s="2737"/>
      <c r="AB90" s="2737"/>
      <c r="AC90" s="2737"/>
      <c r="AD90" s="2737"/>
    </row>
    <row r="91" spans="1:30" ht="15" thickTop="1">
      <c r="A91" s="544"/>
      <c r="B91" s="483">
        <f>B32</f>
        <v>111</v>
      </c>
      <c r="C91" s="494"/>
      <c r="D91" s="494"/>
      <c r="E91" s="494"/>
      <c r="F91" s="494"/>
      <c r="G91" s="499"/>
      <c r="H91" s="500"/>
      <c r="I91" s="500"/>
      <c r="J91" s="500"/>
      <c r="K91" s="500"/>
      <c r="L91" s="501"/>
      <c r="M91" s="502"/>
      <c r="N91" s="2743"/>
      <c r="O91" s="2743"/>
      <c r="P91" s="2768"/>
      <c r="Q91" s="2729"/>
      <c r="R91" s="2715"/>
      <c r="S91" s="2715"/>
      <c r="T91" s="2715"/>
      <c r="U91" s="2715"/>
      <c r="V91" s="2715"/>
      <c r="W91" s="2715"/>
      <c r="X91" s="2715"/>
      <c r="Y91" s="2715"/>
      <c r="Z91" s="2715"/>
      <c r="AA91" s="2715"/>
      <c r="AB91" s="2715"/>
      <c r="AC91" s="2715"/>
      <c r="AD91" s="2715"/>
    </row>
    <row r="92" spans="1:30" ht="15.75" thickBot="1">
      <c r="A92" s="479"/>
      <c r="B92" s="488"/>
      <c r="C92" s="505"/>
      <c r="D92" s="481"/>
      <c r="E92" s="481"/>
      <c r="F92" s="481"/>
      <c r="G92" s="505"/>
      <c r="H92" s="507"/>
      <c r="I92" s="507"/>
      <c r="J92" s="507"/>
      <c r="K92" s="507"/>
      <c r="L92" s="507"/>
      <c r="M92" s="508"/>
      <c r="N92" s="2744"/>
      <c r="O92" s="2744"/>
      <c r="P92" s="2768"/>
      <c r="Q92" s="2729"/>
      <c r="R92" s="2715"/>
      <c r="S92" s="2715"/>
      <c r="T92" s="2715"/>
      <c r="U92" s="2715"/>
      <c r="V92" s="2715"/>
      <c r="W92" s="2715"/>
      <c r="X92" s="2715"/>
      <c r="Y92" s="2715"/>
      <c r="Z92" s="2715"/>
      <c r="AA92" s="2715"/>
      <c r="AB92" s="2715"/>
      <c r="AC92" s="2715"/>
      <c r="AD92" s="2715"/>
    </row>
    <row r="93" spans="1:30" ht="15" thickTop="1">
      <c r="A93" s="544"/>
      <c r="B93" s="483">
        <f>B33</f>
        <v>111</v>
      </c>
      <c r="C93" s="494"/>
      <c r="D93" s="494"/>
      <c r="E93" s="494"/>
      <c r="F93" s="494"/>
      <c r="G93" s="499"/>
      <c r="H93" s="500"/>
      <c r="I93" s="500"/>
      <c r="J93" s="500"/>
      <c r="K93" s="500"/>
      <c r="L93" s="501"/>
      <c r="M93" s="502"/>
      <c r="N93" s="2743"/>
      <c r="O93" s="2743"/>
      <c r="P93" s="2768"/>
      <c r="Q93" s="2729"/>
      <c r="R93" s="2715"/>
      <c r="S93" s="2715"/>
      <c r="T93" s="2715"/>
      <c r="U93" s="2715"/>
      <c r="V93" s="2715"/>
      <c r="W93" s="2715"/>
      <c r="X93" s="2715"/>
      <c r="Y93" s="2715"/>
      <c r="Z93" s="2715"/>
      <c r="AA93" s="2715"/>
      <c r="AB93" s="2715"/>
      <c r="AC93" s="2715"/>
      <c r="AD93" s="2715"/>
    </row>
    <row r="94" spans="1:30" ht="15.75" thickBot="1">
      <c r="A94" s="479"/>
      <c r="B94" s="488"/>
      <c r="C94" s="505"/>
      <c r="D94" s="481"/>
      <c r="E94" s="481"/>
      <c r="F94" s="481"/>
      <c r="G94" s="505"/>
      <c r="H94" s="507"/>
      <c r="I94" s="507"/>
      <c r="J94" s="507"/>
      <c r="K94" s="507"/>
      <c r="L94" s="507"/>
      <c r="M94" s="508"/>
      <c r="N94" s="2744"/>
      <c r="O94" s="2744"/>
      <c r="P94" s="2768"/>
      <c r="Q94" s="2729"/>
      <c r="R94" s="2715"/>
      <c r="S94" s="2715"/>
      <c r="T94" s="2715"/>
      <c r="U94" s="2715"/>
      <c r="V94" s="2715"/>
      <c r="W94" s="2715"/>
      <c r="X94" s="2715"/>
      <c r="Y94" s="2715"/>
      <c r="Z94" s="2715"/>
      <c r="AA94" s="2715"/>
      <c r="AB94" s="2715"/>
      <c r="AC94" s="2715"/>
      <c r="AD94" s="2715"/>
    </row>
    <row r="95" spans="1:30" ht="15" thickTop="1">
      <c r="A95" s="544"/>
      <c r="B95" s="580">
        <f>B34</f>
        <v>111</v>
      </c>
      <c r="C95" s="494"/>
      <c r="D95" s="494"/>
      <c r="E95" s="494"/>
      <c r="F95" s="494"/>
      <c r="G95" s="499"/>
      <c r="H95" s="500"/>
      <c r="I95" s="500"/>
      <c r="J95" s="500"/>
      <c r="K95" s="500"/>
      <c r="L95" s="501"/>
      <c r="M95" s="502"/>
      <c r="N95" s="2744"/>
      <c r="O95" s="2744"/>
      <c r="P95" s="2771"/>
      <c r="Q95" s="2758"/>
      <c r="R95" s="2715"/>
      <c r="S95" s="2715"/>
      <c r="T95" s="2715"/>
      <c r="U95" s="2715"/>
      <c r="V95" s="2715"/>
      <c r="W95" s="2715"/>
      <c r="X95" s="2715"/>
      <c r="Y95" s="2715"/>
      <c r="Z95" s="2715"/>
      <c r="AA95" s="2715"/>
      <c r="AB95" s="2715"/>
      <c r="AC95" s="2715"/>
      <c r="AD95" s="2715"/>
    </row>
    <row r="96" spans="1:30" ht="15.75" thickBot="1">
      <c r="A96" s="479"/>
      <c r="B96" s="488"/>
      <c r="C96" s="505"/>
      <c r="D96" s="505"/>
      <c r="E96" s="505"/>
      <c r="F96" s="505"/>
      <c r="G96" s="505"/>
      <c r="H96" s="507"/>
      <c r="I96" s="507"/>
      <c r="J96" s="507"/>
      <c r="K96" s="507"/>
      <c r="L96" s="507"/>
      <c r="M96" s="508"/>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2"/>
      <c r="B98" s="932"/>
      <c r="C98" s="932"/>
      <c r="D98" s="932"/>
      <c r="E98" s="932"/>
      <c r="F98" s="932"/>
      <c r="G98" s="932"/>
      <c r="H98" s="932"/>
      <c r="I98" s="932"/>
      <c r="J98" s="932"/>
      <c r="K98" s="933"/>
      <c r="L98" s="934"/>
      <c r="M98" s="932"/>
      <c r="N98" s="2715"/>
      <c r="O98" s="2715"/>
      <c r="P98" s="2715"/>
      <c r="Q98" s="2715"/>
      <c r="R98" s="2715"/>
      <c r="S98" s="2715"/>
      <c r="T98" s="2715"/>
      <c r="U98" s="2715"/>
      <c r="V98" s="2715"/>
      <c r="W98" s="2715"/>
      <c r="X98" s="2715"/>
      <c r="Y98" s="2715"/>
      <c r="Z98" s="2715"/>
      <c r="AA98" s="2715"/>
      <c r="AB98" s="2715"/>
      <c r="AC98" s="2715"/>
      <c r="AD98" s="2715"/>
    </row>
    <row r="99" spans="1:30">
      <c r="A99" s="932"/>
      <c r="B99" s="932"/>
      <c r="C99" s="932"/>
      <c r="D99" s="932"/>
      <c r="E99" s="932"/>
      <c r="F99" s="932"/>
      <c r="G99" s="932"/>
      <c r="H99" s="932"/>
      <c r="I99" s="932"/>
      <c r="J99" s="932"/>
      <c r="K99" s="933"/>
      <c r="L99" s="934"/>
      <c r="M99" s="932"/>
      <c r="N99" s="2715"/>
      <c r="O99" s="2715"/>
      <c r="P99" s="2715"/>
      <c r="Q99" s="2715"/>
      <c r="R99" s="2715"/>
      <c r="S99" s="2715"/>
      <c r="T99" s="2715"/>
      <c r="U99" s="2715"/>
      <c r="V99" s="2715"/>
      <c r="W99" s="2715"/>
      <c r="X99" s="2715"/>
      <c r="Y99" s="2715"/>
      <c r="Z99" s="2715"/>
      <c r="AA99" s="2715"/>
      <c r="AB99" s="2715"/>
      <c r="AC99" s="2715"/>
      <c r="AD99" s="2715"/>
    </row>
    <row r="100" spans="1:30">
      <c r="A100" s="932"/>
      <c r="B100" s="932"/>
      <c r="C100" s="932"/>
      <c r="D100" s="932"/>
      <c r="E100" s="932"/>
      <c r="F100" s="932"/>
      <c r="G100" s="932"/>
      <c r="H100" s="932"/>
      <c r="I100" s="932"/>
      <c r="J100" s="932"/>
      <c r="K100" s="933"/>
      <c r="L100" s="934"/>
      <c r="M100" s="932"/>
      <c r="N100" s="2715"/>
      <c r="O100" s="2715"/>
      <c r="P100" s="2715"/>
      <c r="Q100" s="2715"/>
      <c r="R100" s="2715"/>
      <c r="S100" s="2715"/>
      <c r="T100" s="2715"/>
      <c r="U100" s="2715"/>
      <c r="V100" s="2715"/>
      <c r="W100" s="2715"/>
      <c r="X100" s="2715"/>
      <c r="Y100" s="2715"/>
      <c r="Z100" s="2715"/>
      <c r="AA100" s="2715"/>
      <c r="AB100" s="2715"/>
      <c r="AC100" s="2715"/>
      <c r="AD100" s="2715"/>
    </row>
    <row r="101" spans="1:30">
      <c r="A101" s="932"/>
      <c r="B101" s="932"/>
      <c r="C101" s="932"/>
      <c r="D101" s="932"/>
      <c r="E101" s="932"/>
      <c r="F101" s="932"/>
      <c r="G101" s="932"/>
      <c r="H101" s="932"/>
      <c r="I101" s="932"/>
      <c r="J101" s="932"/>
      <c r="K101" s="933"/>
      <c r="L101" s="934"/>
      <c r="M101" s="932"/>
      <c r="N101" s="2715"/>
      <c r="O101" s="2715"/>
      <c r="P101" s="2715"/>
      <c r="Q101" s="2715"/>
      <c r="R101" s="2715"/>
      <c r="S101" s="2715"/>
      <c r="T101" s="2715"/>
      <c r="U101" s="2715"/>
      <c r="V101" s="2715"/>
      <c r="W101" s="2715"/>
      <c r="X101" s="2715"/>
      <c r="Y101" s="2715"/>
      <c r="Z101" s="2715"/>
      <c r="AA101" s="2715"/>
      <c r="AB101" s="2715"/>
      <c r="AC101" s="2715"/>
      <c r="AD101" s="2715"/>
    </row>
    <row r="102" spans="1:30">
      <c r="A102" s="932"/>
      <c r="B102" s="932"/>
      <c r="C102" s="932"/>
      <c r="D102" s="932"/>
      <c r="E102" s="932"/>
      <c r="F102" s="932"/>
      <c r="G102" s="932"/>
      <c r="H102" s="932"/>
      <c r="I102" s="932"/>
      <c r="J102" s="932"/>
      <c r="K102" s="933"/>
      <c r="L102" s="934"/>
      <c r="M102" s="932"/>
      <c r="N102" s="2715"/>
      <c r="O102" s="2715"/>
      <c r="P102" s="2715"/>
      <c r="Q102" s="2715"/>
      <c r="R102" s="2715"/>
      <c r="S102" s="2715"/>
      <c r="T102" s="2715"/>
      <c r="U102" s="2715"/>
      <c r="V102" s="2715"/>
      <c r="W102" s="2715"/>
      <c r="X102" s="2715"/>
      <c r="Y102" s="2715"/>
      <c r="Z102" s="2715"/>
      <c r="AA102" s="2715"/>
      <c r="AB102" s="2715"/>
      <c r="AC102" s="2715"/>
      <c r="AD102" s="2715"/>
    </row>
    <row r="103" spans="1:30">
      <c r="A103" s="932"/>
      <c r="B103" s="932"/>
      <c r="C103" s="932"/>
      <c r="D103" s="932"/>
      <c r="E103" s="932"/>
      <c r="F103" s="932"/>
      <c r="G103" s="932"/>
      <c r="H103" s="932"/>
      <c r="I103" s="932"/>
      <c r="J103" s="932"/>
      <c r="K103" s="933"/>
      <c r="L103" s="934"/>
      <c r="M103" s="932"/>
      <c r="N103" s="932"/>
      <c r="O103" s="932"/>
      <c r="P103" s="2715"/>
      <c r="Q103" s="2715"/>
      <c r="R103" s="2715"/>
      <c r="S103" s="2715"/>
      <c r="T103" s="2715"/>
      <c r="U103" s="2715"/>
      <c r="V103" s="2715"/>
      <c r="W103" s="2715"/>
      <c r="X103" s="2715"/>
      <c r="Y103" s="2715"/>
      <c r="Z103" s="2715"/>
      <c r="AA103" s="2715"/>
      <c r="AB103" s="2715"/>
      <c r="AC103" s="2715"/>
      <c r="AD103" s="2715"/>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4" t="s">
        <v>1867</v>
      </c>
      <c r="B1" s="345"/>
      <c r="C1" s="346"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8" customFormat="1" ht="28.5" customHeight="1">
      <c r="A2" s="197" t="s">
        <v>1462</v>
      </c>
      <c r="B2" s="615" t="e">
        <f>F61</f>
        <v>#DIV/0!</v>
      </c>
      <c r="C2" s="904"/>
      <c r="D2" s="904"/>
      <c r="E2" s="904"/>
      <c r="F2" s="905"/>
      <c r="G2" s="904"/>
      <c r="H2" s="904"/>
      <c r="I2" s="904"/>
      <c r="J2" s="904"/>
      <c r="K2" s="906"/>
      <c r="L2" s="2724"/>
      <c r="M2" s="2725"/>
      <c r="N2" s="2725"/>
      <c r="O2" s="2725"/>
      <c r="P2" s="695"/>
      <c r="Q2" s="695"/>
      <c r="R2" s="695"/>
      <c r="S2" s="695"/>
      <c r="T2" s="695"/>
      <c r="U2" s="695"/>
      <c r="V2" s="695"/>
      <c r="W2" s="695"/>
      <c r="X2" s="695"/>
      <c r="Y2" s="695"/>
      <c r="Z2" s="695"/>
      <c r="AA2" s="695"/>
      <c r="AB2" s="695"/>
      <c r="AC2" s="696"/>
    </row>
    <row r="3" spans="1:29" s="348" customFormat="1" ht="28.5" customHeight="1" thickBot="1">
      <c r="A3" s="199" t="s">
        <v>1464</v>
      </c>
      <c r="B3" s="554" t="e">
        <f>ROUND(IF(D3="",B2*10000/'数据-汇总表'!E3,B2*10000/D3),0)</f>
        <v>#DIV/0!</v>
      </c>
      <c r="C3" s="199" t="s">
        <v>1869</v>
      </c>
      <c r="D3" s="1189"/>
      <c r="E3" s="904"/>
      <c r="F3" s="905"/>
      <c r="G3" s="904"/>
      <c r="H3" s="904"/>
      <c r="I3" s="904"/>
      <c r="J3" s="904"/>
      <c r="K3" s="906"/>
      <c r="L3" s="2724"/>
      <c r="M3" s="2725"/>
      <c r="N3" s="2725"/>
      <c r="O3" s="2725"/>
      <c r="P3" s="695"/>
      <c r="Q3" s="695"/>
      <c r="R3" s="695"/>
      <c r="S3" s="695"/>
      <c r="T3" s="695"/>
      <c r="U3" s="695"/>
      <c r="V3" s="695"/>
      <c r="W3" s="695"/>
      <c r="X3" s="695"/>
      <c r="Y3" s="695"/>
      <c r="Z3" s="695"/>
      <c r="AA3" s="695"/>
      <c r="AB3" s="712"/>
      <c r="AC3" s="709"/>
    </row>
    <row r="4" spans="1:29" ht="15">
      <c r="A4" s="351" t="s">
        <v>1769</v>
      </c>
      <c r="B4" s="352"/>
      <c r="C4" s="3730" t="s">
        <v>1770</v>
      </c>
      <c r="D4" s="3742"/>
      <c r="E4" s="3743" t="s">
        <v>1771</v>
      </c>
      <c r="F4" s="3744"/>
      <c r="G4" s="3730" t="s">
        <v>1772</v>
      </c>
      <c r="H4" s="3742"/>
      <c r="I4" s="3730" t="s">
        <v>1773</v>
      </c>
      <c r="J4" s="3742"/>
      <c r="K4" s="555" t="s">
        <v>1774</v>
      </c>
      <c r="L4" s="2705"/>
      <c r="M4" s="2706"/>
      <c r="N4" s="2706"/>
      <c r="O4" s="2706"/>
      <c r="P4" s="3745" t="s">
        <v>1775</v>
      </c>
      <c r="Q4" s="3746"/>
      <c r="R4" s="3751" t="s">
        <v>1771</v>
      </c>
      <c r="S4" s="3752"/>
      <c r="T4" s="3751" t="s">
        <v>1772</v>
      </c>
      <c r="U4" s="3752"/>
      <c r="V4" s="3738" t="s">
        <v>1773</v>
      </c>
      <c r="W4" s="3738"/>
      <c r="X4" s="1351"/>
      <c r="Y4" s="3751" t="s">
        <v>1775</v>
      </c>
      <c r="Z4" s="3752"/>
      <c r="AA4" s="3739" t="s">
        <v>1771</v>
      </c>
      <c r="AB4" s="3740" t="s">
        <v>1772</v>
      </c>
      <c r="AC4" s="3739" t="s">
        <v>1773</v>
      </c>
    </row>
    <row r="5" spans="1:29" ht="15">
      <c r="A5" s="354"/>
      <c r="B5" s="355"/>
      <c r="C5" s="3759" t="s">
        <v>1673</v>
      </c>
      <c r="D5" s="3760"/>
      <c r="E5" s="3766" t="s">
        <v>1674</v>
      </c>
      <c r="F5" s="3767"/>
      <c r="G5" s="3759" t="s">
        <v>1675</v>
      </c>
      <c r="H5" s="3760"/>
      <c r="I5" s="3759" t="s">
        <v>1676</v>
      </c>
      <c r="J5" s="3760"/>
      <c r="K5" s="555"/>
      <c r="L5" s="2705"/>
      <c r="M5" s="2706"/>
      <c r="N5" s="2706"/>
      <c r="O5" s="2706"/>
      <c r="P5" s="3747"/>
      <c r="Q5" s="3748"/>
      <c r="R5" s="3753"/>
      <c r="S5" s="3754"/>
      <c r="T5" s="3753"/>
      <c r="U5" s="3754"/>
      <c r="V5" s="3738"/>
      <c r="W5" s="3738"/>
      <c r="X5" s="1351"/>
      <c r="Y5" s="3753"/>
      <c r="Z5" s="3754"/>
      <c r="AA5" s="3740"/>
      <c r="AB5" s="3740"/>
      <c r="AC5" s="3740"/>
    </row>
    <row r="6" spans="1:29" ht="15.75" thickBot="1">
      <c r="A6" s="356"/>
      <c r="B6" s="357"/>
      <c r="C6" s="3821" t="s">
        <v>1919</v>
      </c>
      <c r="D6" s="3822"/>
      <c r="E6" s="3823" t="s">
        <v>1919</v>
      </c>
      <c r="F6" s="3824"/>
      <c r="G6" s="3821" t="s">
        <v>1919</v>
      </c>
      <c r="H6" s="3822"/>
      <c r="I6" s="3821" t="s">
        <v>1919</v>
      </c>
      <c r="J6" s="3822"/>
      <c r="K6" s="555" t="s">
        <v>1678</v>
      </c>
      <c r="L6" s="2705"/>
      <c r="M6" s="2706"/>
      <c r="N6" s="2706"/>
      <c r="O6" s="2706"/>
      <c r="P6" s="3749"/>
      <c r="Q6" s="3750"/>
      <c r="R6" s="3753"/>
      <c r="S6" s="3754"/>
      <c r="T6" s="3755"/>
      <c r="U6" s="3756"/>
      <c r="V6" s="3738"/>
      <c r="W6" s="3738"/>
      <c r="X6" s="1351"/>
      <c r="Y6" s="3755"/>
      <c r="Z6" s="3756"/>
      <c r="AA6" s="3741"/>
      <c r="AB6" s="3741"/>
      <c r="AC6" s="3741"/>
    </row>
    <row r="7" spans="1:29" s="106" customFormat="1" ht="15.75" thickBot="1">
      <c r="A7" s="358" t="s">
        <v>1679</v>
      </c>
      <c r="B7" s="359"/>
      <c r="C7" s="360">
        <f>'数据-取费表'!B2</f>
        <v>44992</v>
      </c>
      <c r="D7" s="361">
        <v>100</v>
      </c>
      <c r="E7" s="362"/>
      <c r="F7" s="363">
        <f>SUMIF(65:65,YEAR(E7)&amp;"-"&amp;INT((MONTH(E7)+2)/3),66:66)</f>
        <v>0</v>
      </c>
      <c r="G7" s="1970"/>
      <c r="H7" s="361">
        <f>SUMIF(65:65,YEAR(G7)&amp;"-"&amp;INT((MONTH(G7)+2)/3),66:66)</f>
        <v>0</v>
      </c>
      <c r="I7" s="1970"/>
      <c r="J7" s="361">
        <f>SUMIF(65:65,YEAR(I7)&amp;"-"&amp;INT((MONTH(I7)+2)/3),66:66)</f>
        <v>0</v>
      </c>
      <c r="K7" s="556"/>
      <c r="L7" s="2707"/>
      <c r="M7" s="2708"/>
      <c r="N7" s="2708"/>
      <c r="O7" s="2708"/>
      <c r="P7" s="3761" t="s">
        <v>1680</v>
      </c>
      <c r="Q7" s="3763"/>
      <c r="R7" s="697" t="s">
        <v>14</v>
      </c>
      <c r="S7" s="698">
        <f t="shared" ref="S7:S15" si="0">F7</f>
        <v>0</v>
      </c>
      <c r="T7" s="697" t="s">
        <v>14</v>
      </c>
      <c r="U7" s="698">
        <f t="shared" ref="U7:U15" si="1">H7</f>
        <v>0</v>
      </c>
      <c r="V7" s="697" t="s">
        <v>14</v>
      </c>
      <c r="W7" s="698">
        <f t="shared" ref="W7:W15" si="2">J7</f>
        <v>0</v>
      </c>
      <c r="X7" s="699"/>
      <c r="Y7" s="3761" t="s">
        <v>1680</v>
      </c>
      <c r="Z7" s="3762"/>
      <c r="AA7" s="700" t="e">
        <f>D7/F7</f>
        <v>#DIV/0!</v>
      </c>
      <c r="AB7" s="700" t="e">
        <f>D7/H7</f>
        <v>#DIV/0!</v>
      </c>
      <c r="AC7" s="700" t="e">
        <f>D7/J7</f>
        <v>#DIV/0!</v>
      </c>
    </row>
    <row r="8" spans="1:29" s="106" customFormat="1" ht="15.75" thickBot="1">
      <c r="A8" s="358" t="s">
        <v>1681</v>
      </c>
      <c r="B8" s="359"/>
      <c r="C8" s="364" t="s">
        <v>1682</v>
      </c>
      <c r="D8" s="361">
        <v>100</v>
      </c>
      <c r="E8" s="364"/>
      <c r="F8" s="363">
        <f>SUMIF(68:68,E8,69:69)-SUMIF(68:68,C8,69:69)+100</f>
        <v>0</v>
      </c>
      <c r="G8" s="364"/>
      <c r="H8" s="361">
        <f>SUMIF(68:68,G8,69:69)-SUMIF(68:68,C8,69:69)+100</f>
        <v>0</v>
      </c>
      <c r="I8" s="364"/>
      <c r="J8" s="361">
        <f>SUMIF(68:68,I8,69:69)-SUMIF(68:68,C8,69:69)+100</f>
        <v>0</v>
      </c>
      <c r="K8" s="556"/>
      <c r="L8" s="2707"/>
      <c r="M8" s="2708"/>
      <c r="N8" s="2708"/>
      <c r="O8" s="2708"/>
      <c r="P8" s="3761" t="s">
        <v>1683</v>
      </c>
      <c r="Q8" s="3762"/>
      <c r="R8" s="697" t="s">
        <v>14</v>
      </c>
      <c r="S8" s="698">
        <f t="shared" si="0"/>
        <v>0</v>
      </c>
      <c r="T8" s="697" t="s">
        <v>14</v>
      </c>
      <c r="U8" s="698">
        <f t="shared" si="1"/>
        <v>0</v>
      </c>
      <c r="V8" s="697" t="s">
        <v>14</v>
      </c>
      <c r="W8" s="698">
        <f t="shared" si="2"/>
        <v>0</v>
      </c>
      <c r="X8" s="699"/>
      <c r="Y8" s="3761" t="s">
        <v>1683</v>
      </c>
      <c r="Z8" s="3762"/>
      <c r="AA8" s="700" t="e">
        <f t="shared" ref="AA8:AA40" si="3">D8/F8</f>
        <v>#DIV/0!</v>
      </c>
      <c r="AB8" s="700" t="e">
        <f t="shared" ref="AB8:AB40" si="4">D8/H8</f>
        <v>#DIV/0!</v>
      </c>
      <c r="AC8" s="700" t="e">
        <f t="shared" ref="AC8:AC40" si="5">D8/J8</f>
        <v>#DIV/0!</v>
      </c>
    </row>
    <row r="9" spans="1:29" s="106" customFormat="1">
      <c r="A9" s="365" t="s">
        <v>1684</v>
      </c>
      <c r="B9" s="63" t="s">
        <v>1685</v>
      </c>
      <c r="C9" s="1973"/>
      <c r="D9" s="122">
        <v>100</v>
      </c>
      <c r="E9" s="1973"/>
      <c r="F9" s="122">
        <f>SUMIF(70:70,E9,71:71)-SUMIF(70:70,C9,71:71)+100</f>
        <v>100</v>
      </c>
      <c r="G9" s="1973"/>
      <c r="H9" s="122">
        <f>SUMIF(70:70,G9,71:71)-SUMIF(70:70,C9,71:71)+100</f>
        <v>100</v>
      </c>
      <c r="I9" s="1973"/>
      <c r="J9" s="122">
        <f>SUMIF(70:70,I9,71:71)-SUMIF(70:70,C9,71:71)+100</f>
        <v>100</v>
      </c>
      <c r="K9" s="556"/>
      <c r="L9" s="2707"/>
      <c r="M9" s="2708"/>
      <c r="N9" s="2708"/>
      <c r="O9" s="2762"/>
      <c r="P9" s="3733"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700">
        <f t="shared" si="5"/>
        <v>1</v>
      </c>
    </row>
    <row r="10" spans="1:29" s="374" customFormat="1" ht="27">
      <c r="A10" s="370"/>
      <c r="B10" s="371" t="s">
        <v>1688</v>
      </c>
      <c r="C10" s="379"/>
      <c r="D10" s="123">
        <v>100</v>
      </c>
      <c r="E10" s="379"/>
      <c r="F10" s="123">
        <f>ROUND(100/'数据-取费表'!G16,0)</f>
        <v>114</v>
      </c>
      <c r="G10" s="379"/>
      <c r="H10" s="123">
        <f>ROUND(100/'数据-取费表'!G16,0)</f>
        <v>114</v>
      </c>
      <c r="I10" s="379"/>
      <c r="J10" s="123">
        <f>ROUND(100/'数据-取费表'!G16,0)</f>
        <v>114</v>
      </c>
      <c r="K10" s="616"/>
      <c r="L10" s="2709"/>
      <c r="M10" s="2710"/>
      <c r="N10" s="2710"/>
      <c r="O10" s="2763"/>
      <c r="P10" s="3733"/>
      <c r="Q10" s="1339" t="str">
        <f t="shared" si="6"/>
        <v>土地使用年限（年）</v>
      </c>
      <c r="R10" s="697" t="s">
        <v>14</v>
      </c>
      <c r="S10" s="698">
        <f t="shared" si="0"/>
        <v>114</v>
      </c>
      <c r="T10" s="697" t="s">
        <v>14</v>
      </c>
      <c r="U10" s="698">
        <f t="shared" si="1"/>
        <v>114</v>
      </c>
      <c r="V10" s="697" t="s">
        <v>14</v>
      </c>
      <c r="W10" s="698">
        <f t="shared" si="2"/>
        <v>114</v>
      </c>
      <c r="X10" s="699"/>
      <c r="Y10" s="3614"/>
      <c r="Z10" s="52" t="str">
        <f t="shared" si="7"/>
        <v>土地使用年限（年）</v>
      </c>
      <c r="AA10" s="700">
        <f t="shared" si="3"/>
        <v>0.8771929824561403</v>
      </c>
      <c r="AB10" s="700">
        <f t="shared" si="4"/>
        <v>0.8771929824561403</v>
      </c>
      <c r="AC10" s="700">
        <f t="shared" si="5"/>
        <v>0.8771929824561403</v>
      </c>
    </row>
    <row r="11" spans="1:29" ht="15">
      <c r="A11" s="375"/>
      <c r="B11" s="371" t="s">
        <v>1689</v>
      </c>
      <c r="C11" s="376"/>
      <c r="D11" s="123">
        <v>100</v>
      </c>
      <c r="E11" s="376"/>
      <c r="F11" s="123" t="e">
        <f>LOOKUP(E11,75:75,76:76)-LOOKUP(C11,75:75,76:76)+100</f>
        <v>#N/A</v>
      </c>
      <c r="G11" s="377"/>
      <c r="H11" s="123" t="e">
        <f>LOOKUP(G11,75:75,76:76)-LOOKUP(C11,75:75,76:76)+100</f>
        <v>#N/A</v>
      </c>
      <c r="I11" s="376"/>
      <c r="J11" s="123" t="e">
        <f>LOOKUP(I11,75:75,76:76)-LOOKUP(C11,75:75,76:76)+100</f>
        <v>#N/A</v>
      </c>
      <c r="K11" s="617"/>
      <c r="L11" s="2711"/>
      <c r="M11" s="2706"/>
      <c r="N11" s="2706"/>
      <c r="O11" s="2764"/>
      <c r="P11" s="3733"/>
      <c r="Q11" s="1339" t="str">
        <f t="shared" si="6"/>
        <v>容积率</v>
      </c>
      <c r="R11" s="697" t="s">
        <v>14</v>
      </c>
      <c r="S11" s="698" t="e">
        <f t="shared" si="0"/>
        <v>#N/A</v>
      </c>
      <c r="T11" s="697" t="s">
        <v>14</v>
      </c>
      <c r="U11" s="698" t="e">
        <f t="shared" si="1"/>
        <v>#N/A</v>
      </c>
      <c r="V11" s="697" t="s">
        <v>14</v>
      </c>
      <c r="W11" s="698" t="e">
        <f t="shared" si="2"/>
        <v>#N/A</v>
      </c>
      <c r="X11" s="699"/>
      <c r="Y11" s="3614"/>
      <c r="Z11" s="52" t="str">
        <f t="shared" si="7"/>
        <v>容积率</v>
      </c>
      <c r="AA11" s="700" t="e">
        <f t="shared" si="3"/>
        <v>#N/A</v>
      </c>
      <c r="AB11" s="700" t="e">
        <f t="shared" si="4"/>
        <v>#N/A</v>
      </c>
      <c r="AC11" s="700" t="e">
        <f t="shared" si="5"/>
        <v>#N/A</v>
      </c>
    </row>
    <row r="12" spans="1:29" s="106" customFormat="1" ht="15">
      <c r="A12" s="378"/>
      <c r="B12" s="1889">
        <v>111</v>
      </c>
      <c r="C12" s="379"/>
      <c r="D12" s="380">
        <v>100</v>
      </c>
      <c r="E12" s="494"/>
      <c r="F12" s="123">
        <f>SUMIF(77:77,E12,78:78)-SUMIF(77:77,C12,78:78)+100</f>
        <v>100</v>
      </c>
      <c r="G12" s="618"/>
      <c r="H12" s="123">
        <f>SUMIF(77:77,G12,78:78)-SUMIF(77:77,C12,78:78)+100</f>
        <v>100</v>
      </c>
      <c r="I12" s="494"/>
      <c r="J12" s="123">
        <f>SUMIF(77:77,I12,78:78)-SUMIF(77:77,C12,78:78)+100</f>
        <v>100</v>
      </c>
      <c r="K12" s="616"/>
      <c r="L12" s="2707"/>
      <c r="M12" s="2708"/>
      <c r="N12" s="2708"/>
      <c r="O12" s="2762"/>
      <c r="P12" s="3733"/>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
      <c r="A13" s="375"/>
      <c r="B13" s="1889">
        <v>111</v>
      </c>
      <c r="C13" s="381"/>
      <c r="D13" s="382">
        <v>100</v>
      </c>
      <c r="E13" s="494"/>
      <c r="F13" s="123">
        <f>SUMIF(79:79,E13,80:80)-SUMIF(79:79,C13,80:80)+100</f>
        <v>100</v>
      </c>
      <c r="G13" s="618"/>
      <c r="H13" s="382">
        <f>SUMIF(79:79,G13,80:80)-SUMIF(79:79,C13,80:80)+100</f>
        <v>100</v>
      </c>
      <c r="I13" s="494"/>
      <c r="J13" s="382">
        <f>SUMIF(79:79,I13,80:80)-SUMIF(79:79,C13,80:80)+100</f>
        <v>100</v>
      </c>
      <c r="K13" s="616"/>
      <c r="L13" s="2712"/>
      <c r="M13" s="2706"/>
      <c r="N13" s="2706"/>
      <c r="O13" s="2764"/>
      <c r="P13" s="3733"/>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15.75" thickBot="1">
      <c r="A14" s="383"/>
      <c r="B14" s="1891">
        <v>111</v>
      </c>
      <c r="C14" s="384"/>
      <c r="D14" s="385">
        <v>100</v>
      </c>
      <c r="E14" s="494"/>
      <c r="F14" s="385">
        <f>SUMIF(81:81,E14,82:82)-SUMIF(81:81,C14,82:82)+100</f>
        <v>100</v>
      </c>
      <c r="G14" s="618"/>
      <c r="H14" s="385">
        <f>SUMIF(81:81,G14,82:82)-SUMIF(81:81,C14,82:82)+100</f>
        <v>100</v>
      </c>
      <c r="I14" s="494"/>
      <c r="J14" s="385">
        <f>SUMIF(81:81,I14,82:82)-SUMIF(81:81,C14,82:82)+100</f>
        <v>100</v>
      </c>
      <c r="K14" s="616"/>
      <c r="L14" s="2712"/>
      <c r="M14" s="2706"/>
      <c r="N14" s="2706"/>
      <c r="O14" s="2764"/>
      <c r="P14" s="3733"/>
      <c r="Q14" s="1339">
        <f t="shared" si="6"/>
        <v>111</v>
      </c>
      <c r="R14" s="697" t="s">
        <v>14</v>
      </c>
      <c r="S14" s="698">
        <f t="shared" si="0"/>
        <v>100</v>
      </c>
      <c r="T14" s="697" t="s">
        <v>14</v>
      </c>
      <c r="U14" s="698">
        <f t="shared" si="1"/>
        <v>100</v>
      </c>
      <c r="V14" s="697" t="s">
        <v>14</v>
      </c>
      <c r="W14" s="698">
        <f t="shared" si="2"/>
        <v>100</v>
      </c>
      <c r="X14" s="699"/>
      <c r="Y14" s="3614"/>
      <c r="Z14" s="52">
        <f t="shared" si="7"/>
        <v>111</v>
      </c>
      <c r="AA14" s="700">
        <f t="shared" si="3"/>
        <v>1</v>
      </c>
      <c r="AB14" s="700">
        <f t="shared" si="4"/>
        <v>1</v>
      </c>
      <c r="AC14" s="700">
        <f t="shared" si="5"/>
        <v>1</v>
      </c>
    </row>
    <row r="15" spans="1:29" ht="57">
      <c r="A15" s="387" t="s">
        <v>1690</v>
      </c>
      <c r="B15" s="573" t="s">
        <v>1920</v>
      </c>
      <c r="C15" s="1967"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17"/>
      <c r="L15" s="2712"/>
      <c r="M15" s="2706"/>
      <c r="N15" s="2706"/>
      <c r="O15" s="2764"/>
      <c r="P15" s="3734" t="s">
        <v>1691</v>
      </c>
      <c r="Q15" s="1348" t="str">
        <f t="shared" si="6"/>
        <v>产业集聚程度</v>
      </c>
      <c r="R15" s="701" t="s">
        <v>14</v>
      </c>
      <c r="S15" s="702">
        <f t="shared" si="0"/>
        <v>100</v>
      </c>
      <c r="T15" s="701" t="s">
        <v>14</v>
      </c>
      <c r="U15" s="702">
        <f t="shared" si="1"/>
        <v>100</v>
      </c>
      <c r="V15" s="701" t="s">
        <v>14</v>
      </c>
      <c r="W15" s="702">
        <f t="shared" si="2"/>
        <v>100</v>
      </c>
      <c r="X15" s="1351"/>
      <c r="Y15" s="3734" t="s">
        <v>1691</v>
      </c>
      <c r="Z15" s="1352" t="str">
        <f t="shared" si="7"/>
        <v>产业集聚程度</v>
      </c>
      <c r="AA15" s="1349">
        <f t="shared" si="3"/>
        <v>1</v>
      </c>
      <c r="AB15" s="1349">
        <f t="shared" si="4"/>
        <v>1</v>
      </c>
      <c r="AC15" s="1349">
        <f t="shared" si="5"/>
        <v>1</v>
      </c>
    </row>
    <row r="16" spans="1:29" ht="15">
      <c r="A16" s="375"/>
      <c r="B16" s="574"/>
      <c r="C16" s="394"/>
      <c r="D16" s="395"/>
      <c r="E16" s="1900"/>
      <c r="F16" s="395"/>
      <c r="G16" s="1900"/>
      <c r="H16" s="397"/>
      <c r="I16" s="1900"/>
      <c r="J16" s="395"/>
      <c r="K16" s="616"/>
      <c r="L16" s="2712"/>
      <c r="M16" s="2706"/>
      <c r="N16" s="2706"/>
      <c r="O16" s="2764"/>
      <c r="P16" s="3735"/>
      <c r="Q16" s="1348"/>
      <c r="R16" s="701"/>
      <c r="S16" s="702"/>
      <c r="T16" s="701"/>
      <c r="U16" s="702"/>
      <c r="V16" s="701"/>
      <c r="W16" s="702"/>
      <c r="X16" s="1351"/>
      <c r="Y16" s="3735"/>
      <c r="Z16" s="1352"/>
      <c r="AA16" s="1349">
        <v>1</v>
      </c>
      <c r="AB16" s="1349">
        <v>1</v>
      </c>
      <c r="AC16" s="1349">
        <v>1</v>
      </c>
    </row>
    <row r="17" spans="1:29" ht="85.5">
      <c r="A17" s="375"/>
      <c r="B17" s="575" t="s">
        <v>1833</v>
      </c>
      <c r="C17" s="1896"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17"/>
      <c r="L17" s="2712"/>
      <c r="M17" s="2706"/>
      <c r="N17" s="2706"/>
      <c r="O17" s="2764"/>
      <c r="P17" s="3735"/>
      <c r="Q17" s="1348" t="str">
        <f>B17</f>
        <v>交通便捷度</v>
      </c>
      <c r="R17" s="701" t="s">
        <v>14</v>
      </c>
      <c r="S17" s="702">
        <f>F17</f>
        <v>100</v>
      </c>
      <c r="T17" s="701" t="s">
        <v>14</v>
      </c>
      <c r="U17" s="702">
        <f>H17</f>
        <v>100</v>
      </c>
      <c r="V17" s="701" t="s">
        <v>14</v>
      </c>
      <c r="W17" s="702">
        <f>J17</f>
        <v>100</v>
      </c>
      <c r="X17" s="1351"/>
      <c r="Y17" s="3735"/>
      <c r="Z17" s="1352" t="str">
        <f>Q17</f>
        <v>交通便捷度</v>
      </c>
      <c r="AA17" s="1349">
        <f t="shared" si="3"/>
        <v>1</v>
      </c>
      <c r="AB17" s="1349">
        <f t="shared" si="4"/>
        <v>1</v>
      </c>
      <c r="AC17" s="1349">
        <f t="shared" si="5"/>
        <v>1</v>
      </c>
    </row>
    <row r="18" spans="1:29" ht="15">
      <c r="A18" s="375"/>
      <c r="B18" s="576"/>
      <c r="C18" s="394"/>
      <c r="D18" s="395"/>
      <c r="E18" s="1894"/>
      <c r="F18" s="395"/>
      <c r="G18" s="1894"/>
      <c r="H18" s="395"/>
      <c r="I18" s="1893"/>
      <c r="J18" s="395"/>
      <c r="K18" s="616"/>
      <c r="L18" s="2712"/>
      <c r="M18" s="2706"/>
      <c r="N18" s="2706"/>
      <c r="O18" s="2764"/>
      <c r="P18" s="3735"/>
      <c r="Q18" s="1348"/>
      <c r="R18" s="701"/>
      <c r="S18" s="702"/>
      <c r="T18" s="701"/>
      <c r="U18" s="702"/>
      <c r="V18" s="701"/>
      <c r="W18" s="702"/>
      <c r="X18" s="1351"/>
      <c r="Y18" s="3735"/>
      <c r="Z18" s="1352"/>
      <c r="AA18" s="1349">
        <v>1</v>
      </c>
      <c r="AB18" s="1349">
        <v>1</v>
      </c>
      <c r="AC18" s="1349">
        <v>1</v>
      </c>
    </row>
    <row r="19" spans="1:29" ht="15">
      <c r="A19" s="375"/>
      <c r="B19" s="575" t="s">
        <v>1871</v>
      </c>
      <c r="C19" s="1896">
        <f>估价对象房地状况!G17</f>
        <v>0</v>
      </c>
      <c r="D19" s="397">
        <v>100</v>
      </c>
      <c r="E19" s="399"/>
      <c r="F19" s="402">
        <f>SUMIF(87:87,E20,88:88)-SUMIF(87:87,C20,88:88)+100</f>
        <v>100</v>
      </c>
      <c r="G19" s="399"/>
      <c r="H19" s="402">
        <f>SUMIF(87:87,G20,88:88)-SUMIF(87:87,C20,88:88)+100</f>
        <v>100</v>
      </c>
      <c r="I19" s="399"/>
      <c r="J19" s="402">
        <f>SUMIF(87:87,I20,88:88)-SUMIF(87:87,C20,88:88)+100</f>
        <v>100</v>
      </c>
      <c r="K19" s="617"/>
      <c r="L19" s="2712"/>
      <c r="M19" s="2706"/>
      <c r="N19" s="2706"/>
      <c r="O19" s="2764"/>
      <c r="P19" s="3735"/>
      <c r="Q19" s="1348" t="str">
        <f t="shared" ref="Q19:Q33" si="8">B19</f>
        <v>区域土地利用方向</v>
      </c>
      <c r="R19" s="701" t="s">
        <v>14</v>
      </c>
      <c r="S19" s="702">
        <f>F19</f>
        <v>100</v>
      </c>
      <c r="T19" s="701" t="s">
        <v>14</v>
      </c>
      <c r="U19" s="702">
        <f>H19</f>
        <v>100</v>
      </c>
      <c r="V19" s="701" t="s">
        <v>14</v>
      </c>
      <c r="W19" s="702">
        <f>J19</f>
        <v>100</v>
      </c>
      <c r="X19" s="1351"/>
      <c r="Y19" s="3735"/>
      <c r="Z19" s="1352" t="str">
        <f>Q19</f>
        <v>区域土地利用方向</v>
      </c>
      <c r="AA19" s="1349">
        <f t="shared" si="3"/>
        <v>1</v>
      </c>
      <c r="AB19" s="1349">
        <f t="shared" si="4"/>
        <v>1</v>
      </c>
      <c r="AC19" s="1349">
        <f t="shared" si="5"/>
        <v>1</v>
      </c>
    </row>
    <row r="20" spans="1:29" ht="15">
      <c r="A20" s="354"/>
      <c r="B20" s="576"/>
      <c r="C20" s="394"/>
      <c r="D20" s="395"/>
      <c r="E20" s="1894"/>
      <c r="F20" s="395"/>
      <c r="G20" s="1894"/>
      <c r="H20" s="395"/>
      <c r="I20" s="1894"/>
      <c r="J20" s="395"/>
      <c r="K20" s="736"/>
      <c r="L20" s="2712"/>
      <c r="M20" s="2706"/>
      <c r="N20" s="2706"/>
      <c r="O20" s="2764"/>
      <c r="P20" s="3735"/>
      <c r="Q20" s="1348"/>
      <c r="R20" s="701"/>
      <c r="S20" s="702"/>
      <c r="T20" s="701"/>
      <c r="U20" s="702"/>
      <c r="V20" s="701"/>
      <c r="W20" s="702"/>
      <c r="X20" s="1351"/>
      <c r="Y20" s="3735"/>
      <c r="Z20" s="1352"/>
      <c r="AA20" s="1349"/>
      <c r="AB20" s="1349"/>
      <c r="AC20" s="1349"/>
    </row>
    <row r="21" spans="1:29" ht="71.25">
      <c r="A21" s="354"/>
      <c r="B21" s="575" t="s">
        <v>1921</v>
      </c>
      <c r="C21" s="1896"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17"/>
      <c r="L21" s="2712"/>
      <c r="M21" s="2706"/>
      <c r="N21" s="2706"/>
      <c r="O21" s="2764"/>
      <c r="P21" s="3735"/>
      <c r="Q21" s="1348" t="str">
        <f t="shared" si="8"/>
        <v>环境状况</v>
      </c>
      <c r="R21" s="701" t="s">
        <v>14</v>
      </c>
      <c r="S21" s="702">
        <f>F21</f>
        <v>100</v>
      </c>
      <c r="T21" s="701" t="s">
        <v>14</v>
      </c>
      <c r="U21" s="702">
        <f>H21</f>
        <v>100</v>
      </c>
      <c r="V21" s="701" t="s">
        <v>14</v>
      </c>
      <c r="W21" s="702">
        <f>J21</f>
        <v>100</v>
      </c>
      <c r="X21" s="1351"/>
      <c r="Y21" s="3735"/>
      <c r="Z21" s="1352" t="str">
        <f>Q21</f>
        <v>环境状况</v>
      </c>
      <c r="AA21" s="1349">
        <f t="shared" si="3"/>
        <v>1</v>
      </c>
      <c r="AB21" s="1349">
        <f t="shared" si="4"/>
        <v>1</v>
      </c>
      <c r="AC21" s="1349">
        <f t="shared" si="5"/>
        <v>1</v>
      </c>
    </row>
    <row r="22" spans="1:29" ht="15">
      <c r="A22" s="354"/>
      <c r="B22" s="576"/>
      <c r="C22" s="394"/>
      <c r="D22" s="395"/>
      <c r="E22" s="1900"/>
      <c r="F22" s="395"/>
      <c r="G22" s="1900"/>
      <c r="H22" s="395"/>
      <c r="I22" s="394"/>
      <c r="J22" s="395"/>
      <c r="K22" s="616"/>
      <c r="L22" s="2712"/>
      <c r="M22" s="2706"/>
      <c r="N22" s="2706"/>
      <c r="O22" s="2764"/>
      <c r="P22" s="3735"/>
      <c r="Q22" s="1348"/>
      <c r="R22" s="701"/>
      <c r="S22" s="702"/>
      <c r="T22" s="701"/>
      <c r="U22" s="702"/>
      <c r="V22" s="701"/>
      <c r="W22" s="702"/>
      <c r="X22" s="1351"/>
      <c r="Y22" s="3735"/>
      <c r="Z22" s="1352"/>
      <c r="AA22" s="1349">
        <v>1</v>
      </c>
      <c r="AB22" s="1349">
        <v>1</v>
      </c>
      <c r="AC22" s="1349">
        <v>1</v>
      </c>
    </row>
    <row r="23" spans="1:29" s="106" customFormat="1" ht="42.75">
      <c r="A23" s="593"/>
      <c r="B23" s="577" t="s">
        <v>1778</v>
      </c>
      <c r="C23" s="1896"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17"/>
      <c r="L23" s="2707"/>
      <c r="M23" s="2708"/>
      <c r="N23" s="2708"/>
      <c r="O23" s="2762"/>
      <c r="P23" s="3735"/>
      <c r="Q23" s="1339" t="str">
        <f t="shared" si="8"/>
        <v>公共配套设施</v>
      </c>
      <c r="R23" s="697" t="s">
        <v>14</v>
      </c>
      <c r="S23" s="698">
        <f>F23</f>
        <v>100</v>
      </c>
      <c r="T23" s="697" t="s">
        <v>14</v>
      </c>
      <c r="U23" s="698">
        <f>H23</f>
        <v>100</v>
      </c>
      <c r="V23" s="697" t="s">
        <v>14</v>
      </c>
      <c r="W23" s="698">
        <f>J23</f>
        <v>100</v>
      </c>
      <c r="X23" s="699"/>
      <c r="Y23" s="3735"/>
      <c r="Z23" s="52" t="str">
        <f>Q23</f>
        <v>公共配套设施</v>
      </c>
      <c r="AA23" s="1349">
        <f>D23/F23</f>
        <v>1</v>
      </c>
      <c r="AB23" s="1349">
        <f>D23/H23</f>
        <v>1</v>
      </c>
      <c r="AC23" s="1349">
        <f>D23/J23</f>
        <v>1</v>
      </c>
    </row>
    <row r="24" spans="1:29" s="106" customFormat="1" ht="15">
      <c r="A24" s="593"/>
      <c r="B24" s="576"/>
      <c r="C24" s="1974"/>
      <c r="D24" s="395"/>
      <c r="E24" s="1900"/>
      <c r="F24" s="395"/>
      <c r="G24" s="1900"/>
      <c r="H24" s="395"/>
      <c r="I24" s="394"/>
      <c r="J24" s="395"/>
      <c r="K24" s="616"/>
      <c r="L24" s="2707"/>
      <c r="M24" s="2708"/>
      <c r="N24" s="2708"/>
      <c r="O24" s="2762"/>
      <c r="P24" s="3735"/>
      <c r="Q24" s="1339"/>
      <c r="R24" s="697"/>
      <c r="S24" s="698"/>
      <c r="T24" s="697"/>
      <c r="U24" s="698"/>
      <c r="V24" s="697"/>
      <c r="W24" s="698"/>
      <c r="X24" s="699"/>
      <c r="Y24" s="3735"/>
      <c r="Z24" s="52"/>
      <c r="AA24" s="700">
        <v>1</v>
      </c>
      <c r="AB24" s="700">
        <v>1</v>
      </c>
      <c r="AC24" s="700">
        <v>1</v>
      </c>
    </row>
    <row r="25" spans="1:29" s="106" customFormat="1" ht="28.5">
      <c r="A25" s="593"/>
      <c r="B25" s="577" t="s">
        <v>1779</v>
      </c>
      <c r="C25" s="1896"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17"/>
      <c r="L25" s="2707"/>
      <c r="M25" s="2708"/>
      <c r="N25" s="2708"/>
      <c r="O25" s="2762"/>
      <c r="P25" s="3735"/>
      <c r="Q25" s="1339" t="str">
        <f t="shared" ref="Q25" si="9">B25</f>
        <v>基础设施水平</v>
      </c>
      <c r="R25" s="697" t="s">
        <v>14</v>
      </c>
      <c r="S25" s="698">
        <f>F25</f>
        <v>100</v>
      </c>
      <c r="T25" s="697" t="s">
        <v>14</v>
      </c>
      <c r="U25" s="698">
        <f>H25</f>
        <v>100</v>
      </c>
      <c r="V25" s="697" t="s">
        <v>14</v>
      </c>
      <c r="W25" s="698">
        <f>J25</f>
        <v>100</v>
      </c>
      <c r="X25" s="699"/>
      <c r="Y25" s="3735"/>
      <c r="Z25" s="52" t="str">
        <f>Q25</f>
        <v>基础设施水平</v>
      </c>
      <c r="AA25" s="1349">
        <f>D25/F25</f>
        <v>1</v>
      </c>
      <c r="AB25" s="1349">
        <f>D25/H25</f>
        <v>1</v>
      </c>
      <c r="AC25" s="1349">
        <f>D25/J25</f>
        <v>1</v>
      </c>
    </row>
    <row r="26" spans="1:29" s="106" customFormat="1" ht="15">
      <c r="A26" s="593"/>
      <c r="B26" s="576"/>
      <c r="C26" s="1974"/>
      <c r="D26" s="395"/>
      <c r="E26" s="1975"/>
      <c r="F26" s="395"/>
      <c r="G26" s="1975"/>
      <c r="H26" s="395"/>
      <c r="I26" s="1975"/>
      <c r="J26" s="395"/>
      <c r="K26" s="616"/>
      <c r="L26" s="2707"/>
      <c r="M26" s="2708"/>
      <c r="N26" s="2708"/>
      <c r="O26" s="2762"/>
      <c r="P26" s="3735"/>
      <c r="Q26" s="1339"/>
      <c r="R26" s="697"/>
      <c r="S26" s="698"/>
      <c r="T26" s="697"/>
      <c r="U26" s="698"/>
      <c r="V26" s="697"/>
      <c r="W26" s="698"/>
      <c r="X26" s="699"/>
      <c r="Y26" s="3735"/>
      <c r="Z26" s="52"/>
      <c r="AA26" s="700">
        <v>1</v>
      </c>
      <c r="AB26" s="700">
        <v>1</v>
      </c>
      <c r="AC26" s="700">
        <v>1</v>
      </c>
    </row>
    <row r="27" spans="1:29" ht="15">
      <c r="A27" s="375"/>
      <c r="B27" s="576" t="s">
        <v>1780</v>
      </c>
      <c r="C27" s="561"/>
      <c r="D27" s="382">
        <v>100</v>
      </c>
      <c r="E27" s="578"/>
      <c r="F27" s="382">
        <f>SUMIF(95:95,E27,96:96)-SUMIF(95:95,C27,96:96)+100</f>
        <v>100</v>
      </c>
      <c r="G27" s="578"/>
      <c r="H27" s="382">
        <f>SUMIF(95:95,G27,96:96)-SUMIF(95:95,C27,96:96)+100</f>
        <v>100</v>
      </c>
      <c r="I27" s="578"/>
      <c r="J27" s="382">
        <f>SUMIF(95:95,I27,96:96)-SUMIF(95:95,C27,96:96)+100</f>
        <v>100</v>
      </c>
      <c r="K27" s="617"/>
      <c r="L27" s="2712"/>
      <c r="M27" s="2706"/>
      <c r="N27" s="2706"/>
      <c r="O27" s="2764"/>
      <c r="P27" s="3735"/>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35"/>
      <c r="Z27" s="1352" t="str">
        <f t="shared" ref="Z27:Z40" si="13">Q27</f>
        <v>临街状况</v>
      </c>
      <c r="AA27" s="1349">
        <f t="shared" si="3"/>
        <v>1</v>
      </c>
      <c r="AB27" s="1349">
        <f t="shared" si="4"/>
        <v>1</v>
      </c>
      <c r="AC27" s="1349">
        <f t="shared" si="5"/>
        <v>1</v>
      </c>
    </row>
    <row r="28" spans="1:29" ht="27">
      <c r="A28" s="375"/>
      <c r="B28" s="577" t="s">
        <v>1815</v>
      </c>
      <c r="C28" s="1987">
        <f>估价对象房地状况!G22</f>
        <v>0</v>
      </c>
      <c r="D28" s="397">
        <v>100</v>
      </c>
      <c r="E28" s="399"/>
      <c r="F28" s="397">
        <f>SUMIF(97:97,E29,98:98)-SUMIF(97:97,C29,98:98)+100</f>
        <v>100</v>
      </c>
      <c r="G28" s="399"/>
      <c r="H28" s="397">
        <f>SUMIF(97:97,G29,98:98)-SUMIF(97:97,C29,98:98)+100</f>
        <v>100</v>
      </c>
      <c r="I28" s="401"/>
      <c r="J28" s="397">
        <f>SUMIF(97:97,I29,98:98)-SUMIF(97:97,C29,98:98)+100</f>
        <v>100</v>
      </c>
      <c r="K28" s="617"/>
      <c r="L28" s="2712"/>
      <c r="M28" s="2706"/>
      <c r="N28" s="2706"/>
      <c r="O28" s="2764"/>
      <c r="P28" s="3735"/>
      <c r="Q28" s="1348" t="str">
        <f t="shared" si="8"/>
        <v>毗邻道路的类型与等级</v>
      </c>
      <c r="R28" s="701" t="s">
        <v>14</v>
      </c>
      <c r="S28" s="702">
        <f t="shared" si="10"/>
        <v>100</v>
      </c>
      <c r="T28" s="701" t="s">
        <v>14</v>
      </c>
      <c r="U28" s="702">
        <f t="shared" si="11"/>
        <v>100</v>
      </c>
      <c r="V28" s="701" t="s">
        <v>14</v>
      </c>
      <c r="W28" s="702">
        <f t="shared" si="12"/>
        <v>100</v>
      </c>
      <c r="X28" s="1351"/>
      <c r="Y28" s="3735"/>
      <c r="Z28" s="1352" t="str">
        <f t="shared" si="13"/>
        <v>毗邻道路的类型与等级</v>
      </c>
      <c r="AA28" s="1349">
        <f t="shared" si="3"/>
        <v>1</v>
      </c>
      <c r="AB28" s="1349">
        <f t="shared" si="4"/>
        <v>1</v>
      </c>
      <c r="AC28" s="1349">
        <f t="shared" si="5"/>
        <v>1</v>
      </c>
    </row>
    <row r="29" spans="1:29" ht="15">
      <c r="A29" s="375"/>
      <c r="B29" s="576"/>
      <c r="C29" s="394"/>
      <c r="D29" s="395"/>
      <c r="E29" s="1900"/>
      <c r="F29" s="395"/>
      <c r="G29" s="1900"/>
      <c r="H29" s="395"/>
      <c r="I29" s="1900"/>
      <c r="J29" s="395"/>
      <c r="K29" s="558"/>
      <c r="L29" s="2712"/>
      <c r="M29" s="2706"/>
      <c r="N29" s="2706"/>
      <c r="O29" s="2764"/>
      <c r="P29" s="3735"/>
      <c r="Q29" s="1348"/>
      <c r="R29" s="701"/>
      <c r="S29" s="702"/>
      <c r="T29" s="701"/>
      <c r="U29" s="702"/>
      <c r="V29" s="701"/>
      <c r="W29" s="702"/>
      <c r="X29" s="1351"/>
      <c r="Y29" s="3735"/>
      <c r="Z29" s="1352"/>
      <c r="AA29" s="1349">
        <v>1</v>
      </c>
      <c r="AB29" s="1349">
        <v>1</v>
      </c>
      <c r="AC29" s="1349">
        <v>1</v>
      </c>
    </row>
    <row r="30" spans="1:29" ht="15">
      <c r="A30" s="375"/>
      <c r="B30" s="598" t="s">
        <v>1873</v>
      </c>
      <c r="C30" s="1132">
        <f>估价对象房地状况!G23</f>
        <v>0</v>
      </c>
      <c r="D30" s="382">
        <v>100</v>
      </c>
      <c r="E30" s="578"/>
      <c r="F30" s="382">
        <f>SUMIF(99:99,E30,100:100)-SUMIF(99:99,C30,100:100)+100</f>
        <v>100</v>
      </c>
      <c r="G30" s="578"/>
      <c r="H30" s="382">
        <f>SUMIF(99:99,G30,100:100)-SUMIF(99:99,C30,100:100)+100</f>
        <v>100</v>
      </c>
      <c r="I30" s="578"/>
      <c r="J30" s="382">
        <f>SUMIF(99:99,I30,100:100)-SUMIF(99:99,C30,100:100)+100</f>
        <v>100</v>
      </c>
      <c r="K30" s="557"/>
      <c r="L30" s="2712"/>
      <c r="M30" s="2706"/>
      <c r="N30" s="2706"/>
      <c r="O30" s="2764"/>
      <c r="P30" s="3735"/>
      <c r="Q30" s="1348" t="str">
        <f t="shared" si="8"/>
        <v>土地级别</v>
      </c>
      <c r="R30" s="701" t="s">
        <v>14</v>
      </c>
      <c r="S30" s="702">
        <f t="shared" si="10"/>
        <v>100</v>
      </c>
      <c r="T30" s="701" t="s">
        <v>14</v>
      </c>
      <c r="U30" s="702">
        <f t="shared" si="11"/>
        <v>100</v>
      </c>
      <c r="V30" s="701" t="s">
        <v>14</v>
      </c>
      <c r="W30" s="702">
        <f t="shared" si="12"/>
        <v>100</v>
      </c>
      <c r="X30" s="1351"/>
      <c r="Y30" s="3735"/>
      <c r="Z30" s="1352" t="str">
        <f t="shared" si="13"/>
        <v>土地级别</v>
      </c>
      <c r="AA30" s="1349">
        <f t="shared" si="3"/>
        <v>1</v>
      </c>
      <c r="AB30" s="1349">
        <f t="shared" si="4"/>
        <v>1</v>
      </c>
      <c r="AC30" s="1349">
        <f t="shared" si="5"/>
        <v>1</v>
      </c>
    </row>
    <row r="31" spans="1:29" ht="15">
      <c r="A31" s="354"/>
      <c r="B31" s="1962">
        <v>111</v>
      </c>
      <c r="C31" s="618"/>
      <c r="D31" s="382">
        <v>100</v>
      </c>
      <c r="E31" s="424"/>
      <c r="F31" s="382">
        <f>SUMIF(101:101,E31,102:102)-SUMIF(101:101,C31,102:102)+100</f>
        <v>100</v>
      </c>
      <c r="G31" s="424"/>
      <c r="H31" s="382">
        <f>SUMIF(101:101,G31,102:102)-SUMIF(101:101,C31,102:102)+100</f>
        <v>100</v>
      </c>
      <c r="I31" s="494"/>
      <c r="J31" s="382">
        <f>SUMIF(101:101,I31,102:102)-SUMIF(101:101,C31,102:102)+100</f>
        <v>100</v>
      </c>
      <c r="K31" s="558"/>
      <c r="L31" s="2712"/>
      <c r="M31" s="2706"/>
      <c r="N31" s="2706"/>
      <c r="O31" s="2764"/>
      <c r="P31" s="3735"/>
      <c r="Q31" s="1348">
        <f t="shared" si="8"/>
        <v>111</v>
      </c>
      <c r="R31" s="701" t="s">
        <v>14</v>
      </c>
      <c r="S31" s="702">
        <f t="shared" si="10"/>
        <v>100</v>
      </c>
      <c r="T31" s="701" t="s">
        <v>14</v>
      </c>
      <c r="U31" s="702">
        <f t="shared" si="11"/>
        <v>100</v>
      </c>
      <c r="V31" s="701" t="s">
        <v>14</v>
      </c>
      <c r="W31" s="702">
        <f t="shared" si="12"/>
        <v>100</v>
      </c>
      <c r="X31" s="1351"/>
      <c r="Y31" s="3735"/>
      <c r="Z31" s="1352">
        <f t="shared" si="13"/>
        <v>111</v>
      </c>
      <c r="AA31" s="1349">
        <f t="shared" si="3"/>
        <v>1</v>
      </c>
      <c r="AB31" s="1349">
        <f t="shared" si="4"/>
        <v>1</v>
      </c>
      <c r="AC31" s="1349">
        <f t="shared" si="5"/>
        <v>1</v>
      </c>
    </row>
    <row r="32" spans="1:29" ht="15">
      <c r="A32" s="619"/>
      <c r="B32" s="1988">
        <v>111</v>
      </c>
      <c r="C32" s="618"/>
      <c r="D32" s="382">
        <v>100</v>
      </c>
      <c r="E32" s="424"/>
      <c r="F32" s="382">
        <f>SUMIF(103:103,E33,104:104)-SUMIF(103:103,C33,104:104)+100</f>
        <v>100</v>
      </c>
      <c r="G32" s="424"/>
      <c r="H32" s="382">
        <f>SUMIF(103:103,G32,104:104)-SUMIF(103:103,C32,104:104)+100</f>
        <v>100</v>
      </c>
      <c r="I32" s="618"/>
      <c r="J32" s="382">
        <f>SUMIF(103:103,I32,104:104)-SUMIF(103:103,C32,104:104)+100</f>
        <v>100</v>
      </c>
      <c r="K32" s="558"/>
      <c r="L32" s="2712"/>
      <c r="M32" s="2706"/>
      <c r="N32" s="2706"/>
      <c r="O32" s="2764"/>
      <c r="P32" s="3736" t="s">
        <v>1696</v>
      </c>
      <c r="Q32" s="1348">
        <f t="shared" si="8"/>
        <v>111</v>
      </c>
      <c r="R32" s="701" t="s">
        <v>14</v>
      </c>
      <c r="S32" s="702">
        <f t="shared" si="10"/>
        <v>100</v>
      </c>
      <c r="T32" s="701" t="s">
        <v>14</v>
      </c>
      <c r="U32" s="702">
        <f t="shared" si="11"/>
        <v>100</v>
      </c>
      <c r="V32" s="701" t="s">
        <v>14</v>
      </c>
      <c r="W32" s="702">
        <f t="shared" si="12"/>
        <v>100</v>
      </c>
      <c r="X32" s="1351"/>
      <c r="Y32" s="3737" t="s">
        <v>1696</v>
      </c>
      <c r="Z32" s="1352">
        <f t="shared" si="13"/>
        <v>111</v>
      </c>
      <c r="AA32" s="1349">
        <f t="shared" si="3"/>
        <v>1</v>
      </c>
      <c r="AB32" s="1349">
        <f t="shared" si="4"/>
        <v>1</v>
      </c>
      <c r="AC32" s="1349">
        <f t="shared" si="5"/>
        <v>1</v>
      </c>
    </row>
    <row r="33" spans="1:31" s="418" customFormat="1" ht="15.75" thickBot="1">
      <c r="A33" s="620"/>
      <c r="B33" s="1989">
        <v>111</v>
      </c>
      <c r="C33" s="622"/>
      <c r="D33" s="124">
        <v>100</v>
      </c>
      <c r="E33" s="645"/>
      <c r="F33" s="385">
        <f>SUMIF(105:105,E33,106:106)-SUMIF(105:105,C33,106:106)+100</f>
        <v>100</v>
      </c>
      <c r="G33" s="645"/>
      <c r="H33" s="385">
        <f>SUMIF(105:105,G33,106:106)-SUMIF(105:105,C33,106:106)+100</f>
        <v>100</v>
      </c>
      <c r="I33" s="622"/>
      <c r="J33" s="385">
        <f>SUMIF(105:105,I33,106:106)-SUMIF(105:105,C33,106:106)+100</f>
        <v>100</v>
      </c>
      <c r="K33" s="558"/>
      <c r="L33" s="2711"/>
      <c r="M33" s="2713"/>
      <c r="N33" s="2713"/>
      <c r="O33" s="2765"/>
      <c r="P33" s="3737"/>
      <c r="Q33" s="1348">
        <f t="shared" si="8"/>
        <v>111</v>
      </c>
      <c r="R33" s="704" t="s">
        <v>14</v>
      </c>
      <c r="S33" s="705">
        <f t="shared" si="10"/>
        <v>100</v>
      </c>
      <c r="T33" s="704" t="s">
        <v>14</v>
      </c>
      <c r="U33" s="705">
        <f t="shared" si="11"/>
        <v>100</v>
      </c>
      <c r="V33" s="704" t="s">
        <v>14</v>
      </c>
      <c r="W33" s="705">
        <f t="shared" si="12"/>
        <v>100</v>
      </c>
      <c r="X33" s="706"/>
      <c r="Y33" s="3737"/>
      <c r="Z33" s="707">
        <f t="shared" si="13"/>
        <v>111</v>
      </c>
      <c r="AA33" s="1349">
        <f t="shared" si="3"/>
        <v>1</v>
      </c>
      <c r="AB33" s="1349">
        <f t="shared" si="4"/>
        <v>1</v>
      </c>
      <c r="AC33" s="1349">
        <f t="shared" si="5"/>
        <v>1</v>
      </c>
    </row>
    <row r="34" spans="1:31" ht="15">
      <c r="A34" s="387" t="s">
        <v>1694</v>
      </c>
      <c r="B34" s="403" t="s">
        <v>1874</v>
      </c>
      <c r="C34" s="623"/>
      <c r="D34" s="414">
        <v>100</v>
      </c>
      <c r="E34" s="623"/>
      <c r="F34" s="414" t="e">
        <f>LOOKUP(E34,108:108,109:109)-LOOKUP(C34,108:108,109:109)+100</f>
        <v>#N/A</v>
      </c>
      <c r="G34" s="623"/>
      <c r="H34" s="414" t="e">
        <f>LOOKUP(G34,108:108,109:109)-LOOKUP(C34,108:108,109:109)+100</f>
        <v>#N/A</v>
      </c>
      <c r="I34" s="475"/>
      <c r="J34" s="414" t="e">
        <f>LOOKUP(I34,108:108,109:109)-LOOKUP(C34,108:108,109:109)+100</f>
        <v>#N/A</v>
      </c>
      <c r="K34" s="558"/>
      <c r="L34" s="2712"/>
      <c r="M34" s="2706"/>
      <c r="N34" s="2706"/>
      <c r="O34" s="2764"/>
      <c r="P34" s="3737"/>
      <c r="Q34" s="1348" t="str">
        <f>B34</f>
        <v>宗地面积</v>
      </c>
      <c r="R34" s="701" t="s">
        <v>14</v>
      </c>
      <c r="S34" s="702" t="e">
        <f t="shared" si="10"/>
        <v>#N/A</v>
      </c>
      <c r="T34" s="701" t="s">
        <v>14</v>
      </c>
      <c r="U34" s="702" t="e">
        <f t="shared" si="11"/>
        <v>#N/A</v>
      </c>
      <c r="V34" s="701" t="s">
        <v>14</v>
      </c>
      <c r="W34" s="702" t="e">
        <f t="shared" si="12"/>
        <v>#N/A</v>
      </c>
      <c r="X34" s="1351"/>
      <c r="Y34" s="3737"/>
      <c r="Z34" s="1352" t="str">
        <f t="shared" si="13"/>
        <v>宗地面积</v>
      </c>
      <c r="AA34" s="1349" t="e">
        <f t="shared" si="3"/>
        <v>#N/A</v>
      </c>
      <c r="AB34" s="1349" t="e">
        <f t="shared" si="4"/>
        <v>#N/A</v>
      </c>
      <c r="AC34" s="1349" t="e">
        <f t="shared" si="5"/>
        <v>#N/A</v>
      </c>
    </row>
    <row r="35" spans="1:31" ht="15">
      <c r="A35" s="419"/>
      <c r="B35" s="371" t="s">
        <v>1875</v>
      </c>
      <c r="C35" s="1902"/>
      <c r="D35" s="382">
        <v>100</v>
      </c>
      <c r="E35" s="1902"/>
      <c r="F35" s="382">
        <f>SUMIF(110:110,E35,111:111)-SUMIF(110:110,C35,111:111)+100</f>
        <v>100</v>
      </c>
      <c r="G35" s="1902"/>
      <c r="H35" s="382">
        <f>SUMIF(110:110,G35,111:111)-SUMIF(110:110,C35,111:111)+100</f>
        <v>100</v>
      </c>
      <c r="I35" s="1902"/>
      <c r="J35" s="382">
        <f>SUMIF(110:110,I35,111:111)-SUMIF(110:110,C35,111:111)+100</f>
        <v>100</v>
      </c>
      <c r="K35" s="557"/>
      <c r="L35" s="2712"/>
      <c r="M35" s="2706"/>
      <c r="N35" s="2706"/>
      <c r="O35" s="2764"/>
      <c r="P35" s="3737"/>
      <c r="Q35" s="1348" t="str">
        <f t="shared" ref="Q35:Q40" si="14">B35</f>
        <v>宗地形状</v>
      </c>
      <c r="R35" s="701" t="s">
        <v>14</v>
      </c>
      <c r="S35" s="702">
        <f t="shared" si="10"/>
        <v>100</v>
      </c>
      <c r="T35" s="701" t="s">
        <v>14</v>
      </c>
      <c r="U35" s="702">
        <f t="shared" si="11"/>
        <v>100</v>
      </c>
      <c r="V35" s="701" t="s">
        <v>14</v>
      </c>
      <c r="W35" s="702">
        <f t="shared" si="12"/>
        <v>100</v>
      </c>
      <c r="X35" s="1351"/>
      <c r="Y35" s="3737"/>
      <c r="Z35" s="1352" t="str">
        <f t="shared" si="13"/>
        <v>宗地形状</v>
      </c>
      <c r="AA35" s="1349">
        <f t="shared" si="3"/>
        <v>1</v>
      </c>
      <c r="AB35" s="1349">
        <f t="shared" si="4"/>
        <v>1</v>
      </c>
      <c r="AC35" s="1349">
        <f t="shared" si="5"/>
        <v>1</v>
      </c>
    </row>
    <row r="36" spans="1:31" s="106" customFormat="1" ht="15">
      <c r="A36" s="420"/>
      <c r="B36" s="371" t="s">
        <v>1877</v>
      </c>
      <c r="C36" s="1976"/>
      <c r="D36" s="123">
        <v>100</v>
      </c>
      <c r="E36" s="1976"/>
      <c r="F36" s="382">
        <f>SUMIF(112:112,E36,113:113)-SUMIF(112:112,C36,113:113)+100</f>
        <v>100</v>
      </c>
      <c r="G36" s="1976"/>
      <c r="H36" s="382">
        <f>SUMIF(112:112,G36,113:113)-SUMIF(112:112,C36,113:113)+100</f>
        <v>100</v>
      </c>
      <c r="I36" s="1976"/>
      <c r="J36" s="382">
        <f>SUMIF(112:112,I36,113:113)-SUMIF(112:112,C36,113:113)+100</f>
        <v>100</v>
      </c>
      <c r="K36" s="557"/>
      <c r="L36" s="2707"/>
      <c r="M36" s="2708"/>
      <c r="N36" s="2708"/>
      <c r="O36" s="2762"/>
      <c r="P36" s="3737"/>
      <c r="Q36" s="1348" t="str">
        <f t="shared" si="14"/>
        <v>宗地开发程度</v>
      </c>
      <c r="R36" s="697" t="s">
        <v>14</v>
      </c>
      <c r="S36" s="698">
        <f t="shared" si="10"/>
        <v>100</v>
      </c>
      <c r="T36" s="697" t="s">
        <v>14</v>
      </c>
      <c r="U36" s="698">
        <f t="shared" si="11"/>
        <v>100</v>
      </c>
      <c r="V36" s="697" t="s">
        <v>14</v>
      </c>
      <c r="W36" s="698">
        <f t="shared" si="12"/>
        <v>100</v>
      </c>
      <c r="X36" s="699"/>
      <c r="Y36" s="3737"/>
      <c r="Z36" s="52" t="str">
        <f t="shared" si="13"/>
        <v>宗地开发程度</v>
      </c>
      <c r="AA36" s="700">
        <f t="shared" si="3"/>
        <v>1</v>
      </c>
      <c r="AB36" s="700">
        <f t="shared" si="4"/>
        <v>1</v>
      </c>
      <c r="AC36" s="700">
        <f t="shared" si="5"/>
        <v>1</v>
      </c>
    </row>
    <row r="37" spans="1:31" ht="15">
      <c r="A37" s="419"/>
      <c r="B37" s="371" t="s">
        <v>1878</v>
      </c>
      <c r="C37" s="1902"/>
      <c r="D37" s="382">
        <v>100</v>
      </c>
      <c r="E37" s="1902"/>
      <c r="F37" s="382">
        <f>SUMIF(114:114,E37,115:115)-SUMIF(114:114,C37,115:115)+100</f>
        <v>100</v>
      </c>
      <c r="G37" s="1902"/>
      <c r="H37" s="382">
        <f>SUMIF(114:114,G37,115:115)-SUMIF(114:114,C37,115:115)+100</f>
        <v>100</v>
      </c>
      <c r="I37" s="1902"/>
      <c r="J37" s="382">
        <f>SUMIF(114:114,I37,115:115)-SUMIF(114:114,C37,115:115)+100</f>
        <v>100</v>
      </c>
      <c r="K37" s="557"/>
      <c r="L37" s="2712"/>
      <c r="M37" s="2706"/>
      <c r="N37" s="2706"/>
      <c r="O37" s="2764"/>
      <c r="P37" s="3737" t="s">
        <v>1696</v>
      </c>
      <c r="Q37" s="1348" t="str">
        <f t="shared" si="14"/>
        <v>工程地质条件</v>
      </c>
      <c r="R37" s="701" t="s">
        <v>14</v>
      </c>
      <c r="S37" s="702">
        <f t="shared" si="10"/>
        <v>100</v>
      </c>
      <c r="T37" s="701" t="s">
        <v>14</v>
      </c>
      <c r="U37" s="702">
        <f t="shared" si="11"/>
        <v>100</v>
      </c>
      <c r="V37" s="701" t="s">
        <v>14</v>
      </c>
      <c r="W37" s="702">
        <f t="shared" si="12"/>
        <v>100</v>
      </c>
      <c r="X37" s="1351"/>
      <c r="Y37" s="3737" t="s">
        <v>1696</v>
      </c>
      <c r="Z37" s="1352" t="str">
        <f t="shared" si="13"/>
        <v>工程地质条件</v>
      </c>
      <c r="AA37" s="1349">
        <f t="shared" si="3"/>
        <v>1</v>
      </c>
      <c r="AB37" s="1349">
        <f t="shared" si="4"/>
        <v>1</v>
      </c>
      <c r="AC37" s="1349">
        <f t="shared" si="5"/>
        <v>1</v>
      </c>
    </row>
    <row r="38" spans="1:31" ht="15">
      <c r="A38" s="419"/>
      <c r="B38" s="1130">
        <v>111</v>
      </c>
      <c r="C38" s="618"/>
      <c r="D38" s="382">
        <v>100</v>
      </c>
      <c r="E38" s="618"/>
      <c r="F38" s="382">
        <f>SUMIF(116:116,E38,117:117)-SUMIF(116:116,C38,117:117)+100</f>
        <v>100</v>
      </c>
      <c r="G38" s="618"/>
      <c r="H38" s="382">
        <f>SUMIF(116:116,G38,117:117)-SUMIF(116:116,C38,117:117)+100</f>
        <v>100</v>
      </c>
      <c r="I38" s="494"/>
      <c r="J38" s="382">
        <f>SUMIF(116:116,I38,117:117)-SUMIF(116:116,C38,117:117)+100</f>
        <v>100</v>
      </c>
      <c r="K38" s="558"/>
      <c r="L38" s="2712"/>
      <c r="M38" s="2706"/>
      <c r="N38" s="2706"/>
      <c r="O38" s="2764"/>
      <c r="P38" s="3737"/>
      <c r="Q38" s="1348">
        <f t="shared" si="14"/>
        <v>111</v>
      </c>
      <c r="R38" s="701" t="s">
        <v>14</v>
      </c>
      <c r="S38" s="702">
        <f t="shared" si="10"/>
        <v>100</v>
      </c>
      <c r="T38" s="701" t="s">
        <v>14</v>
      </c>
      <c r="U38" s="702">
        <f t="shared" si="11"/>
        <v>100</v>
      </c>
      <c r="V38" s="701" t="s">
        <v>14</v>
      </c>
      <c r="W38" s="702">
        <f t="shared" si="12"/>
        <v>100</v>
      </c>
      <c r="X38" s="1351"/>
      <c r="Y38" s="3737"/>
      <c r="Z38" s="1352">
        <f t="shared" si="13"/>
        <v>111</v>
      </c>
      <c r="AA38" s="1349">
        <f t="shared" si="3"/>
        <v>1</v>
      </c>
      <c r="AB38" s="1349">
        <f t="shared" si="4"/>
        <v>1</v>
      </c>
      <c r="AC38" s="1349">
        <f t="shared" si="5"/>
        <v>1</v>
      </c>
    </row>
    <row r="39" spans="1:31" ht="15">
      <c r="A39" s="419"/>
      <c r="B39" s="1130">
        <v>111</v>
      </c>
      <c r="C39" s="618"/>
      <c r="D39" s="382">
        <v>100</v>
      </c>
      <c r="E39" s="618"/>
      <c r="F39" s="382">
        <f>SUMIF(118:118,E39,119:119)-SUMIF(118:118,C39,119:119)+100</f>
        <v>100</v>
      </c>
      <c r="G39" s="618"/>
      <c r="H39" s="382">
        <f>SUMIF(118:118,G39,119:119)-SUMIF(118:118,C39,119:119)+100</f>
        <v>100</v>
      </c>
      <c r="I39" s="494"/>
      <c r="J39" s="382">
        <f>SUMIF(118:118,I39,119:119)-SUMIF(118:118,C39,119:119)+100</f>
        <v>100</v>
      </c>
      <c r="K39" s="558"/>
      <c r="L39" s="2712"/>
      <c r="M39" s="2706"/>
      <c r="N39" s="2706"/>
      <c r="O39" s="2764"/>
      <c r="P39" s="3737"/>
      <c r="Q39" s="1348">
        <f t="shared" si="14"/>
        <v>111</v>
      </c>
      <c r="R39" s="701" t="s">
        <v>14</v>
      </c>
      <c r="S39" s="702">
        <f t="shared" si="10"/>
        <v>100</v>
      </c>
      <c r="T39" s="701" t="s">
        <v>14</v>
      </c>
      <c r="U39" s="702">
        <f t="shared" si="11"/>
        <v>100</v>
      </c>
      <c r="V39" s="701" t="s">
        <v>14</v>
      </c>
      <c r="W39" s="702">
        <f t="shared" si="12"/>
        <v>100</v>
      </c>
      <c r="X39" s="1351"/>
      <c r="Y39" s="3737"/>
      <c r="Z39" s="1352">
        <f t="shared" si="13"/>
        <v>111</v>
      </c>
      <c r="AA39" s="1349">
        <f t="shared" si="3"/>
        <v>1</v>
      </c>
      <c r="AB39" s="1349">
        <f t="shared" si="4"/>
        <v>1</v>
      </c>
      <c r="AC39" s="1349">
        <f t="shared" si="5"/>
        <v>1</v>
      </c>
    </row>
    <row r="40" spans="1:31" s="418" customFormat="1" ht="15.75" thickBot="1">
      <c r="A40" s="415"/>
      <c r="B40" s="1130">
        <v>111</v>
      </c>
      <c r="C40" s="1977"/>
      <c r="D40" s="124">
        <v>100</v>
      </c>
      <c r="E40" s="618"/>
      <c r="F40" s="385">
        <f>SUMIF(120:120,E40,121:121)-SUMIF(120:120,C40,121:121)+100</f>
        <v>100</v>
      </c>
      <c r="G40" s="618"/>
      <c r="H40" s="385">
        <f>SUMIF(120:120,G40,121:121)-SUMIF(120:120,C40,121:121)+100</f>
        <v>100</v>
      </c>
      <c r="I40" s="494"/>
      <c r="J40" s="385">
        <f>SUMIF(120:120,I40,121:121)-SUMIF(120:120,C40,121:121)+100</f>
        <v>100</v>
      </c>
      <c r="K40" s="625"/>
      <c r="L40" s="2711"/>
      <c r="M40" s="2713"/>
      <c r="N40" s="2713"/>
      <c r="O40" s="2765"/>
      <c r="P40" s="3737"/>
      <c r="Q40" s="1348">
        <f t="shared" si="14"/>
        <v>111</v>
      </c>
      <c r="R40" s="704" t="s">
        <v>14</v>
      </c>
      <c r="S40" s="705">
        <f t="shared" si="10"/>
        <v>100</v>
      </c>
      <c r="T40" s="704" t="s">
        <v>14</v>
      </c>
      <c r="U40" s="705">
        <f t="shared" si="11"/>
        <v>100</v>
      </c>
      <c r="V40" s="704" t="s">
        <v>14</v>
      </c>
      <c r="W40" s="705">
        <f t="shared" si="12"/>
        <v>100</v>
      </c>
      <c r="X40" s="706"/>
      <c r="Y40" s="3737"/>
      <c r="Z40" s="707">
        <f t="shared" si="13"/>
        <v>111</v>
      </c>
      <c r="AA40" s="1349">
        <f t="shared" si="3"/>
        <v>1</v>
      </c>
      <c r="AB40" s="1349">
        <f t="shared" si="4"/>
        <v>1</v>
      </c>
      <c r="AC40" s="1349">
        <f t="shared" si="5"/>
        <v>1</v>
      </c>
    </row>
    <row r="41" spans="1:31" ht="15">
      <c r="A41" s="426" t="s">
        <v>1844</v>
      </c>
      <c r="B41" s="1978" t="s">
        <v>1922</v>
      </c>
      <c r="C41" s="626" t="s">
        <v>0</v>
      </c>
      <c r="D41" s="428"/>
      <c r="E41" s="429"/>
      <c r="F41" s="430"/>
      <c r="G41" s="431"/>
      <c r="H41" s="432"/>
      <c r="I41" s="429"/>
      <c r="J41" s="432"/>
      <c r="K41" s="710"/>
      <c r="L41" s="2714"/>
      <c r="M41" s="2706"/>
      <c r="N41" s="2706"/>
      <c r="O41" s="2715"/>
      <c r="P41" s="3733" t="str">
        <f>A41</f>
        <v>成交单价</v>
      </c>
      <c r="Q41" s="3733"/>
      <c r="R41" s="3738">
        <f>E41</f>
        <v>0</v>
      </c>
      <c r="S41" s="3738"/>
      <c r="T41" s="3738">
        <f>G41</f>
        <v>0</v>
      </c>
      <c r="U41" s="3738"/>
      <c r="V41" s="3738">
        <f>I41</f>
        <v>0</v>
      </c>
      <c r="W41" s="3738"/>
      <c r="X41" s="686"/>
      <c r="Y41" s="708"/>
      <c r="Z41" s="686"/>
      <c r="AA41" s="686"/>
      <c r="AB41" s="686"/>
      <c r="AC41" s="686"/>
    </row>
    <row r="42" spans="1:31" ht="15.75" thickBot="1">
      <c r="A42" s="433" t="s">
        <v>1793</v>
      </c>
      <c r="B42" s="627"/>
      <c r="C42" s="436" t="e">
        <f>R43</f>
        <v>#DIV/0!</v>
      </c>
      <c r="D42" s="2313" t="s">
        <v>2138</v>
      </c>
      <c r="E42" s="436" t="e">
        <f>R42</f>
        <v>#DIV/0!</v>
      </c>
      <c r="F42" s="2314"/>
      <c r="G42" s="435" t="e">
        <f>T42</f>
        <v>#DIV/0!</v>
      </c>
      <c r="H42" s="2314"/>
      <c r="I42" s="436" t="e">
        <f>V42</f>
        <v>#DIV/0!</v>
      </c>
      <c r="J42" s="2314"/>
      <c r="K42" s="2316">
        <f>F42+H42+J42</f>
        <v>0</v>
      </c>
      <c r="L42" s="2714"/>
      <c r="M42" s="2706"/>
      <c r="N42" s="2706"/>
      <c r="O42" s="2715"/>
      <c r="P42" s="3733" t="str">
        <f>A42</f>
        <v>比较价值（元/平方米）</v>
      </c>
      <c r="Q42" s="3733"/>
      <c r="R42" s="3726" t="e">
        <f>ROUND(PRODUCT(R41,AA7:AA40),0)</f>
        <v>#DIV/0!</v>
      </c>
      <c r="S42" s="3726"/>
      <c r="T42" s="3726" t="e">
        <f>ROUND(PRODUCT(T41,AB7:AB40),0)</f>
        <v>#DIV/0!</v>
      </c>
      <c r="U42" s="3726"/>
      <c r="V42" s="3726" t="e">
        <f>ROUND(PRODUCT(V41,AC7:AC40),0)</f>
        <v>#DIV/0!</v>
      </c>
      <c r="W42" s="3726"/>
      <c r="X42" s="686"/>
      <c r="Y42" s="686"/>
      <c r="Z42" s="686"/>
      <c r="AA42" s="686"/>
      <c r="AB42" s="686"/>
      <c r="AC42" s="686"/>
    </row>
    <row r="43" spans="1:31" ht="15.75" thickBot="1">
      <c r="A43" s="437" t="s">
        <v>1794</v>
      </c>
      <c r="B43" s="438"/>
      <c r="C43" s="439" t="e">
        <f>R43</f>
        <v>#DIV/0!</v>
      </c>
      <c r="D43" s="439"/>
      <c r="E43" s="439"/>
      <c r="F43" s="439"/>
      <c r="G43" s="439"/>
      <c r="H43" s="439"/>
      <c r="I43" s="439"/>
      <c r="J43" s="439"/>
      <c r="K43" s="711"/>
      <c r="L43" s="2714"/>
      <c r="M43" s="2706"/>
      <c r="N43" s="2706"/>
      <c r="O43" s="2715"/>
      <c r="P43" s="3727" t="str">
        <f>A43</f>
        <v>估价对象XX用房的比较价值（楼面单价，元/平方米）</v>
      </c>
      <c r="Q43" s="3728"/>
      <c r="R43" s="3729" t="e">
        <f>ROUND(IF(D42="简单平均",AVERAGE(R42:W42),R42*F42+T42*H42+V42*J42),0)</f>
        <v>#DIV/0!</v>
      </c>
      <c r="S43" s="3729"/>
      <c r="T43" s="3729"/>
      <c r="U43" s="3729"/>
      <c r="V43" s="3729"/>
      <c r="W43" s="3729"/>
      <c r="X43" s="686"/>
      <c r="Y43" s="686"/>
      <c r="Z43" s="686"/>
      <c r="AA43" s="686"/>
      <c r="AB43" s="686"/>
      <c r="AC43" s="686"/>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2" t="s">
        <v>1795</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2" t="s">
        <v>1796</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7" customFormat="1" ht="13.5" customHeight="1">
      <c r="A48" s="2718"/>
      <c r="B48" s="2718"/>
      <c r="C48" s="442" t="s">
        <v>1797</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7" customFormat="1" ht="15" thickBot="1">
      <c r="A49" s="2718"/>
      <c r="B49" s="2721"/>
      <c r="C49" s="689"/>
      <c r="D49" s="687"/>
      <c r="E49" s="687"/>
      <c r="F49" s="687"/>
      <c r="G49" s="687"/>
      <c r="H49" s="687"/>
      <c r="I49" s="687"/>
      <c r="J49" s="687"/>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8" t="s">
        <v>1881</v>
      </c>
      <c r="B50" s="629" t="s">
        <v>1882</v>
      </c>
      <c r="C50" s="1979" t="s">
        <v>1883</v>
      </c>
      <c r="D50" s="1980" t="s">
        <v>1884</v>
      </c>
      <c r="E50" s="630" t="s">
        <v>1885</v>
      </c>
      <c r="F50" s="631" t="s">
        <v>1886</v>
      </c>
      <c r="G50" s="3730" t="s">
        <v>1887</v>
      </c>
      <c r="H50" s="3731"/>
      <c r="I50" s="1352" t="s">
        <v>1923</v>
      </c>
      <c r="J50" s="1352">
        <f>项目基本情况!F35</f>
        <v>0</v>
      </c>
      <c r="K50" s="1982"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6" customFormat="1">
      <c r="A51" s="632" t="s">
        <v>1890</v>
      </c>
      <c r="B51" s="633" t="e">
        <f>C43</f>
        <v>#DIV/0!</v>
      </c>
      <c r="C51" s="634">
        <v>1</v>
      </c>
      <c r="D51" s="940">
        <v>1</v>
      </c>
      <c r="E51" s="634">
        <f>'数据-汇总表'!E8+'数据-汇总表'!E9</f>
        <v>56213.600000000013</v>
      </c>
      <c r="F51" s="635" t="e">
        <f t="shared" ref="F51:F60" si="15">ROUND(B51*E51/10000,0)</f>
        <v>#DIV/0!</v>
      </c>
      <c r="G51" s="3732"/>
      <c r="H51" s="3733"/>
      <c r="I51" s="769">
        <v>1</v>
      </c>
      <c r="J51" s="769">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6" customFormat="1">
      <c r="A52" s="637" t="s">
        <v>1891</v>
      </c>
      <c r="B52" s="214" t="e">
        <f>ROUND($C$43*C52*D52,0)</f>
        <v>#DIV/0!</v>
      </c>
      <c r="C52" s="167">
        <f t="shared" ref="C52:C60" si="16">IF($C$50="北京市系数",I52,J52)</f>
        <v>0</v>
      </c>
      <c r="D52" s="941">
        <v>0.25</v>
      </c>
      <c r="E52" s="638"/>
      <c r="F52" s="635" t="e">
        <f t="shared" si="15"/>
        <v>#DIV/0!</v>
      </c>
      <c r="G52" s="2996" t="s">
        <v>1892</v>
      </c>
      <c r="H52" s="883">
        <f>项目基本情况!B37</f>
        <v>0</v>
      </c>
      <c r="I52" s="769">
        <f>SUMIF(修正!A57:A68,H52,修正!B57:B68)</f>
        <v>0</v>
      </c>
      <c r="J52" s="770"/>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6" customFormat="1">
      <c r="A53" s="637" t="s">
        <v>1893</v>
      </c>
      <c r="B53" s="214" t="e">
        <f t="shared" ref="B53:B60" si="17">ROUND($C$43*C53*D53,0)</f>
        <v>#DIV/0!</v>
      </c>
      <c r="C53" s="167">
        <f t="shared" si="16"/>
        <v>0</v>
      </c>
      <c r="D53" s="941">
        <v>0.25</v>
      </c>
      <c r="E53" s="638"/>
      <c r="F53" s="635" t="e">
        <f t="shared" si="15"/>
        <v>#DIV/0!</v>
      </c>
      <c r="G53" s="2997"/>
      <c r="H53" s="883">
        <f>项目基本情况!B37</f>
        <v>0</v>
      </c>
      <c r="I53" s="769">
        <f>SUMIF(修正!A57:A68,H53,修正!C57:C68)</f>
        <v>0</v>
      </c>
      <c r="J53" s="770"/>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6" customFormat="1">
      <c r="A54" s="637" t="s">
        <v>1894</v>
      </c>
      <c r="B54" s="214" t="e">
        <f t="shared" si="17"/>
        <v>#DIV/0!</v>
      </c>
      <c r="C54" s="167">
        <f t="shared" si="16"/>
        <v>0</v>
      </c>
      <c r="D54" s="941">
        <v>0.25</v>
      </c>
      <c r="E54" s="638"/>
      <c r="F54" s="635" t="e">
        <f t="shared" si="15"/>
        <v>#DIV/0!</v>
      </c>
      <c r="G54" s="2997"/>
      <c r="H54" s="883">
        <f>项目基本情况!B37</f>
        <v>0</v>
      </c>
      <c r="I54" s="769">
        <f>SUMIF(修正!A57:A68,H54,修正!D57:D68)</f>
        <v>0</v>
      </c>
      <c r="J54" s="770"/>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6" customFormat="1" hidden="1">
      <c r="A55" s="637"/>
      <c r="B55" s="214"/>
      <c r="C55" s="167"/>
      <c r="D55" s="941"/>
      <c r="E55" s="638"/>
      <c r="F55" s="635"/>
      <c r="G55" s="2998"/>
      <c r="H55" s="883"/>
      <c r="I55" s="769"/>
      <c r="J55" s="770"/>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6" customFormat="1">
      <c r="A56" s="637" t="s">
        <v>1895</v>
      </c>
      <c r="B56" s="214" t="e">
        <f t="shared" si="17"/>
        <v>#DIV/0!</v>
      </c>
      <c r="C56" s="167">
        <f t="shared" si="16"/>
        <v>0.25</v>
      </c>
      <c r="D56" s="941">
        <v>0.25</v>
      </c>
      <c r="E56" s="213">
        <f>'数据-汇总表'!E11</f>
        <v>25708.589999999997</v>
      </c>
      <c r="F56" s="635" t="e">
        <f t="shared" si="15"/>
        <v>#DIV/0!</v>
      </c>
      <c r="G56" s="1983" t="s">
        <v>1896</v>
      </c>
      <c r="H56" s="883" t="str">
        <f>项目基本情况!C37</f>
        <v>五级</v>
      </c>
      <c r="I56" s="769">
        <f>SUMIF(修正!A57:A68,H56,修正!E57:E68)</f>
        <v>0.25</v>
      </c>
      <c r="J56" s="770"/>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6" customFormat="1">
      <c r="A57" s="637" t="s">
        <v>1897</v>
      </c>
      <c r="B57" s="214" t="e">
        <f t="shared" si="17"/>
        <v>#DIV/0!</v>
      </c>
      <c r="C57" s="167">
        <f t="shared" si="16"/>
        <v>0.25</v>
      </c>
      <c r="D57" s="941">
        <v>0.25</v>
      </c>
      <c r="E57" s="213">
        <f>'数据-汇总表'!E12</f>
        <v>0</v>
      </c>
      <c r="F57" s="635" t="e">
        <f t="shared" si="15"/>
        <v>#DIV/0!</v>
      </c>
      <c r="G57" s="888" t="s">
        <v>1898</v>
      </c>
      <c r="H57" s="883" t="str">
        <f>IF(G57="商业",项目基本情况!B37,IF(G57="办公",项目基本情况!C37,IF(G57="住宅",项目基本情况!D37,项目基本情况!E37)))</f>
        <v>五级</v>
      </c>
      <c r="I57" s="769">
        <f>SUMIF(修正!A57:A68,H57,修正!F57:F68)</f>
        <v>0.25</v>
      </c>
      <c r="J57" s="770"/>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6" customFormat="1">
      <c r="A58" s="637" t="s">
        <v>1899</v>
      </c>
      <c r="B58" s="214" t="e">
        <f t="shared" si="17"/>
        <v>#DIV/0!</v>
      </c>
      <c r="C58" s="167">
        <f t="shared" si="16"/>
        <v>0</v>
      </c>
      <c r="D58" s="941">
        <v>0.25</v>
      </c>
      <c r="E58" s="213">
        <f>'数据-汇总表'!E13</f>
        <v>0</v>
      </c>
      <c r="F58" s="635" t="e">
        <f t="shared" si="15"/>
        <v>#DIV/0!</v>
      </c>
      <c r="G58" s="888" t="s">
        <v>1900</v>
      </c>
      <c r="H58" s="883">
        <f>IF(G58="商业",项目基本情况!B37,IF(G58="办公",项目基本情况!C37,IF(G58="住宅",项目基本情况!D37,项目基本情况!E37)))</f>
        <v>0</v>
      </c>
      <c r="I58" s="769">
        <f>SUMIF(修正!A57:A68,H58,修正!G57:G68)</f>
        <v>0</v>
      </c>
      <c r="J58" s="770"/>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6" customFormat="1">
      <c r="A59" s="637" t="s">
        <v>1901</v>
      </c>
      <c r="B59" s="214" t="e">
        <f t="shared" si="17"/>
        <v>#DIV/0!</v>
      </c>
      <c r="C59" s="167">
        <f t="shared" si="16"/>
        <v>0</v>
      </c>
      <c r="D59" s="941">
        <v>0.25</v>
      </c>
      <c r="E59" s="213">
        <f>'数据-汇总表'!E14</f>
        <v>0</v>
      </c>
      <c r="F59" s="635" t="e">
        <f t="shared" si="15"/>
        <v>#DIV/0!</v>
      </c>
      <c r="G59" s="1983" t="s">
        <v>1892</v>
      </c>
      <c r="H59" s="883">
        <f>项目基本情况!B37</f>
        <v>0</v>
      </c>
      <c r="I59" s="769">
        <f>SUMIF(修正!A57:A68,H59,修正!G57:G68)</f>
        <v>0</v>
      </c>
      <c r="J59" s="770"/>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6" customFormat="1" ht="15" thickBot="1">
      <c r="A60" s="637" t="s">
        <v>1902</v>
      </c>
      <c r="B60" s="214" t="e">
        <f t="shared" si="17"/>
        <v>#DIV/0!</v>
      </c>
      <c r="C60" s="167">
        <f t="shared" si="16"/>
        <v>0.15</v>
      </c>
      <c r="D60" s="941">
        <v>0.25</v>
      </c>
      <c r="E60" s="213">
        <f>'数据-汇总表'!E15</f>
        <v>21174.010000000002</v>
      </c>
      <c r="F60" s="635" t="e">
        <f t="shared" si="15"/>
        <v>#DIV/0!</v>
      </c>
      <c r="G60" s="1984" t="s">
        <v>1896</v>
      </c>
      <c r="H60" s="893" t="str">
        <f>项目基本情况!C37</f>
        <v>五级</v>
      </c>
      <c r="I60" s="769">
        <f>SUMIF(修正!A57:A68,H60,修正!G57:G68)</f>
        <v>0.15</v>
      </c>
      <c r="J60" s="770"/>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6" customFormat="1" ht="15" thickBot="1">
      <c r="A61" s="639" t="s">
        <v>1903</v>
      </c>
      <c r="B61" s="640" t="s">
        <v>22</v>
      </c>
      <c r="C61" s="640" t="s">
        <v>23</v>
      </c>
      <c r="D61" s="640" t="s">
        <v>392</v>
      </c>
      <c r="E61" s="640">
        <f>IF(B41="楼面地价",SUM(E51:E60),'数据-汇总表'!D3)</f>
        <v>23586.720000000001</v>
      </c>
      <c r="F61" s="641" t="e">
        <f>IF(B41="楼面地价",SUM(F51:F60),ROUND(C43*E61/10000,0))</f>
        <v>#DIV/0!</v>
      </c>
      <c r="G61" s="935"/>
      <c r="H61" s="935"/>
      <c r="I61" s="935"/>
      <c r="J61" s="935"/>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3"/>
      <c r="B62" s="925"/>
      <c r="C62" s="927"/>
      <c r="D62" s="923"/>
      <c r="E62" s="923"/>
      <c r="F62" s="923"/>
      <c r="G62" s="923"/>
      <c r="H62" s="923"/>
      <c r="I62" s="923"/>
      <c r="J62" s="923"/>
      <c r="K62" s="884"/>
      <c r="L62" s="885"/>
      <c r="M62" s="923"/>
      <c r="N62" s="923"/>
      <c r="O62" s="923"/>
      <c r="P62" s="2715"/>
      <c r="Q62" s="2715"/>
      <c r="R62" s="2715"/>
      <c r="S62" s="2715"/>
      <c r="T62" s="2715"/>
      <c r="U62" s="2715"/>
      <c r="V62" s="2715"/>
      <c r="W62" s="2715"/>
      <c r="X62" s="2715"/>
      <c r="Y62" s="2715"/>
      <c r="Z62" s="2715"/>
      <c r="AA62" s="2715"/>
      <c r="AB62" s="2715"/>
      <c r="AC62" s="2715"/>
      <c r="AD62" s="2715"/>
      <c r="AE62" s="2715"/>
    </row>
    <row r="63" spans="1:31">
      <c r="A63" s="923"/>
      <c r="B63" s="925"/>
      <c r="C63" s="688" t="str">
        <f>YEAR(C7)&amp;"-"&amp;MONTH(C7)&amp;"-1"</f>
        <v>2023-3-1</v>
      </c>
      <c r="D63" s="688">
        <f>EDATE(C63,-3)</f>
        <v>44896</v>
      </c>
      <c r="E63" s="688">
        <f>EDATE(D63,-3)</f>
        <v>44805</v>
      </c>
      <c r="F63" s="688">
        <f t="shared" ref="F63:O63" si="18">EDATE(E63,-3)</f>
        <v>44713</v>
      </c>
      <c r="G63" s="688">
        <f t="shared" si="18"/>
        <v>44621</v>
      </c>
      <c r="H63" s="688">
        <f t="shared" si="18"/>
        <v>44531</v>
      </c>
      <c r="I63" s="688">
        <f t="shared" si="18"/>
        <v>44440</v>
      </c>
      <c r="J63" s="688">
        <f t="shared" si="18"/>
        <v>44348</v>
      </c>
      <c r="K63" s="688">
        <f t="shared" si="18"/>
        <v>44256</v>
      </c>
      <c r="L63" s="688">
        <f t="shared" si="18"/>
        <v>44166</v>
      </c>
      <c r="M63" s="688">
        <f t="shared" si="18"/>
        <v>44075</v>
      </c>
      <c r="N63" s="688">
        <f t="shared" si="18"/>
        <v>43983</v>
      </c>
      <c r="O63" s="688">
        <f t="shared" si="18"/>
        <v>43891</v>
      </c>
      <c r="P63" s="2715"/>
      <c r="Q63" s="2715"/>
      <c r="R63" s="2715"/>
      <c r="S63" s="2715"/>
      <c r="T63" s="2715"/>
      <c r="U63" s="2715"/>
      <c r="V63" s="2715"/>
      <c r="W63" s="2715"/>
      <c r="X63" s="2715"/>
      <c r="Y63" s="2715"/>
      <c r="Z63" s="2715"/>
      <c r="AA63" s="2715"/>
      <c r="AB63" s="2715"/>
      <c r="AC63" s="2715"/>
      <c r="AD63" s="2715"/>
      <c r="AE63" s="2715"/>
    </row>
    <row r="64" spans="1:31" ht="21.75" thickBot="1">
      <c r="A64" s="690" t="s">
        <v>1798</v>
      </c>
      <c r="B64" s="686"/>
      <c r="C64" s="691"/>
      <c r="D64" s="691"/>
      <c r="E64" s="691"/>
      <c r="F64" s="692"/>
      <c r="G64" s="692"/>
      <c r="H64" s="691"/>
      <c r="I64" s="691"/>
      <c r="J64" s="691"/>
      <c r="K64" s="693"/>
      <c r="L64" s="694"/>
      <c r="M64" s="691"/>
      <c r="N64" s="691"/>
      <c r="O64" s="936"/>
      <c r="P64" s="2759"/>
      <c r="Q64" s="2729"/>
      <c r="R64" s="2715"/>
      <c r="S64" s="2715"/>
      <c r="T64" s="2715"/>
      <c r="U64" s="2715"/>
      <c r="V64" s="2715"/>
      <c r="W64" s="2715"/>
      <c r="X64" s="2715"/>
      <c r="Y64" s="2715"/>
      <c r="Z64" s="2715"/>
      <c r="AA64" s="2715"/>
      <c r="AB64" s="2715"/>
      <c r="AC64" s="2715"/>
      <c r="AD64" s="2715"/>
      <c r="AE64" s="2715"/>
    </row>
    <row r="65" spans="1:31" s="453" customFormat="1" ht="15">
      <c r="A65" s="1985"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66"/>
      <c r="Q65" s="2731"/>
      <c r="R65" s="2731"/>
      <c r="S65" s="2731"/>
      <c r="T65" s="2731"/>
      <c r="U65" s="2731"/>
      <c r="V65" s="2731"/>
      <c r="W65" s="2731"/>
      <c r="X65" s="2731"/>
      <c r="Y65" s="2731"/>
      <c r="Z65" s="2731"/>
      <c r="AA65" s="2731"/>
      <c r="AB65" s="2731"/>
      <c r="AC65" s="2731"/>
      <c r="AD65" s="2731"/>
      <c r="AE65" s="2731"/>
    </row>
    <row r="66" spans="1:31" s="106" customFormat="1" ht="30.75" customHeight="1">
      <c r="A66" s="1990" t="s">
        <v>1924</v>
      </c>
      <c r="B66" s="284" t="str">
        <f>"北京市平均增长率"&amp;TEXT(基准地价修正!P28,"0.00%")</f>
        <v>北京市平均增长率0.00%</v>
      </c>
      <c r="C66" s="548">
        <v>100</v>
      </c>
      <c r="D66" s="540"/>
      <c r="E66" s="540"/>
      <c r="F66" s="540"/>
      <c r="G66" s="540"/>
      <c r="H66" s="540"/>
      <c r="I66" s="540"/>
      <c r="J66" s="540"/>
      <c r="K66" s="540"/>
      <c r="L66" s="540"/>
      <c r="M66" s="1174"/>
      <c r="N66" s="1174"/>
      <c r="O66" s="1176"/>
      <c r="P66" s="2729"/>
      <c r="Q66" s="2652"/>
      <c r="R66" s="2652"/>
      <c r="S66" s="2652"/>
      <c r="T66" s="2652"/>
      <c r="U66" s="2652"/>
      <c r="V66" s="2652"/>
      <c r="W66" s="2652"/>
      <c r="X66" s="2652"/>
      <c r="Y66" s="2652"/>
      <c r="Z66" s="2652"/>
      <c r="AA66" s="2652"/>
      <c r="AB66" s="2652"/>
      <c r="AC66" s="2652"/>
      <c r="AD66" s="2652"/>
      <c r="AE66" s="2652"/>
    </row>
    <row r="67" spans="1:31" s="106" customFormat="1" ht="15.75" thickBot="1">
      <c r="A67" s="460" t="s">
        <v>1716</v>
      </c>
      <c r="B67" s="461"/>
      <c r="C67" s="462"/>
      <c r="D67" s="463"/>
      <c r="E67" s="463"/>
      <c r="F67" s="463"/>
      <c r="G67" s="463"/>
      <c r="H67" s="463"/>
      <c r="I67" s="463"/>
      <c r="J67" s="463"/>
      <c r="K67" s="463"/>
      <c r="L67" s="463"/>
      <c r="M67" s="464"/>
      <c r="N67" s="464"/>
      <c r="O67" s="465"/>
      <c r="P67" s="2729"/>
      <c r="Q67" s="2729"/>
      <c r="R67" s="2652"/>
      <c r="S67" s="2652"/>
      <c r="T67" s="2652"/>
      <c r="U67" s="2652"/>
      <c r="V67" s="2652"/>
      <c r="W67" s="2652"/>
      <c r="X67" s="2652"/>
      <c r="Y67" s="2652"/>
      <c r="Z67" s="2652"/>
      <c r="AA67" s="2652"/>
      <c r="AB67" s="2652"/>
      <c r="AC67" s="2652"/>
      <c r="AD67" s="2652"/>
      <c r="AE67" s="2652"/>
    </row>
    <row r="68" spans="1:31" s="106" customFormat="1" ht="15">
      <c r="A68" s="466" t="s">
        <v>1681</v>
      </c>
      <c r="B68" s="455"/>
      <c r="C68" s="467" t="s">
        <v>1776</v>
      </c>
      <c r="D68" s="468"/>
      <c r="E68" s="468"/>
      <c r="F68" s="468"/>
      <c r="G68" s="468"/>
      <c r="H68" s="468"/>
      <c r="I68" s="468"/>
      <c r="J68" s="468"/>
      <c r="K68" s="468"/>
      <c r="L68" s="469"/>
      <c r="M68" s="470"/>
      <c r="N68" s="2742"/>
      <c r="O68" s="2742"/>
      <c r="P68" s="2767"/>
      <c r="Q68" s="2729"/>
      <c r="R68" s="2652"/>
      <c r="S68" s="2652"/>
      <c r="T68" s="2652"/>
      <c r="U68" s="2652"/>
      <c r="V68" s="2652"/>
      <c r="W68" s="2652"/>
      <c r="X68" s="2652"/>
      <c r="Y68" s="2652"/>
      <c r="Z68" s="2652"/>
      <c r="AA68" s="2652"/>
      <c r="AB68" s="2652"/>
      <c r="AC68" s="2652"/>
      <c r="AD68" s="2652"/>
      <c r="AE68" s="2652"/>
    </row>
    <row r="69" spans="1:31" s="106" customFormat="1" ht="15.75" thickBot="1">
      <c r="A69" s="466"/>
      <c r="B69" s="455"/>
      <c r="C69" s="583">
        <v>100</v>
      </c>
      <c r="D69" s="457"/>
      <c r="E69" s="457"/>
      <c r="F69" s="457"/>
      <c r="G69" s="457"/>
      <c r="H69" s="457"/>
      <c r="I69" s="457"/>
      <c r="J69" s="457"/>
      <c r="K69" s="457"/>
      <c r="L69" s="457"/>
      <c r="M69" s="459"/>
      <c r="N69" s="2742"/>
      <c r="O69" s="2742"/>
      <c r="P69" s="2729"/>
      <c r="Q69" s="2729"/>
      <c r="R69" s="2652"/>
      <c r="S69" s="2652"/>
      <c r="T69" s="2652"/>
      <c r="U69" s="2652"/>
      <c r="V69" s="2652"/>
      <c r="W69" s="2652"/>
      <c r="X69" s="2652"/>
      <c r="Y69" s="2652"/>
      <c r="Z69" s="2652"/>
      <c r="AA69" s="2652"/>
      <c r="AB69" s="2652"/>
      <c r="AC69" s="2652"/>
      <c r="AD69" s="2652"/>
      <c r="AE69" s="2652"/>
    </row>
    <row r="70" spans="1:31">
      <c r="A70" s="472" t="s">
        <v>1719</v>
      </c>
      <c r="B70" s="473" t="s">
        <v>1685</v>
      </c>
      <c r="C70" s="475"/>
      <c r="D70" s="475"/>
      <c r="E70" s="475"/>
      <c r="F70" s="475"/>
      <c r="G70" s="475"/>
      <c r="H70" s="475"/>
      <c r="I70" s="475"/>
      <c r="J70" s="475"/>
      <c r="K70" s="476"/>
      <c r="L70" s="477"/>
      <c r="M70" s="478"/>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79"/>
      <c r="B71" s="480"/>
      <c r="C71" s="481"/>
      <c r="D71" s="481"/>
      <c r="E71" s="481"/>
      <c r="F71" s="481"/>
      <c r="G71" s="481"/>
      <c r="H71" s="481"/>
      <c r="I71" s="481"/>
      <c r="J71" s="481"/>
      <c r="K71" s="481"/>
      <c r="L71" s="481"/>
      <c r="M71" s="482"/>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79"/>
      <c r="B72" s="483" t="s">
        <v>1688</v>
      </c>
      <c r="C72" s="484"/>
      <c r="D72" s="484"/>
      <c r="E72" s="484"/>
      <c r="F72" s="484"/>
      <c r="G72" s="484"/>
      <c r="H72" s="484"/>
      <c r="I72" s="484"/>
      <c r="J72" s="484"/>
      <c r="K72" s="485"/>
      <c r="L72" s="486"/>
      <c r="M72" s="487"/>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79"/>
      <c r="B73" s="488"/>
      <c r="C73" s="489"/>
      <c r="D73" s="489"/>
      <c r="E73" s="489"/>
      <c r="F73" s="489"/>
      <c r="G73" s="489"/>
      <c r="H73" s="489"/>
      <c r="I73" s="489"/>
      <c r="J73" s="489"/>
      <c r="K73" s="489"/>
      <c r="L73" s="489"/>
      <c r="M73" s="490"/>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79"/>
      <c r="B74" s="491" t="s">
        <v>1689</v>
      </c>
      <c r="C74" s="492" t="str">
        <f>C75&amp;"（含）"&amp;"-"&amp;D75</f>
        <v>（含）-</v>
      </c>
      <c r="D74" s="492" t="str">
        <f t="shared" ref="D74:L74" si="20">D75&amp;"（含）"&amp;"-"&amp;E75</f>
        <v>（含）-</v>
      </c>
      <c r="E74" s="492" t="str">
        <f t="shared" si="20"/>
        <v>（含）-</v>
      </c>
      <c r="F74" s="492" t="str">
        <f t="shared" si="20"/>
        <v>（含）-</v>
      </c>
      <c r="G74" s="492" t="str">
        <f t="shared" si="20"/>
        <v>（含）-</v>
      </c>
      <c r="H74" s="492" t="str">
        <f t="shared" si="20"/>
        <v>（含）-</v>
      </c>
      <c r="I74" s="492" t="str">
        <f t="shared" si="20"/>
        <v>（含）-</v>
      </c>
      <c r="J74" s="492" t="str">
        <f t="shared" si="20"/>
        <v>（含）-</v>
      </c>
      <c r="K74" s="492" t="str">
        <f t="shared" si="20"/>
        <v>（含）-</v>
      </c>
      <c r="L74" s="492" t="str">
        <f t="shared" si="20"/>
        <v>（含）-</v>
      </c>
      <c r="M74" s="395"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79"/>
      <c r="B75" s="493"/>
      <c r="C75" s="494"/>
      <c r="D75" s="494"/>
      <c r="E75" s="494"/>
      <c r="F75" s="494"/>
      <c r="G75" s="494"/>
      <c r="H75" s="494"/>
      <c r="I75" s="494"/>
      <c r="J75" s="494"/>
      <c r="K75" s="495"/>
      <c r="L75" s="496"/>
      <c r="M75" s="497"/>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79"/>
      <c r="B76" s="480"/>
      <c r="C76" s="489">
        <v>100</v>
      </c>
      <c r="D76" s="489">
        <f>IF($B$41="单位面积地价",C76+$K11,C76-$K11)</f>
        <v>100</v>
      </c>
      <c r="E76" s="489">
        <f t="shared" ref="E76:M76" si="21">IF($B$41="单位面积地价",D76+$K11,D76-$K11)</f>
        <v>100</v>
      </c>
      <c r="F76" s="489">
        <f t="shared" si="21"/>
        <v>100</v>
      </c>
      <c r="G76" s="489">
        <f t="shared" si="21"/>
        <v>100</v>
      </c>
      <c r="H76" s="489">
        <f t="shared" si="21"/>
        <v>100</v>
      </c>
      <c r="I76" s="489">
        <f t="shared" si="21"/>
        <v>100</v>
      </c>
      <c r="J76" s="489">
        <f t="shared" si="21"/>
        <v>100</v>
      </c>
      <c r="K76" s="489">
        <f t="shared" si="21"/>
        <v>100</v>
      </c>
      <c r="L76" s="489">
        <f t="shared" si="21"/>
        <v>100</v>
      </c>
      <c r="M76" s="489">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18" customFormat="1" ht="15.75" thickTop="1">
      <c r="A77" s="498"/>
      <c r="B77" s="483">
        <f>B12</f>
        <v>111</v>
      </c>
      <c r="C77" s="499"/>
      <c r="D77" s="499"/>
      <c r="E77" s="499"/>
      <c r="F77" s="499"/>
      <c r="G77" s="499"/>
      <c r="H77" s="500"/>
      <c r="I77" s="500"/>
      <c r="J77" s="500"/>
      <c r="K77" s="500"/>
      <c r="L77" s="501"/>
      <c r="M77" s="502"/>
      <c r="N77" s="2745"/>
      <c r="O77" s="2745"/>
      <c r="P77" s="2769"/>
      <c r="Q77" s="2736"/>
      <c r="R77" s="2737"/>
      <c r="S77" s="2737"/>
      <c r="T77" s="2737"/>
      <c r="U77" s="2737"/>
      <c r="V77" s="2737"/>
      <c r="W77" s="2737"/>
      <c r="X77" s="2737"/>
      <c r="Y77" s="2737"/>
      <c r="Z77" s="2737"/>
      <c r="AA77" s="2737"/>
      <c r="AB77" s="2737"/>
      <c r="AC77" s="2737"/>
      <c r="AD77" s="2737"/>
      <c r="AE77" s="2737"/>
    </row>
    <row r="78" spans="1:31" s="418" customFormat="1" ht="15.75" thickBot="1">
      <c r="A78" s="498"/>
      <c r="B78" s="488"/>
      <c r="C78" s="505"/>
      <c r="D78" s="481"/>
      <c r="E78" s="481"/>
      <c r="F78" s="481"/>
      <c r="G78" s="481"/>
      <c r="H78" s="481"/>
      <c r="I78" s="481"/>
      <c r="J78" s="481"/>
      <c r="K78" s="481"/>
      <c r="L78" s="481"/>
      <c r="M78" s="482"/>
      <c r="N78" s="2744"/>
      <c r="O78" s="2744"/>
      <c r="P78" s="2769"/>
      <c r="Q78" s="2736"/>
      <c r="R78" s="2737"/>
      <c r="S78" s="2737"/>
      <c r="T78" s="2737"/>
      <c r="U78" s="2737"/>
      <c r="V78" s="2737"/>
      <c r="W78" s="2737"/>
      <c r="X78" s="2737"/>
      <c r="Y78" s="2737"/>
      <c r="Z78" s="2737"/>
      <c r="AA78" s="2737"/>
      <c r="AB78" s="2737"/>
      <c r="AC78" s="2737"/>
      <c r="AD78" s="2737"/>
      <c r="AE78" s="2737"/>
    </row>
    <row r="79" spans="1:31" s="418" customFormat="1" ht="15.75" thickTop="1">
      <c r="A79" s="498"/>
      <c r="B79" s="483">
        <f>B13</f>
        <v>111</v>
      </c>
      <c r="C79" s="499"/>
      <c r="D79" s="499"/>
      <c r="E79" s="499"/>
      <c r="F79" s="499"/>
      <c r="G79" s="499"/>
      <c r="H79" s="500"/>
      <c r="I79" s="500"/>
      <c r="J79" s="500"/>
      <c r="K79" s="500"/>
      <c r="L79" s="501"/>
      <c r="M79" s="502"/>
      <c r="N79" s="2745"/>
      <c r="O79" s="2745"/>
      <c r="P79" s="2713"/>
      <c r="Q79" s="2739"/>
      <c r="R79" s="2737"/>
      <c r="S79" s="2737"/>
      <c r="T79" s="2737"/>
      <c r="U79" s="2737"/>
      <c r="V79" s="2737"/>
      <c r="W79" s="2737"/>
      <c r="X79" s="2737"/>
      <c r="Y79" s="2737"/>
      <c r="Z79" s="2737"/>
      <c r="AA79" s="2737"/>
      <c r="AB79" s="2737"/>
      <c r="AC79" s="2737"/>
      <c r="AD79" s="2737"/>
      <c r="AE79" s="2737"/>
    </row>
    <row r="80" spans="1:31" s="418" customFormat="1" ht="15.75" thickBot="1">
      <c r="A80" s="498"/>
      <c r="B80" s="488"/>
      <c r="C80" s="505"/>
      <c r="D80" s="505"/>
      <c r="E80" s="505"/>
      <c r="F80" s="505"/>
      <c r="G80" s="505"/>
      <c r="H80" s="507"/>
      <c r="I80" s="507"/>
      <c r="J80" s="507"/>
      <c r="K80" s="507"/>
      <c r="L80" s="507"/>
      <c r="M80" s="508"/>
      <c r="N80" s="2745"/>
      <c r="O80" s="2745"/>
      <c r="P80" s="2769"/>
      <c r="Q80" s="2736"/>
      <c r="R80" s="2737"/>
      <c r="S80" s="2737"/>
      <c r="T80" s="2737"/>
      <c r="U80" s="2737"/>
      <c r="V80" s="2737"/>
      <c r="W80" s="2737"/>
      <c r="X80" s="2737"/>
      <c r="Y80" s="2737"/>
      <c r="Z80" s="2737"/>
      <c r="AA80" s="2737"/>
      <c r="AB80" s="2737"/>
      <c r="AC80" s="2737"/>
      <c r="AD80" s="2737"/>
      <c r="AE80" s="2737"/>
    </row>
    <row r="81" spans="1:31" s="418" customFormat="1" ht="15.75" thickTop="1">
      <c r="A81" s="498"/>
      <c r="B81" s="491">
        <f>B14</f>
        <v>111</v>
      </c>
      <c r="C81" s="468"/>
      <c r="D81" s="468"/>
      <c r="E81" s="468"/>
      <c r="F81" s="468"/>
      <c r="G81" s="468"/>
      <c r="H81" s="509"/>
      <c r="I81" s="509"/>
      <c r="J81" s="509"/>
      <c r="K81" s="509"/>
      <c r="L81" s="510"/>
      <c r="M81" s="511"/>
      <c r="N81" s="2745"/>
      <c r="O81" s="2745"/>
      <c r="P81" s="2774"/>
      <c r="Q81" s="2736"/>
      <c r="R81" s="2737"/>
      <c r="S81" s="2737"/>
      <c r="T81" s="2737"/>
      <c r="U81" s="2737"/>
      <c r="V81" s="2737"/>
      <c r="W81" s="2737"/>
      <c r="X81" s="2737"/>
      <c r="Y81" s="2737"/>
      <c r="Z81" s="2737"/>
      <c r="AA81" s="2737"/>
      <c r="AB81" s="2737"/>
      <c r="AC81" s="2737"/>
      <c r="AD81" s="2737"/>
      <c r="AE81" s="2737"/>
    </row>
    <row r="82" spans="1:31" s="418" customFormat="1" ht="15.75" thickBot="1">
      <c r="A82" s="513"/>
      <c r="B82" s="514"/>
      <c r="C82" s="515"/>
      <c r="D82" s="515"/>
      <c r="E82" s="515"/>
      <c r="F82" s="515"/>
      <c r="G82" s="515"/>
      <c r="H82" s="516"/>
      <c r="I82" s="516"/>
      <c r="J82" s="516"/>
      <c r="K82" s="516"/>
      <c r="L82" s="516"/>
      <c r="M82" s="517"/>
      <c r="N82" s="2745"/>
      <c r="O82" s="2745"/>
      <c r="P82" s="2769"/>
      <c r="Q82" s="2736"/>
      <c r="R82" s="2737"/>
      <c r="S82" s="2737"/>
      <c r="T82" s="2737"/>
      <c r="U82" s="2737"/>
      <c r="V82" s="2737"/>
      <c r="W82" s="2737"/>
      <c r="X82" s="2737"/>
      <c r="Y82" s="2737"/>
      <c r="Z82" s="2737"/>
      <c r="AA82" s="2737"/>
      <c r="AB82" s="2737"/>
      <c r="AC82" s="2737"/>
      <c r="AD82" s="2737"/>
      <c r="AE82" s="2737"/>
    </row>
    <row r="83" spans="1:31">
      <c r="A83" s="472" t="s">
        <v>1690</v>
      </c>
      <c r="B83" s="473" t="s">
        <v>1829</v>
      </c>
      <c r="C83" s="518" t="s">
        <v>1721</v>
      </c>
      <c r="D83" s="518" t="s">
        <v>1722</v>
      </c>
      <c r="E83" s="518" t="s">
        <v>1723</v>
      </c>
      <c r="F83" s="518" t="s">
        <v>1724</v>
      </c>
      <c r="G83" s="518" t="s">
        <v>1725</v>
      </c>
      <c r="H83" s="474"/>
      <c r="I83" s="474"/>
      <c r="J83" s="474"/>
      <c r="K83" s="519"/>
      <c r="L83" s="520"/>
      <c r="M83" s="521"/>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79"/>
      <c r="B84" s="488"/>
      <c r="C84" s="489">
        <v>100</v>
      </c>
      <c r="D84" s="489">
        <f>C84-$K15</f>
        <v>100</v>
      </c>
      <c r="E84" s="489">
        <f>D84-$K15</f>
        <v>100</v>
      </c>
      <c r="F84" s="489">
        <f>E84-$K15</f>
        <v>100</v>
      </c>
      <c r="G84" s="489">
        <f>F84-$K15</f>
        <v>100</v>
      </c>
      <c r="H84" s="489"/>
      <c r="I84" s="489"/>
      <c r="J84" s="489"/>
      <c r="K84" s="489"/>
      <c r="L84" s="489"/>
      <c r="M84" s="490"/>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79"/>
      <c r="B85" s="483" t="s">
        <v>1726</v>
      </c>
      <c r="C85" s="523" t="s">
        <v>1721</v>
      </c>
      <c r="D85" s="523" t="s">
        <v>1722</v>
      </c>
      <c r="E85" s="523" t="s">
        <v>1723</v>
      </c>
      <c r="F85" s="523" t="s">
        <v>1724</v>
      </c>
      <c r="G85" s="523" t="s">
        <v>1725</v>
      </c>
      <c r="H85" s="484"/>
      <c r="I85" s="484"/>
      <c r="J85" s="484"/>
      <c r="K85" s="485"/>
      <c r="L85" s="486"/>
      <c r="M85" s="487"/>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79"/>
      <c r="B86" s="488"/>
      <c r="C86" s="489">
        <v>100</v>
      </c>
      <c r="D86" s="489">
        <f>C86-$K17</f>
        <v>100</v>
      </c>
      <c r="E86" s="489">
        <f>D86-$K17</f>
        <v>100</v>
      </c>
      <c r="F86" s="489">
        <f>E86-$K17</f>
        <v>100</v>
      </c>
      <c r="G86" s="489">
        <f>F86-$K17</f>
        <v>100</v>
      </c>
      <c r="H86" s="489"/>
      <c r="I86" s="489"/>
      <c r="J86" s="489"/>
      <c r="K86" s="489"/>
      <c r="L86" s="489"/>
      <c r="M86" s="490"/>
      <c r="N86" s="2744"/>
      <c r="O86" s="2744"/>
      <c r="P86" s="2768"/>
      <c r="Q86" s="2729"/>
      <c r="R86" s="2715"/>
      <c r="S86" s="2715"/>
      <c r="T86" s="2715"/>
      <c r="U86" s="2715"/>
      <c r="V86" s="2715"/>
      <c r="W86" s="2715"/>
      <c r="X86" s="2715"/>
      <c r="Y86" s="2715"/>
      <c r="Z86" s="2715"/>
      <c r="AA86" s="2715"/>
      <c r="AB86" s="2715"/>
      <c r="AC86" s="2715"/>
      <c r="AD86" s="2715"/>
      <c r="AE86" s="2715"/>
    </row>
    <row r="87" spans="1:31" s="106" customFormat="1" ht="15.75" thickTop="1">
      <c r="A87" s="524"/>
      <c r="B87" s="483" t="s">
        <v>1907</v>
      </c>
      <c r="C87" s="518" t="s">
        <v>1721</v>
      </c>
      <c r="D87" s="518" t="s">
        <v>1722</v>
      </c>
      <c r="E87" s="518" t="s">
        <v>1723</v>
      </c>
      <c r="F87" s="518" t="s">
        <v>1724</v>
      </c>
      <c r="G87" s="518" t="s">
        <v>1725</v>
      </c>
      <c r="H87" s="523"/>
      <c r="I87" s="523"/>
      <c r="J87" s="523"/>
      <c r="K87" s="523"/>
      <c r="L87" s="642"/>
      <c r="M87" s="566"/>
      <c r="N87" s="2742"/>
      <c r="O87" s="2742"/>
      <c r="P87" s="2768"/>
      <c r="Q87" s="2729"/>
      <c r="R87" s="2652"/>
      <c r="S87" s="2652"/>
      <c r="T87" s="2652"/>
      <c r="U87" s="2652"/>
      <c r="V87" s="2652"/>
      <c r="W87" s="2652"/>
      <c r="X87" s="2652"/>
      <c r="Y87" s="2652"/>
      <c r="Z87" s="2652"/>
      <c r="AA87" s="2652"/>
      <c r="AB87" s="2652"/>
      <c r="AC87" s="2652"/>
      <c r="AD87" s="2652"/>
      <c r="AE87" s="2652"/>
    </row>
    <row r="88" spans="1:31" s="106" customFormat="1" ht="15.75" thickBot="1">
      <c r="A88" s="524"/>
      <c r="B88" s="488"/>
      <c r="C88" s="527">
        <v>100</v>
      </c>
      <c r="D88" s="489">
        <f>C88-$K19</f>
        <v>100</v>
      </c>
      <c r="E88" s="489">
        <f>D88-$K19</f>
        <v>100</v>
      </c>
      <c r="F88" s="489">
        <f>E88-$K19</f>
        <v>100</v>
      </c>
      <c r="G88" s="489">
        <f>F88-$K19</f>
        <v>100</v>
      </c>
      <c r="H88" s="489"/>
      <c r="I88" s="489"/>
      <c r="J88" s="489"/>
      <c r="K88" s="489"/>
      <c r="L88" s="489"/>
      <c r="M88" s="490"/>
      <c r="N88" s="2744"/>
      <c r="O88" s="2744"/>
      <c r="P88" s="2768"/>
      <c r="Q88" s="2729"/>
      <c r="R88" s="2652"/>
      <c r="S88" s="2652"/>
      <c r="T88" s="2652"/>
      <c r="U88" s="2652"/>
      <c r="V88" s="2652"/>
      <c r="W88" s="2652"/>
      <c r="X88" s="2652"/>
      <c r="Y88" s="2652"/>
      <c r="Z88" s="2652"/>
      <c r="AA88" s="2652"/>
      <c r="AB88" s="2652"/>
      <c r="AC88" s="2652"/>
      <c r="AD88" s="2652"/>
      <c r="AE88" s="2652"/>
    </row>
    <row r="89" spans="1:31" s="106" customFormat="1" ht="27.75" thickTop="1">
      <c r="A89" s="524"/>
      <c r="B89" s="483" t="s">
        <v>1908</v>
      </c>
      <c r="C89" s="518" t="s">
        <v>1721</v>
      </c>
      <c r="D89" s="518" t="s">
        <v>1722</v>
      </c>
      <c r="E89" s="518" t="s">
        <v>1723</v>
      </c>
      <c r="F89" s="518" t="s">
        <v>1724</v>
      </c>
      <c r="G89" s="518" t="s">
        <v>1725</v>
      </c>
      <c r="H89" s="523"/>
      <c r="I89" s="523"/>
      <c r="J89" s="523"/>
      <c r="K89" s="523"/>
      <c r="L89" s="523"/>
      <c r="M89" s="566"/>
      <c r="N89" s="2742"/>
      <c r="O89" s="2742"/>
      <c r="P89" s="2768"/>
      <c r="Q89" s="2729"/>
      <c r="R89" s="2652"/>
      <c r="S89" s="2652"/>
      <c r="T89" s="2652"/>
      <c r="U89" s="2652"/>
      <c r="V89" s="2652"/>
      <c r="W89" s="2652"/>
      <c r="X89" s="2652"/>
      <c r="Y89" s="2652"/>
      <c r="Z89" s="2652"/>
      <c r="AA89" s="2652"/>
      <c r="AB89" s="2652"/>
      <c r="AC89" s="2652"/>
      <c r="AD89" s="2652"/>
      <c r="AE89" s="2652"/>
    </row>
    <row r="90" spans="1:31" s="106" customFormat="1" ht="15.75" thickBot="1">
      <c r="A90" s="524"/>
      <c r="B90" s="488"/>
      <c r="C90" s="489">
        <v>100</v>
      </c>
      <c r="D90" s="489">
        <f>C90-$K21</f>
        <v>100</v>
      </c>
      <c r="E90" s="489">
        <f>D90-$K21</f>
        <v>100</v>
      </c>
      <c r="F90" s="489">
        <f>E90-$K21</f>
        <v>100</v>
      </c>
      <c r="G90" s="489">
        <f>F90-$K21</f>
        <v>100</v>
      </c>
      <c r="H90" s="489"/>
      <c r="I90" s="489"/>
      <c r="J90" s="489"/>
      <c r="K90" s="489"/>
      <c r="L90" s="489"/>
      <c r="M90" s="490"/>
      <c r="N90" s="2744"/>
      <c r="O90" s="2744"/>
      <c r="P90" s="2768"/>
      <c r="Q90" s="2729"/>
      <c r="R90" s="2652"/>
      <c r="S90" s="2652"/>
      <c r="T90" s="2652"/>
      <c r="U90" s="2652"/>
      <c r="V90" s="2652"/>
      <c r="W90" s="2652"/>
      <c r="X90" s="2652"/>
      <c r="Y90" s="2652"/>
      <c r="Z90" s="2652"/>
      <c r="AA90" s="2652"/>
      <c r="AB90" s="2652"/>
      <c r="AC90" s="2652"/>
      <c r="AD90" s="2652"/>
      <c r="AE90" s="2652"/>
    </row>
    <row r="91" spans="1:31" s="418" customFormat="1" ht="15.75" thickTop="1">
      <c r="A91" s="498"/>
      <c r="B91" s="483" t="s">
        <v>1778</v>
      </c>
      <c r="C91" s="518" t="s">
        <v>1721</v>
      </c>
      <c r="D91" s="518" t="s">
        <v>1722</v>
      </c>
      <c r="E91" s="518" t="s">
        <v>1723</v>
      </c>
      <c r="F91" s="518" t="s">
        <v>1724</v>
      </c>
      <c r="G91" s="518" t="s">
        <v>1725</v>
      </c>
      <c r="H91" s="545"/>
      <c r="I91" s="545"/>
      <c r="J91" s="545"/>
      <c r="K91" s="545"/>
      <c r="L91" s="546"/>
      <c r="M91" s="547"/>
      <c r="N91" s="2745"/>
      <c r="O91" s="2745"/>
      <c r="P91" s="2769"/>
      <c r="Q91" s="2736"/>
      <c r="R91" s="2737"/>
      <c r="S91" s="2737"/>
      <c r="T91" s="2737"/>
      <c r="U91" s="2737"/>
      <c r="V91" s="2737"/>
      <c r="W91" s="2737"/>
      <c r="X91" s="2737"/>
      <c r="Y91" s="2737"/>
      <c r="Z91" s="2737"/>
      <c r="AA91" s="2737"/>
      <c r="AB91" s="2737"/>
      <c r="AC91" s="2737"/>
      <c r="AD91" s="2737"/>
      <c r="AE91" s="2737"/>
    </row>
    <row r="92" spans="1:31" s="418" customFormat="1" ht="15.75" thickBot="1">
      <c r="A92" s="498"/>
      <c r="B92" s="488"/>
      <c r="C92" s="489">
        <v>100</v>
      </c>
      <c r="D92" s="489">
        <f>C92-$K23</f>
        <v>100</v>
      </c>
      <c r="E92" s="489">
        <f>D92-$K23</f>
        <v>100</v>
      </c>
      <c r="F92" s="489">
        <f>E92-$K23</f>
        <v>100</v>
      </c>
      <c r="G92" s="489">
        <f>F92-$K23</f>
        <v>100</v>
      </c>
      <c r="H92" s="552"/>
      <c r="I92" s="552"/>
      <c r="J92" s="552"/>
      <c r="K92" s="552"/>
      <c r="L92" s="552"/>
      <c r="M92" s="553"/>
      <c r="N92" s="2745"/>
      <c r="O92" s="2745"/>
      <c r="P92" s="2769"/>
      <c r="Q92" s="2736"/>
      <c r="R92" s="2737"/>
      <c r="S92" s="2737"/>
      <c r="T92" s="2737"/>
      <c r="U92" s="2737"/>
      <c r="V92" s="2737"/>
      <c r="W92" s="2737"/>
      <c r="X92" s="2737"/>
      <c r="Y92" s="2737"/>
      <c r="Z92" s="2737"/>
      <c r="AA92" s="2737"/>
      <c r="AB92" s="2737"/>
      <c r="AC92" s="2737"/>
      <c r="AD92" s="2737"/>
      <c r="AE92" s="2737"/>
    </row>
    <row r="93" spans="1:31" s="418" customFormat="1" ht="15.75" thickTop="1">
      <c r="A93" s="498"/>
      <c r="B93" s="491" t="s">
        <v>1925</v>
      </c>
      <c r="C93" s="604" t="s">
        <v>1799</v>
      </c>
      <c r="D93" s="604" t="s">
        <v>1800</v>
      </c>
      <c r="E93" s="604" t="s">
        <v>1801</v>
      </c>
      <c r="F93" s="604" t="s">
        <v>1802</v>
      </c>
      <c r="G93" s="604" t="s">
        <v>1803</v>
      </c>
      <c r="H93" s="545"/>
      <c r="I93" s="545"/>
      <c r="J93" s="545"/>
      <c r="K93" s="545"/>
      <c r="L93" s="545"/>
      <c r="M93" s="547"/>
      <c r="N93" s="2745"/>
      <c r="O93" s="2745"/>
      <c r="P93" s="2769"/>
      <c r="Q93" s="2736"/>
      <c r="R93" s="2737"/>
      <c r="S93" s="2737"/>
      <c r="T93" s="2737"/>
      <c r="U93" s="2737"/>
      <c r="V93" s="2737"/>
      <c r="W93" s="2737"/>
      <c r="X93" s="2737"/>
      <c r="Y93" s="2737"/>
      <c r="Z93" s="2737"/>
      <c r="AA93" s="2737"/>
      <c r="AB93" s="2737"/>
      <c r="AC93" s="2737"/>
      <c r="AD93" s="2737"/>
      <c r="AE93" s="2737"/>
    </row>
    <row r="94" spans="1:31" s="418" customFormat="1" ht="15.75" thickBot="1">
      <c r="A94" s="498"/>
      <c r="B94" s="491"/>
      <c r="C94" s="489">
        <v>100</v>
      </c>
      <c r="D94" s="489">
        <f>C94-$K25</f>
        <v>100</v>
      </c>
      <c r="E94" s="489">
        <f>D94-$K25</f>
        <v>100</v>
      </c>
      <c r="F94" s="489">
        <f>E94-$K25</f>
        <v>100</v>
      </c>
      <c r="G94" s="489">
        <f>F94-$K25</f>
        <v>100</v>
      </c>
      <c r="H94" s="493"/>
      <c r="I94" s="493"/>
      <c r="J94" s="493"/>
      <c r="K94" s="493"/>
      <c r="L94" s="493"/>
      <c r="M94" s="1128"/>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79"/>
      <c r="B95" s="483" t="str">
        <f>B27</f>
        <v>临街状况</v>
      </c>
      <c r="C95" s="484" t="s">
        <v>1909</v>
      </c>
      <c r="D95" s="484" t="s">
        <v>1910</v>
      </c>
      <c r="E95" s="484" t="s">
        <v>1911</v>
      </c>
      <c r="F95" s="484" t="s">
        <v>1912</v>
      </c>
      <c r="G95" s="484"/>
      <c r="H95" s="484"/>
      <c r="I95" s="484"/>
      <c r="J95" s="484"/>
      <c r="K95" s="485"/>
      <c r="L95" s="486"/>
      <c r="M95" s="487"/>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79"/>
      <c r="B96" s="488"/>
      <c r="C96" s="489">
        <v>100</v>
      </c>
      <c r="D96" s="489">
        <f t="shared" ref="D96:M96" si="22">C96-$K27</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89">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79"/>
      <c r="B97" s="483" t="s">
        <v>1815</v>
      </c>
      <c r="C97" s="499"/>
      <c r="D97" s="499"/>
      <c r="E97" s="499"/>
      <c r="F97" s="499"/>
      <c r="G97" s="499"/>
      <c r="H97" s="528"/>
      <c r="I97" s="528"/>
      <c r="J97" s="528"/>
      <c r="K97" s="529"/>
      <c r="L97" s="530"/>
      <c r="M97" s="531"/>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79"/>
      <c r="B98" s="488"/>
      <c r="C98" s="489">
        <v>100</v>
      </c>
      <c r="D98" s="489">
        <f t="shared" ref="D98:M98" si="23">C98-$K28</f>
        <v>100</v>
      </c>
      <c r="E98" s="489">
        <f t="shared" si="23"/>
        <v>100</v>
      </c>
      <c r="F98" s="489">
        <f t="shared" si="23"/>
        <v>100</v>
      </c>
      <c r="G98" s="489">
        <f t="shared" si="23"/>
        <v>100</v>
      </c>
      <c r="H98" s="489">
        <f t="shared" si="23"/>
        <v>100</v>
      </c>
      <c r="I98" s="489">
        <f t="shared" si="23"/>
        <v>100</v>
      </c>
      <c r="J98" s="489">
        <f t="shared" si="23"/>
        <v>100</v>
      </c>
      <c r="K98" s="489">
        <f t="shared" si="23"/>
        <v>100</v>
      </c>
      <c r="L98" s="489">
        <f t="shared" si="23"/>
        <v>100</v>
      </c>
      <c r="M98" s="489">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79"/>
      <c r="B99" s="483" t="s">
        <v>1873</v>
      </c>
      <c r="C99" s="528"/>
      <c r="D99" s="528"/>
      <c r="E99" s="528"/>
      <c r="F99" s="528"/>
      <c r="G99" s="528"/>
      <c r="H99" s="528"/>
      <c r="I99" s="528"/>
      <c r="J99" s="528"/>
      <c r="K99" s="529"/>
      <c r="L99" s="530"/>
      <c r="M99" s="531"/>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79"/>
      <c r="B100" s="488"/>
      <c r="C100" s="489">
        <v>100</v>
      </c>
      <c r="D100" s="489">
        <f t="shared" ref="D100:M100" si="24">C100-$K30</f>
        <v>100</v>
      </c>
      <c r="E100" s="489">
        <f t="shared" si="24"/>
        <v>100</v>
      </c>
      <c r="F100" s="489">
        <f t="shared" si="24"/>
        <v>100</v>
      </c>
      <c r="G100" s="489">
        <f t="shared" si="24"/>
        <v>100</v>
      </c>
      <c r="H100" s="489">
        <f t="shared" si="24"/>
        <v>100</v>
      </c>
      <c r="I100" s="489">
        <f t="shared" si="24"/>
        <v>100</v>
      </c>
      <c r="J100" s="489">
        <f t="shared" si="24"/>
        <v>100</v>
      </c>
      <c r="K100" s="489">
        <f t="shared" si="24"/>
        <v>100</v>
      </c>
      <c r="L100" s="489">
        <f t="shared" si="24"/>
        <v>100</v>
      </c>
      <c r="M100" s="489">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79"/>
      <c r="B101" s="491">
        <f>B31</f>
        <v>111</v>
      </c>
      <c r="C101" s="499"/>
      <c r="D101" s="499"/>
      <c r="E101" s="499"/>
      <c r="F101" s="499"/>
      <c r="G101" s="532"/>
      <c r="H101" s="532"/>
      <c r="I101" s="532"/>
      <c r="J101" s="532"/>
      <c r="K101" s="533"/>
      <c r="L101" s="534"/>
      <c r="M101" s="535"/>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79"/>
      <c r="B102" s="514"/>
      <c r="C102" s="505"/>
      <c r="D102" s="481"/>
      <c r="E102" s="481"/>
      <c r="F102" s="481"/>
      <c r="G102" s="536"/>
      <c r="H102" s="536"/>
      <c r="I102" s="536"/>
      <c r="J102" s="536"/>
      <c r="K102" s="536"/>
      <c r="L102" s="536"/>
      <c r="M102" s="537"/>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19"/>
      <c r="B103" s="483">
        <f>B32</f>
        <v>111</v>
      </c>
      <c r="C103" s="499"/>
      <c r="D103" s="499"/>
      <c r="E103" s="499"/>
      <c r="F103" s="499"/>
      <c r="G103" s="528"/>
      <c r="H103" s="528"/>
      <c r="I103" s="528"/>
      <c r="J103" s="528"/>
      <c r="K103" s="529"/>
      <c r="L103" s="530"/>
      <c r="M103" s="531"/>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79"/>
      <c r="B104" s="488"/>
      <c r="C104" s="505"/>
      <c r="D104" s="505"/>
      <c r="E104" s="505"/>
      <c r="F104" s="505"/>
      <c r="G104" s="481"/>
      <c r="H104" s="481"/>
      <c r="I104" s="481"/>
      <c r="J104" s="481"/>
      <c r="K104" s="481"/>
      <c r="L104" s="481"/>
      <c r="M104" s="482"/>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18" customFormat="1" ht="15" thickTop="1">
      <c r="A105" s="538"/>
      <c r="B105" s="539">
        <f>B33</f>
        <v>111</v>
      </c>
      <c r="C105" s="468"/>
      <c r="D105" s="468"/>
      <c r="E105" s="468"/>
      <c r="F105" s="468"/>
      <c r="G105" s="540"/>
      <c r="H105" s="540"/>
      <c r="I105" s="540"/>
      <c r="J105" s="541"/>
      <c r="K105" s="541"/>
      <c r="L105" s="542"/>
      <c r="M105" s="543"/>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18" customFormat="1" ht="15.75" thickBot="1">
      <c r="A106" s="498"/>
      <c r="B106" s="491"/>
      <c r="C106" s="515"/>
      <c r="D106" s="515"/>
      <c r="E106" s="515"/>
      <c r="F106" s="515"/>
      <c r="G106" s="621"/>
      <c r="H106" s="621"/>
      <c r="I106" s="621"/>
      <c r="J106" s="621"/>
      <c r="K106" s="621"/>
      <c r="L106" s="621"/>
      <c r="M106" s="643"/>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2" t="s">
        <v>1694</v>
      </c>
      <c r="B107" s="473" t="s">
        <v>1913</v>
      </c>
      <c r="C107" s="474" t="str">
        <f t="shared" ref="C107:L107" si="25">C108&amp;"(含)"&amp;"-"&amp;D108</f>
        <v>(含)-</v>
      </c>
      <c r="D107" s="474" t="str">
        <f t="shared" si="25"/>
        <v>(含)-</v>
      </c>
      <c r="E107" s="474" t="str">
        <f t="shared" si="25"/>
        <v>(含)-</v>
      </c>
      <c r="F107" s="474" t="str">
        <f t="shared" si="25"/>
        <v>(含)-</v>
      </c>
      <c r="G107" s="474" t="str">
        <f t="shared" si="25"/>
        <v>(含)-</v>
      </c>
      <c r="H107" s="474" t="str">
        <f t="shared" si="25"/>
        <v>(含)-</v>
      </c>
      <c r="I107" s="474" t="str">
        <f t="shared" si="25"/>
        <v>(含)-</v>
      </c>
      <c r="J107" s="474" t="str">
        <f t="shared" si="25"/>
        <v>(含)-</v>
      </c>
      <c r="K107" s="1329" t="str">
        <f t="shared" si="25"/>
        <v>(含)-</v>
      </c>
      <c r="L107" s="1329" t="str">
        <f t="shared" si="25"/>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79"/>
      <c r="B108" s="491"/>
      <c r="C108" s="540"/>
      <c r="D108" s="540"/>
      <c r="E108" s="540"/>
      <c r="F108" s="540"/>
      <c r="G108" s="540"/>
      <c r="H108" s="540"/>
      <c r="I108" s="540"/>
      <c r="J108" s="541"/>
      <c r="K108" s="541"/>
      <c r="L108" s="542"/>
      <c r="M108" s="543"/>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79"/>
      <c r="B109" s="488"/>
      <c r="C109" s="515"/>
      <c r="D109" s="536"/>
      <c r="E109" s="536"/>
      <c r="F109" s="536"/>
      <c r="G109" s="536"/>
      <c r="H109" s="536"/>
      <c r="I109" s="536"/>
      <c r="J109" s="536"/>
      <c r="K109" s="536"/>
      <c r="L109" s="536"/>
      <c r="M109" s="537"/>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4"/>
      <c r="B110" s="483" t="s">
        <v>1914</v>
      </c>
      <c r="C110" s="528"/>
      <c r="D110" s="528"/>
      <c r="E110" s="528"/>
      <c r="F110" s="528"/>
      <c r="G110" s="528"/>
      <c r="H110" s="528"/>
      <c r="I110" s="528"/>
      <c r="J110" s="528"/>
      <c r="K110" s="529"/>
      <c r="L110" s="530"/>
      <c r="M110" s="531"/>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79"/>
      <c r="B111" s="488"/>
      <c r="C111" s="489">
        <v>100</v>
      </c>
      <c r="D111" s="489">
        <f t="shared" ref="D111:M111" si="26">C111-$K35</f>
        <v>100</v>
      </c>
      <c r="E111" s="489">
        <f t="shared" si="26"/>
        <v>100</v>
      </c>
      <c r="F111" s="489">
        <f t="shared" si="26"/>
        <v>100</v>
      </c>
      <c r="G111" s="489">
        <f t="shared" si="26"/>
        <v>100</v>
      </c>
      <c r="H111" s="489">
        <f t="shared" si="26"/>
        <v>100</v>
      </c>
      <c r="I111" s="489">
        <f t="shared" si="26"/>
        <v>100</v>
      </c>
      <c r="J111" s="489">
        <f t="shared" si="26"/>
        <v>100</v>
      </c>
      <c r="K111" s="489">
        <f t="shared" si="26"/>
        <v>100</v>
      </c>
      <c r="L111" s="489">
        <f t="shared" si="26"/>
        <v>100</v>
      </c>
      <c r="M111" s="490">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18" customFormat="1" ht="15" thickTop="1">
      <c r="A112" s="538"/>
      <c r="B112" s="483" t="s">
        <v>1916</v>
      </c>
      <c r="C112" s="499"/>
      <c r="D112" s="499"/>
      <c r="E112" s="499"/>
      <c r="F112" s="499"/>
      <c r="G112" s="499"/>
      <c r="H112" s="528"/>
      <c r="I112" s="528"/>
      <c r="J112" s="528"/>
      <c r="K112" s="529"/>
      <c r="L112" s="530"/>
      <c r="M112" s="531"/>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18" customFormat="1" ht="15.75" thickBot="1">
      <c r="A113" s="498"/>
      <c r="B113" s="488"/>
      <c r="C113" s="489">
        <v>100</v>
      </c>
      <c r="D113" s="489">
        <f t="shared" ref="D113:M113" si="27">C113-$K36</f>
        <v>100</v>
      </c>
      <c r="E113" s="489">
        <f t="shared" si="27"/>
        <v>100</v>
      </c>
      <c r="F113" s="489">
        <f t="shared" si="27"/>
        <v>100</v>
      </c>
      <c r="G113" s="489">
        <f t="shared" si="27"/>
        <v>100</v>
      </c>
      <c r="H113" s="489">
        <f t="shared" si="27"/>
        <v>100</v>
      </c>
      <c r="I113" s="489">
        <f t="shared" si="27"/>
        <v>100</v>
      </c>
      <c r="J113" s="489">
        <f t="shared" si="27"/>
        <v>100</v>
      </c>
      <c r="K113" s="489">
        <f t="shared" si="27"/>
        <v>100</v>
      </c>
      <c r="L113" s="489">
        <f t="shared" si="27"/>
        <v>100</v>
      </c>
      <c r="M113" s="490">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4"/>
      <c r="B114" s="483" t="s">
        <v>1917</v>
      </c>
      <c r="C114" s="499"/>
      <c r="D114" s="499"/>
      <c r="E114" s="528"/>
      <c r="F114" s="528"/>
      <c r="G114" s="528"/>
      <c r="H114" s="528"/>
      <c r="I114" s="528"/>
      <c r="J114" s="528"/>
      <c r="K114" s="529"/>
      <c r="L114" s="530"/>
      <c r="M114" s="531"/>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79"/>
      <c r="B115" s="488"/>
      <c r="C115" s="489">
        <v>100</v>
      </c>
      <c r="D115" s="489">
        <f t="shared" ref="D115:M115" si="28">C115-$K37</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4"/>
      <c r="B116" s="483">
        <f>B38</f>
        <v>111</v>
      </c>
      <c r="C116" s="499"/>
      <c r="D116" s="499"/>
      <c r="E116" s="499"/>
      <c r="F116" s="499"/>
      <c r="G116" s="499"/>
      <c r="H116" s="528"/>
      <c r="I116" s="528"/>
      <c r="J116" s="528"/>
      <c r="K116" s="529"/>
      <c r="L116" s="530"/>
      <c r="M116" s="531"/>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79"/>
      <c r="B117" s="488"/>
      <c r="C117" s="505"/>
      <c r="D117" s="481"/>
      <c r="E117" s="481"/>
      <c r="F117" s="481"/>
      <c r="G117" s="481"/>
      <c r="H117" s="481"/>
      <c r="I117" s="481"/>
      <c r="J117" s="481"/>
      <c r="K117" s="481"/>
      <c r="L117" s="481"/>
      <c r="M117" s="482"/>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4"/>
      <c r="B118" s="483">
        <f>B39</f>
        <v>111</v>
      </c>
      <c r="C118" s="499"/>
      <c r="D118" s="499"/>
      <c r="E118" s="499"/>
      <c r="F118" s="499"/>
      <c r="G118" s="528"/>
      <c r="H118" s="528"/>
      <c r="I118" s="528"/>
      <c r="J118" s="528"/>
      <c r="K118" s="529"/>
      <c r="L118" s="530"/>
      <c r="M118" s="531"/>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79"/>
      <c r="B119" s="488"/>
      <c r="C119" s="505"/>
      <c r="D119" s="505"/>
      <c r="E119" s="505"/>
      <c r="F119" s="505"/>
      <c r="G119" s="481"/>
      <c r="H119" s="481"/>
      <c r="I119" s="481"/>
      <c r="J119" s="481"/>
      <c r="K119" s="481"/>
      <c r="L119" s="481"/>
      <c r="M119" s="482"/>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18" customFormat="1" ht="15" thickTop="1">
      <c r="A120" s="538"/>
      <c r="B120" s="483">
        <f>B40</f>
        <v>111</v>
      </c>
      <c r="C120" s="468"/>
      <c r="D120" s="468"/>
      <c r="E120" s="468"/>
      <c r="F120" s="468"/>
      <c r="G120" s="500"/>
      <c r="H120" s="500"/>
      <c r="I120" s="500"/>
      <c r="J120" s="500"/>
      <c r="K120" s="500"/>
      <c r="L120" s="501"/>
      <c r="M120" s="502"/>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18" customFormat="1" ht="15.75" thickBot="1">
      <c r="A121" s="513"/>
      <c r="B121" s="644"/>
      <c r="C121" s="515"/>
      <c r="D121" s="515"/>
      <c r="E121" s="515"/>
      <c r="F121" s="515"/>
      <c r="G121" s="536"/>
      <c r="H121" s="536"/>
      <c r="I121" s="536"/>
      <c r="J121" s="536"/>
      <c r="K121" s="536"/>
      <c r="L121" s="536"/>
      <c r="M121" s="537"/>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26"/>
    <col min="20" max="45" width="9" style="721"/>
    <col min="46" max="16384" width="9" style="126"/>
  </cols>
  <sheetData>
    <row r="1" spans="1:45" ht="14.25" customHeight="1" thickBot="1">
      <c r="A1" s="142"/>
      <c r="B1" s="979" t="s">
        <v>2083</v>
      </c>
      <c r="C1" s="3828" t="s">
        <v>2084</v>
      </c>
      <c r="D1" s="3829"/>
      <c r="E1" s="3829"/>
      <c r="F1" s="3829"/>
      <c r="G1" s="3829"/>
      <c r="H1" s="3829"/>
      <c r="I1" s="3829"/>
      <c r="J1" s="3829"/>
      <c r="K1" s="3829"/>
      <c r="L1" s="3829"/>
      <c r="M1" s="3829"/>
      <c r="N1" s="3829"/>
      <c r="O1" s="3829"/>
      <c r="P1" s="3829"/>
      <c r="Q1" s="3829"/>
      <c r="R1" s="3829"/>
      <c r="S1" s="3830"/>
      <c r="T1" s="979" t="s">
        <v>2085</v>
      </c>
    </row>
    <row r="2" spans="1:45" s="651" customFormat="1">
      <c r="A2" s="980"/>
      <c r="B2" s="647" t="s">
        <v>2086</v>
      </c>
      <c r="C2" s="648" t="str">
        <f t="shared" ref="C2:L2" si="0">C3&amp;"(含)"&amp;"-"&amp;D3</f>
        <v>(含)-</v>
      </c>
      <c r="D2" s="649" t="str">
        <f t="shared" si="0"/>
        <v>(含)-</v>
      </c>
      <c r="E2" s="649" t="str">
        <f t="shared" si="0"/>
        <v>(含)-</v>
      </c>
      <c r="F2" s="649" t="str">
        <f t="shared" si="0"/>
        <v>(含)-</v>
      </c>
      <c r="G2" s="649" t="str">
        <f t="shared" si="0"/>
        <v>(含)-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81" t="str">
        <f>S3&amp;"(含)"&amp;"-"</f>
        <v>(含)-</v>
      </c>
      <c r="T2" s="650"/>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2"/>
      <c r="C3" s="653"/>
      <c r="D3" s="654"/>
      <c r="E3" s="654"/>
      <c r="F3" s="1301"/>
      <c r="G3" s="1301"/>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7"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7"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7" customFormat="1">
      <c r="A7" s="990"/>
      <c r="B7" s="1333" t="s">
        <v>2088</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7"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7" customFormat="1">
      <c r="A9" s="990"/>
      <c r="B9" s="1333" t="s">
        <v>2089</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7"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7"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7"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7"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7"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7"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7"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1"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1"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5"/>
      <c r="B19" s="155"/>
      <c r="C19" s="155"/>
      <c r="D19" s="2146" t="s">
        <v>2095</v>
      </c>
      <c r="E19" s="1336"/>
      <c r="F19" s="1336"/>
      <c r="G19" s="1336"/>
      <c r="H19" s="1055"/>
      <c r="I19" s="155"/>
      <c r="J19" s="155"/>
      <c r="K19" s="155"/>
      <c r="L19" s="155"/>
      <c r="M19" s="155"/>
      <c r="N19" s="155"/>
      <c r="O19" s="155"/>
      <c r="P19" s="155"/>
      <c r="Q19" s="155"/>
      <c r="R19" s="714"/>
      <c r="S19" s="125"/>
    </row>
    <row r="20" spans="1:45" ht="16.5" thickBot="1">
      <c r="A20" s="658" t="s">
        <v>2096</v>
      </c>
      <c r="B20" s="290" t="e">
        <f ca="1">IF(D20="——",S22,S22-F20)</f>
        <v>#REF!</v>
      </c>
      <c r="C20" s="155"/>
      <c r="D20" s="2147"/>
      <c r="E20" s="1337"/>
      <c r="F20" s="979" t="e">
        <f ca="1">SUMIF(INDIRECT("'"&amp;H20&amp;"'"&amp;"!A:A"),"承租人权益价值",INDIRECT("'"&amp;H20&amp;"'"&amp;"!c:c"))</f>
        <v>#REF!</v>
      </c>
      <c r="G20" s="979" t="s">
        <v>2097</v>
      </c>
      <c r="H20" s="2148"/>
      <c r="I20" s="155"/>
      <c r="J20" s="155"/>
      <c r="K20" s="155"/>
      <c r="L20" s="155"/>
      <c r="M20" s="155"/>
      <c r="N20" s="155"/>
      <c r="O20" s="155"/>
      <c r="P20" s="155"/>
      <c r="Q20" s="155"/>
      <c r="R20" s="714"/>
      <c r="S20" s="125"/>
    </row>
    <row r="21" spans="1:45" ht="15.75">
      <c r="A21" s="658" t="s">
        <v>2098</v>
      </c>
      <c r="B21" s="290" t="e">
        <f ca="1">ROUND(B20*10000/B22,0)</f>
        <v>#REF!</v>
      </c>
      <c r="C21" s="155"/>
      <c r="D21" s="155"/>
      <c r="E21" s="155"/>
      <c r="F21" s="155"/>
      <c r="G21" s="155"/>
      <c r="H21" s="155"/>
      <c r="I21" s="155"/>
      <c r="J21" s="155"/>
      <c r="K21" s="155"/>
      <c r="L21" s="155"/>
      <c r="M21" s="155"/>
      <c r="N21" s="155"/>
      <c r="O21" s="155"/>
      <c r="P21" s="155"/>
      <c r="Q21" s="155"/>
      <c r="R21" s="714"/>
      <c r="S21" s="125"/>
    </row>
    <row r="22" spans="1:45">
      <c r="A22" s="312" t="s">
        <v>2099</v>
      </c>
      <c r="B22" s="21">
        <f>SUM(B24:B10000)</f>
        <v>0</v>
      </c>
      <c r="C22" s="3825" t="s">
        <v>27</v>
      </c>
      <c r="D22" s="3826"/>
      <c r="E22" s="3826"/>
      <c r="F22" s="3826"/>
      <c r="G22" s="3826"/>
      <c r="H22" s="3826"/>
      <c r="I22" s="3826"/>
      <c r="J22" s="3826"/>
      <c r="K22" s="3826"/>
      <c r="L22" s="3826"/>
      <c r="M22" s="3826"/>
      <c r="N22" s="3826"/>
      <c r="O22" s="3826"/>
      <c r="P22" s="3826"/>
      <c r="Q22" s="3827"/>
      <c r="R22" s="659"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2105</v>
      </c>
      <c r="B24" s="661"/>
      <c r="C24" s="2800">
        <v>1</v>
      </c>
      <c r="D24" s="2801"/>
      <c r="E24" s="2800">
        <v>1</v>
      </c>
      <c r="F24" s="2801"/>
      <c r="G24" s="2800">
        <v>1</v>
      </c>
      <c r="H24" s="2801"/>
      <c r="I24" s="2800">
        <v>1</v>
      </c>
      <c r="J24" s="2801"/>
      <c r="K24" s="2800">
        <v>1</v>
      </c>
      <c r="L24" s="2801"/>
      <c r="M24" s="2800">
        <v>1</v>
      </c>
      <c r="N24" s="2801"/>
      <c r="O24" s="2800">
        <v>1</v>
      </c>
      <c r="P24" s="2801"/>
      <c r="Q24" s="2800">
        <v>1</v>
      </c>
      <c r="R24" s="664"/>
      <c r="S24" s="662">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6"/>
      <c r="B25" s="54"/>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IF(B25="",0,ROUND($R$24*C25*E25*G25*I25*K25*M25*O25*Q25,0))</f>
        <v>0</v>
      </c>
      <c r="S25" s="312">
        <f t="shared" si="11"/>
        <v>0</v>
      </c>
    </row>
    <row r="26" spans="1:45">
      <c r="A26" s="146"/>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2">
        <f t="shared" si="11"/>
        <v>0</v>
      </c>
    </row>
    <row r="27" spans="1:45">
      <c r="A27" s="146"/>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2">
        <f t="shared" si="11"/>
        <v>0</v>
      </c>
    </row>
    <row r="28" spans="1:45">
      <c r="A28" s="146"/>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2">
        <f t="shared" si="11"/>
        <v>0</v>
      </c>
    </row>
    <row r="29" spans="1:45">
      <c r="A29" s="146"/>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2">
        <f t="shared" si="11"/>
        <v>0</v>
      </c>
    </row>
    <row r="30" spans="1:45">
      <c r="A30" s="146"/>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2">
        <f t="shared" si="11"/>
        <v>0</v>
      </c>
    </row>
    <row r="31" spans="1:45">
      <c r="A31" s="146"/>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2">
        <f t="shared" si="11"/>
        <v>0</v>
      </c>
    </row>
    <row r="32" spans="1:45">
      <c r="A32" s="146"/>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2">
        <f t="shared" si="11"/>
        <v>0</v>
      </c>
    </row>
    <row r="33" spans="1:19">
      <c r="A33" s="146"/>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2">
        <f t="shared" si="11"/>
        <v>0</v>
      </c>
    </row>
    <row r="34" spans="1:19">
      <c r="A34" s="146"/>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2">
        <f t="shared" si="11"/>
        <v>0</v>
      </c>
    </row>
    <row r="35" spans="1:19">
      <c r="A35" s="146"/>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2">
        <f t="shared" si="11"/>
        <v>0</v>
      </c>
    </row>
    <row r="36" spans="1:19">
      <c r="A36" s="146"/>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2">
        <f t="shared" si="11"/>
        <v>0</v>
      </c>
    </row>
    <row r="37" spans="1:19">
      <c r="A37" s="146"/>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2">
        <f t="shared" si="11"/>
        <v>0</v>
      </c>
    </row>
    <row r="38" spans="1:19">
      <c r="A38" s="146"/>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2">
        <f t="shared" si="11"/>
        <v>0</v>
      </c>
    </row>
    <row r="39" spans="1:19">
      <c r="A39" s="146"/>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2">
        <f t="shared" si="11"/>
        <v>0</v>
      </c>
    </row>
    <row r="40" spans="1:19">
      <c r="A40" s="146"/>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2">
        <f t="shared" si="11"/>
        <v>0</v>
      </c>
    </row>
    <row r="41" spans="1:19">
      <c r="A41" s="146"/>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2">
        <f t="shared" si="11"/>
        <v>0</v>
      </c>
    </row>
    <row r="42" spans="1:19">
      <c r="A42" s="146"/>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2">
        <f t="shared" si="11"/>
        <v>0</v>
      </c>
    </row>
    <row r="43" spans="1:19">
      <c r="A43" s="146"/>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2">
        <f t="shared" si="11"/>
        <v>0</v>
      </c>
    </row>
    <row r="44" spans="1:19">
      <c r="A44" s="146"/>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2">
        <f t="shared" si="11"/>
        <v>0</v>
      </c>
    </row>
    <row r="45" spans="1:19">
      <c r="A45" s="146"/>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2">
        <f t="shared" si="11"/>
        <v>0</v>
      </c>
    </row>
    <row r="46" spans="1:19">
      <c r="A46" s="146"/>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2">
        <f t="shared" si="11"/>
        <v>0</v>
      </c>
    </row>
    <row r="47" spans="1:19">
      <c r="A47" s="146"/>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2">
        <f t="shared" si="11"/>
        <v>0</v>
      </c>
    </row>
    <row r="48" spans="1:19">
      <c r="A48" s="146"/>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2">
        <f t="shared" si="11"/>
        <v>0</v>
      </c>
    </row>
    <row r="49" spans="1:19">
      <c r="A49" s="146"/>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2">
        <f t="shared" si="11"/>
        <v>0</v>
      </c>
    </row>
    <row r="50" spans="1:19">
      <c r="A50" s="146"/>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2">
        <f t="shared" si="11"/>
        <v>0</v>
      </c>
    </row>
    <row r="51" spans="1:19">
      <c r="A51" s="146"/>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2">
        <f t="shared" si="11"/>
        <v>0</v>
      </c>
    </row>
    <row r="52" spans="1:19">
      <c r="A52" s="146"/>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2">
        <f t="shared" si="11"/>
        <v>0</v>
      </c>
    </row>
    <row r="53" spans="1:19">
      <c r="A53" s="146"/>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2">
        <f t="shared" si="11"/>
        <v>0</v>
      </c>
    </row>
    <row r="54" spans="1:19">
      <c r="A54" s="146"/>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2">
        <f t="shared" si="11"/>
        <v>0</v>
      </c>
    </row>
    <row r="55" spans="1:19">
      <c r="A55" s="146"/>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2">
        <f t="shared" ref="S55:S77" si="21">ROUND(R55*B55/10000,0)</f>
        <v>0</v>
      </c>
    </row>
    <row r="56" spans="1:19">
      <c r="A56" s="146"/>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2">
        <f t="shared" si="21"/>
        <v>0</v>
      </c>
    </row>
    <row r="57" spans="1:19">
      <c r="A57" s="146"/>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2">
        <f t="shared" si="21"/>
        <v>0</v>
      </c>
    </row>
    <row r="58" spans="1:19">
      <c r="A58" s="146"/>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2">
        <f t="shared" si="21"/>
        <v>0</v>
      </c>
    </row>
    <row r="59" spans="1:19">
      <c r="A59" s="146"/>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2">
        <f t="shared" si="21"/>
        <v>0</v>
      </c>
    </row>
    <row r="60" spans="1:19">
      <c r="A60" s="146"/>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2">
        <f t="shared" si="21"/>
        <v>0</v>
      </c>
    </row>
    <row r="61" spans="1:19">
      <c r="A61" s="146"/>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2">
        <f t="shared" si="21"/>
        <v>0</v>
      </c>
    </row>
    <row r="62" spans="1:19">
      <c r="A62" s="146"/>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2">
        <f t="shared" si="21"/>
        <v>0</v>
      </c>
    </row>
    <row r="63" spans="1:19">
      <c r="A63" s="146"/>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2">
        <f t="shared" si="21"/>
        <v>0</v>
      </c>
    </row>
    <row r="64" spans="1:19">
      <c r="A64" s="146"/>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2">
        <f t="shared" si="21"/>
        <v>0</v>
      </c>
    </row>
    <row r="65" spans="1:19">
      <c r="A65" s="146"/>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2">
        <f t="shared" si="21"/>
        <v>0</v>
      </c>
    </row>
    <row r="66" spans="1:19">
      <c r="A66" s="146"/>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2">
        <f t="shared" si="21"/>
        <v>0</v>
      </c>
    </row>
    <row r="67" spans="1:19">
      <c r="A67" s="146"/>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2">
        <f t="shared" si="21"/>
        <v>0</v>
      </c>
    </row>
    <row r="68" spans="1:19">
      <c r="A68" s="146"/>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2">
        <f t="shared" si="21"/>
        <v>0</v>
      </c>
    </row>
    <row r="69" spans="1:19">
      <c r="A69" s="146"/>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2">
        <f t="shared" si="21"/>
        <v>0</v>
      </c>
    </row>
    <row r="70" spans="1:19">
      <c r="A70" s="146"/>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2">
        <f t="shared" si="21"/>
        <v>0</v>
      </c>
    </row>
    <row r="71" spans="1:19">
      <c r="A71" s="146"/>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2">
        <f t="shared" si="21"/>
        <v>0</v>
      </c>
    </row>
    <row r="72" spans="1:19">
      <c r="A72" s="146"/>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2">
        <f t="shared" si="21"/>
        <v>0</v>
      </c>
    </row>
    <row r="73" spans="1:19">
      <c r="A73" s="146"/>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2">
        <f t="shared" si="21"/>
        <v>0</v>
      </c>
    </row>
    <row r="74" spans="1:19">
      <c r="A74" s="146"/>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2">
        <f t="shared" si="21"/>
        <v>0</v>
      </c>
    </row>
    <row r="75" spans="1:19">
      <c r="A75" s="146"/>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2">
        <f t="shared" si="21"/>
        <v>0</v>
      </c>
    </row>
    <row r="76" spans="1:19">
      <c r="A76" s="146"/>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2">
        <f t="shared" si="21"/>
        <v>0</v>
      </c>
    </row>
    <row r="77" spans="1:19">
      <c r="A77" s="146"/>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2">
        <f t="shared" si="21"/>
        <v>0</v>
      </c>
    </row>
    <row r="78" spans="1:19">
      <c r="A78" s="146"/>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2">
        <f t="shared" ref="S78:S122" si="22">ROUND(R78*B78/10000,0)</f>
        <v>0</v>
      </c>
    </row>
    <row r="79" spans="1:19">
      <c r="A79" s="146"/>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2">
        <f t="shared" si="22"/>
        <v>0</v>
      </c>
    </row>
    <row r="80" spans="1:19">
      <c r="A80" s="146"/>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2">
        <f t="shared" si="22"/>
        <v>0</v>
      </c>
    </row>
    <row r="81" spans="1:19">
      <c r="A81" s="146"/>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2">
        <f t="shared" si="22"/>
        <v>0</v>
      </c>
    </row>
    <row r="82" spans="1:19">
      <c r="A82" s="146"/>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2">
        <f t="shared" si="22"/>
        <v>0</v>
      </c>
    </row>
    <row r="83" spans="1:19">
      <c r="A83" s="146"/>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2">
        <f t="shared" si="22"/>
        <v>0</v>
      </c>
    </row>
    <row r="84" spans="1:19">
      <c r="A84" s="146"/>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2">
        <f t="shared" si="22"/>
        <v>0</v>
      </c>
    </row>
    <row r="85" spans="1:19">
      <c r="A85" s="146"/>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2">
        <f t="shared" si="22"/>
        <v>0</v>
      </c>
    </row>
    <row r="86" spans="1:19">
      <c r="A86" s="146"/>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2">
        <f t="shared" si="22"/>
        <v>0</v>
      </c>
    </row>
    <row r="87" spans="1:19">
      <c r="A87" s="146"/>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2">
        <f t="shared" si="22"/>
        <v>0</v>
      </c>
    </row>
    <row r="88" spans="1:19">
      <c r="A88" s="146"/>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2">
        <f t="shared" si="22"/>
        <v>0</v>
      </c>
    </row>
    <row r="89" spans="1:19">
      <c r="A89" s="146"/>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2">
        <f t="shared" si="22"/>
        <v>0</v>
      </c>
    </row>
    <row r="90" spans="1:19">
      <c r="A90" s="146"/>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2">
        <f t="shared" si="22"/>
        <v>0</v>
      </c>
    </row>
    <row r="91" spans="1:19">
      <c r="A91" s="146"/>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2">
        <f t="shared" si="22"/>
        <v>0</v>
      </c>
    </row>
    <row r="92" spans="1:19">
      <c r="A92" s="146"/>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2">
        <f t="shared" si="22"/>
        <v>0</v>
      </c>
    </row>
    <row r="93" spans="1:19">
      <c r="A93" s="146"/>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2">
        <f t="shared" si="22"/>
        <v>0</v>
      </c>
    </row>
    <row r="94" spans="1:19">
      <c r="A94" s="146"/>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2">
        <f t="shared" si="22"/>
        <v>0</v>
      </c>
    </row>
    <row r="95" spans="1:19">
      <c r="A95" s="146"/>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2">
        <f t="shared" si="22"/>
        <v>0</v>
      </c>
    </row>
    <row r="96" spans="1:19">
      <c r="A96" s="146"/>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2">
        <f t="shared" si="22"/>
        <v>0</v>
      </c>
    </row>
    <row r="97" spans="1:19">
      <c r="A97" s="146"/>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2">
        <f t="shared" si="22"/>
        <v>0</v>
      </c>
    </row>
    <row r="98" spans="1:19">
      <c r="A98" s="146"/>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2">
        <f t="shared" si="22"/>
        <v>0</v>
      </c>
    </row>
    <row r="99" spans="1:19">
      <c r="A99" s="146"/>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2">
        <f t="shared" si="22"/>
        <v>0</v>
      </c>
    </row>
    <row r="100" spans="1:19">
      <c r="A100" s="146"/>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2">
        <f t="shared" si="22"/>
        <v>0</v>
      </c>
    </row>
    <row r="101" spans="1:19">
      <c r="A101" s="146"/>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2">
        <f t="shared" si="22"/>
        <v>0</v>
      </c>
    </row>
    <row r="102" spans="1:19">
      <c r="A102" s="146"/>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2">
        <f t="shared" si="22"/>
        <v>0</v>
      </c>
    </row>
    <row r="103" spans="1:19">
      <c r="A103" s="146"/>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2">
        <f t="shared" si="22"/>
        <v>0</v>
      </c>
    </row>
    <row r="104" spans="1:19">
      <c r="A104" s="146"/>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2">
        <f t="shared" si="22"/>
        <v>0</v>
      </c>
    </row>
    <row r="105" spans="1:19">
      <c r="A105" s="146"/>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2">
        <f t="shared" si="22"/>
        <v>0</v>
      </c>
    </row>
    <row r="106" spans="1:19">
      <c r="A106" s="146"/>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2">
        <f t="shared" si="22"/>
        <v>0</v>
      </c>
    </row>
    <row r="107" spans="1:19">
      <c r="A107" s="146"/>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2">
        <f t="shared" si="22"/>
        <v>0</v>
      </c>
    </row>
    <row r="108" spans="1:19">
      <c r="A108" s="146"/>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2">
        <f t="shared" si="22"/>
        <v>0</v>
      </c>
    </row>
    <row r="109" spans="1:19">
      <c r="A109" s="146"/>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2">
        <f t="shared" si="22"/>
        <v>0</v>
      </c>
    </row>
    <row r="110" spans="1:19">
      <c r="A110" s="146"/>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2">
        <f t="shared" si="22"/>
        <v>0</v>
      </c>
    </row>
    <row r="111" spans="1:19">
      <c r="A111" s="146"/>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2">
        <f t="shared" si="22"/>
        <v>0</v>
      </c>
    </row>
    <row r="112" spans="1:19">
      <c r="A112" s="146"/>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2">
        <f t="shared" si="22"/>
        <v>0</v>
      </c>
    </row>
    <row r="113" spans="1:19">
      <c r="A113" s="146"/>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2">
        <f t="shared" si="22"/>
        <v>0</v>
      </c>
    </row>
    <row r="114" spans="1:19">
      <c r="A114" s="146"/>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2">
        <f t="shared" si="22"/>
        <v>0</v>
      </c>
    </row>
    <row r="115" spans="1:19">
      <c r="A115" s="146"/>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2">
        <f t="shared" si="22"/>
        <v>0</v>
      </c>
    </row>
    <row r="116" spans="1:19">
      <c r="A116" s="146"/>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2">
        <f t="shared" si="22"/>
        <v>0</v>
      </c>
    </row>
    <row r="117" spans="1:19">
      <c r="A117" s="146"/>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2">
        <f t="shared" si="22"/>
        <v>0</v>
      </c>
    </row>
    <row r="118" spans="1:19">
      <c r="A118" s="146"/>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2">
        <f t="shared" si="22"/>
        <v>0</v>
      </c>
    </row>
    <row r="119" spans="1:19">
      <c r="A119" s="146"/>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2">
        <f t="shared" si="22"/>
        <v>0</v>
      </c>
    </row>
    <row r="120" spans="1:19">
      <c r="A120" s="146"/>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2">
        <f t="shared" si="22"/>
        <v>0</v>
      </c>
    </row>
    <row r="121" spans="1:19">
      <c r="A121" s="146"/>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2">
        <f t="shared" si="22"/>
        <v>0</v>
      </c>
    </row>
    <row r="122" spans="1:19">
      <c r="A122" s="146"/>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2">
        <f t="shared" si="22"/>
        <v>0</v>
      </c>
    </row>
    <row r="123" spans="1:19">
      <c r="A123" s="146"/>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2">
        <f t="shared" ref="S123:S186" si="32">ROUND(R123*B123/10000,0)</f>
        <v>0</v>
      </c>
    </row>
    <row r="124" spans="1:19">
      <c r="A124" s="146"/>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2">
        <f t="shared" si="32"/>
        <v>0</v>
      </c>
    </row>
    <row r="125" spans="1:19">
      <c r="A125" s="146"/>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2">
        <f t="shared" si="32"/>
        <v>0</v>
      </c>
    </row>
    <row r="126" spans="1:19">
      <c r="A126" s="146"/>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2">
        <f t="shared" si="32"/>
        <v>0</v>
      </c>
    </row>
    <row r="127" spans="1:19">
      <c r="A127" s="146"/>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2">
        <f t="shared" si="32"/>
        <v>0</v>
      </c>
    </row>
    <row r="128" spans="1:19">
      <c r="A128" s="146"/>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2">
        <f t="shared" si="32"/>
        <v>0</v>
      </c>
    </row>
    <row r="129" spans="1:19">
      <c r="A129" s="146"/>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2">
        <f t="shared" si="32"/>
        <v>0</v>
      </c>
    </row>
    <row r="130" spans="1:19">
      <c r="A130" s="146"/>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2">
        <f t="shared" si="32"/>
        <v>0</v>
      </c>
    </row>
    <row r="131" spans="1:19">
      <c r="A131" s="146"/>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2">
        <f t="shared" si="32"/>
        <v>0</v>
      </c>
    </row>
    <row r="132" spans="1:19">
      <c r="A132" s="146"/>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2">
        <f t="shared" si="32"/>
        <v>0</v>
      </c>
    </row>
    <row r="133" spans="1:19">
      <c r="A133" s="146"/>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2">
        <f t="shared" si="32"/>
        <v>0</v>
      </c>
    </row>
    <row r="134" spans="1:19">
      <c r="A134" s="146"/>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2">
        <f t="shared" si="32"/>
        <v>0</v>
      </c>
    </row>
    <row r="135" spans="1:19">
      <c r="A135" s="146"/>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2">
        <f t="shared" si="32"/>
        <v>0</v>
      </c>
    </row>
    <row r="136" spans="1:19">
      <c r="A136" s="146"/>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2">
        <f t="shared" si="32"/>
        <v>0</v>
      </c>
    </row>
    <row r="137" spans="1:19">
      <c r="A137" s="146"/>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2">
        <f t="shared" si="32"/>
        <v>0</v>
      </c>
    </row>
    <row r="138" spans="1:19">
      <c r="A138" s="146"/>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2">
        <f t="shared" si="32"/>
        <v>0</v>
      </c>
    </row>
    <row r="139" spans="1:19">
      <c r="A139" s="146"/>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2">
        <f t="shared" si="32"/>
        <v>0</v>
      </c>
    </row>
    <row r="140" spans="1:19">
      <c r="A140" s="146"/>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2">
        <f t="shared" si="32"/>
        <v>0</v>
      </c>
    </row>
    <row r="141" spans="1:19">
      <c r="A141" s="146"/>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2">
        <f t="shared" si="32"/>
        <v>0</v>
      </c>
    </row>
    <row r="142" spans="1:19">
      <c r="A142" s="146"/>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2">
        <f t="shared" si="32"/>
        <v>0</v>
      </c>
    </row>
    <row r="143" spans="1:19">
      <c r="A143" s="146"/>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2">
        <f t="shared" si="32"/>
        <v>0</v>
      </c>
    </row>
    <row r="144" spans="1:19">
      <c r="A144" s="146"/>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2">
        <f t="shared" si="32"/>
        <v>0</v>
      </c>
    </row>
    <row r="145" spans="1:19">
      <c r="A145" s="146"/>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2">
        <f t="shared" si="32"/>
        <v>0</v>
      </c>
    </row>
    <row r="146" spans="1:19">
      <c r="A146" s="146"/>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2">
        <f t="shared" si="32"/>
        <v>0</v>
      </c>
    </row>
    <row r="147" spans="1:19">
      <c r="A147" s="146"/>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2">
        <f t="shared" si="32"/>
        <v>0</v>
      </c>
    </row>
    <row r="148" spans="1:19">
      <c r="A148" s="146"/>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2">
        <f t="shared" si="32"/>
        <v>0</v>
      </c>
    </row>
    <row r="149" spans="1:19">
      <c r="A149" s="146"/>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2">
        <f t="shared" si="32"/>
        <v>0</v>
      </c>
    </row>
    <row r="150" spans="1:19">
      <c r="A150" s="146"/>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2">
        <f t="shared" si="32"/>
        <v>0</v>
      </c>
    </row>
    <row r="151" spans="1:19">
      <c r="A151" s="146"/>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2">
        <f t="shared" si="32"/>
        <v>0</v>
      </c>
    </row>
    <row r="152" spans="1:19">
      <c r="A152" s="146"/>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2">
        <f t="shared" si="32"/>
        <v>0</v>
      </c>
    </row>
    <row r="153" spans="1:19">
      <c r="A153" s="146"/>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2">
        <f t="shared" si="32"/>
        <v>0</v>
      </c>
    </row>
    <row r="154" spans="1:19">
      <c r="A154" s="146"/>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2">
        <f t="shared" si="32"/>
        <v>0</v>
      </c>
    </row>
    <row r="155" spans="1:19">
      <c r="A155" s="146"/>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2">
        <f t="shared" si="32"/>
        <v>0</v>
      </c>
    </row>
    <row r="156" spans="1:19">
      <c r="A156" s="146"/>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2">
        <f t="shared" si="32"/>
        <v>0</v>
      </c>
    </row>
    <row r="157" spans="1:19">
      <c r="A157" s="146"/>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2">
        <f t="shared" si="32"/>
        <v>0</v>
      </c>
    </row>
    <row r="158" spans="1:19">
      <c r="A158" s="146"/>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2">
        <f t="shared" si="32"/>
        <v>0</v>
      </c>
    </row>
    <row r="159" spans="1:19">
      <c r="A159" s="146"/>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2">
        <f t="shared" si="32"/>
        <v>0</v>
      </c>
    </row>
    <row r="160" spans="1:19">
      <c r="A160" s="146"/>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2">
        <f t="shared" si="32"/>
        <v>0</v>
      </c>
    </row>
    <row r="161" spans="1:19">
      <c r="A161" s="146"/>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2">
        <f t="shared" si="32"/>
        <v>0</v>
      </c>
    </row>
    <row r="162" spans="1:19">
      <c r="A162" s="146"/>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2">
        <f t="shared" si="32"/>
        <v>0</v>
      </c>
    </row>
    <row r="163" spans="1:19">
      <c r="A163" s="146"/>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2">
        <f t="shared" si="32"/>
        <v>0</v>
      </c>
    </row>
    <row r="164" spans="1:19">
      <c r="A164" s="146"/>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2">
        <f t="shared" si="32"/>
        <v>0</v>
      </c>
    </row>
    <row r="165" spans="1:19">
      <c r="A165" s="146"/>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2">
        <f t="shared" si="32"/>
        <v>0</v>
      </c>
    </row>
    <row r="166" spans="1:19">
      <c r="A166" s="146"/>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2">
        <f t="shared" si="32"/>
        <v>0</v>
      </c>
    </row>
    <row r="167" spans="1:19">
      <c r="A167" s="146"/>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2">
        <f t="shared" si="32"/>
        <v>0</v>
      </c>
    </row>
    <row r="168" spans="1:19">
      <c r="A168" s="146"/>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2">
        <f t="shared" si="32"/>
        <v>0</v>
      </c>
    </row>
    <row r="169" spans="1:19">
      <c r="A169" s="146"/>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2">
        <f t="shared" si="32"/>
        <v>0</v>
      </c>
    </row>
    <row r="170" spans="1:19">
      <c r="A170" s="146"/>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2">
        <f t="shared" si="32"/>
        <v>0</v>
      </c>
    </row>
    <row r="171" spans="1:19">
      <c r="A171" s="146"/>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2">
        <f t="shared" si="32"/>
        <v>0</v>
      </c>
    </row>
    <row r="172" spans="1:19">
      <c r="A172" s="146"/>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2">
        <f t="shared" si="32"/>
        <v>0</v>
      </c>
    </row>
    <row r="173" spans="1:19">
      <c r="A173" s="146"/>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2">
        <f t="shared" si="32"/>
        <v>0</v>
      </c>
    </row>
    <row r="174" spans="1:19">
      <c r="A174" s="146"/>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2">
        <f t="shared" si="32"/>
        <v>0</v>
      </c>
    </row>
    <row r="175" spans="1:19">
      <c r="A175" s="146"/>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2">
        <f t="shared" si="32"/>
        <v>0</v>
      </c>
    </row>
    <row r="176" spans="1:19">
      <c r="A176" s="146"/>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2">
        <f t="shared" si="32"/>
        <v>0</v>
      </c>
    </row>
    <row r="177" spans="1:19">
      <c r="A177" s="146"/>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2">
        <f t="shared" si="32"/>
        <v>0</v>
      </c>
    </row>
    <row r="178" spans="1:19">
      <c r="A178" s="146"/>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2">
        <f t="shared" si="32"/>
        <v>0</v>
      </c>
    </row>
    <row r="179" spans="1:19">
      <c r="A179" s="146"/>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2">
        <f t="shared" si="32"/>
        <v>0</v>
      </c>
    </row>
    <row r="180" spans="1:19">
      <c r="A180" s="146"/>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2">
        <f t="shared" si="32"/>
        <v>0</v>
      </c>
    </row>
    <row r="181" spans="1:19">
      <c r="A181" s="146"/>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2">
        <f t="shared" si="32"/>
        <v>0</v>
      </c>
    </row>
    <row r="182" spans="1:19">
      <c r="A182" s="146"/>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2">
        <f t="shared" si="32"/>
        <v>0</v>
      </c>
    </row>
    <row r="183" spans="1:19">
      <c r="A183" s="146"/>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2">
        <f t="shared" si="32"/>
        <v>0</v>
      </c>
    </row>
    <row r="184" spans="1:19">
      <c r="A184" s="146"/>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2">
        <f t="shared" si="32"/>
        <v>0</v>
      </c>
    </row>
    <row r="185" spans="1:19">
      <c r="A185" s="146"/>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2">
        <f t="shared" si="32"/>
        <v>0</v>
      </c>
    </row>
    <row r="186" spans="1:19">
      <c r="A186" s="146"/>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2">
        <f t="shared" si="32"/>
        <v>0</v>
      </c>
    </row>
    <row r="187" spans="1:19">
      <c r="A187" s="146"/>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2">
        <f t="shared" ref="S187:S222" si="42">ROUND(R187*B187/10000,0)</f>
        <v>0</v>
      </c>
    </row>
    <row r="188" spans="1:19">
      <c r="A188" s="146"/>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2">
        <f t="shared" si="42"/>
        <v>0</v>
      </c>
    </row>
    <row r="189" spans="1:19">
      <c r="A189" s="146"/>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2">
        <f t="shared" si="42"/>
        <v>0</v>
      </c>
    </row>
    <row r="190" spans="1:19">
      <c r="A190" s="146"/>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2">
        <f t="shared" si="42"/>
        <v>0</v>
      </c>
    </row>
    <row r="191" spans="1:19">
      <c r="A191" s="146"/>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2">
        <f t="shared" si="42"/>
        <v>0</v>
      </c>
    </row>
    <row r="192" spans="1:19">
      <c r="A192" s="146"/>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2">
        <f t="shared" si="42"/>
        <v>0</v>
      </c>
    </row>
    <row r="193" spans="1:19">
      <c r="A193" s="146"/>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2">
        <f t="shared" si="42"/>
        <v>0</v>
      </c>
    </row>
    <row r="194" spans="1:19">
      <c r="A194" s="146"/>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2">
        <f t="shared" si="42"/>
        <v>0</v>
      </c>
    </row>
    <row r="195" spans="1:19">
      <c r="A195" s="146"/>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2">
        <f t="shared" si="42"/>
        <v>0</v>
      </c>
    </row>
    <row r="196" spans="1:19">
      <c r="A196" s="146"/>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2">
        <f t="shared" si="42"/>
        <v>0</v>
      </c>
    </row>
    <row r="197" spans="1:19">
      <c r="A197" s="146"/>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2">
        <f t="shared" si="42"/>
        <v>0</v>
      </c>
    </row>
    <row r="198" spans="1:19">
      <c r="A198" s="146"/>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2">
        <f t="shared" si="42"/>
        <v>0</v>
      </c>
    </row>
    <row r="199" spans="1:19">
      <c r="A199" s="146"/>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2">
        <f t="shared" si="42"/>
        <v>0</v>
      </c>
    </row>
    <row r="200" spans="1:19">
      <c r="A200" s="146"/>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2">
        <f t="shared" si="42"/>
        <v>0</v>
      </c>
    </row>
    <row r="201" spans="1:19">
      <c r="A201" s="146"/>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2">
        <f t="shared" si="42"/>
        <v>0</v>
      </c>
    </row>
    <row r="202" spans="1:19">
      <c r="A202" s="146"/>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2">
        <f t="shared" si="42"/>
        <v>0</v>
      </c>
    </row>
    <row r="203" spans="1:19">
      <c r="A203" s="146"/>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2">
        <f t="shared" si="42"/>
        <v>0</v>
      </c>
    </row>
    <row r="204" spans="1:19">
      <c r="A204" s="146"/>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2">
        <f t="shared" si="42"/>
        <v>0</v>
      </c>
    </row>
    <row r="205" spans="1:19">
      <c r="A205" s="146"/>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2">
        <f t="shared" si="42"/>
        <v>0</v>
      </c>
    </row>
    <row r="206" spans="1:19">
      <c r="A206" s="146"/>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2">
        <f t="shared" si="42"/>
        <v>0</v>
      </c>
    </row>
    <row r="207" spans="1:19">
      <c r="A207" s="146"/>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2">
        <f t="shared" si="42"/>
        <v>0</v>
      </c>
    </row>
    <row r="208" spans="1:19">
      <c r="A208" s="146"/>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2">
        <f t="shared" si="42"/>
        <v>0</v>
      </c>
    </row>
    <row r="209" spans="1:19">
      <c r="A209" s="146"/>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2">
        <f t="shared" si="42"/>
        <v>0</v>
      </c>
    </row>
    <row r="210" spans="1:19">
      <c r="A210" s="146"/>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2">
        <f t="shared" si="42"/>
        <v>0</v>
      </c>
    </row>
    <row r="211" spans="1:19">
      <c r="A211" s="146"/>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2">
        <f t="shared" si="42"/>
        <v>0</v>
      </c>
    </row>
    <row r="212" spans="1:19">
      <c r="A212" s="146"/>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2">
        <f t="shared" si="42"/>
        <v>0</v>
      </c>
    </row>
    <row r="213" spans="1:19">
      <c r="A213" s="146"/>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2">
        <f t="shared" si="42"/>
        <v>0</v>
      </c>
    </row>
    <row r="214" spans="1:19">
      <c r="A214" s="146"/>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2">
        <f t="shared" si="42"/>
        <v>0</v>
      </c>
    </row>
    <row r="215" spans="1:19">
      <c r="A215" s="146"/>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2">
        <f t="shared" si="42"/>
        <v>0</v>
      </c>
    </row>
    <row r="216" spans="1:19">
      <c r="A216" s="146"/>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2">
        <f t="shared" si="42"/>
        <v>0</v>
      </c>
    </row>
    <row r="217" spans="1:19">
      <c r="A217" s="146"/>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2">
        <f t="shared" si="42"/>
        <v>0</v>
      </c>
    </row>
    <row r="218" spans="1:19">
      <c r="A218" s="146"/>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2">
        <f t="shared" si="42"/>
        <v>0</v>
      </c>
    </row>
    <row r="219" spans="1:19">
      <c r="A219" s="146"/>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2">
        <f t="shared" si="42"/>
        <v>0</v>
      </c>
    </row>
    <row r="220" spans="1:19">
      <c r="A220" s="146"/>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2">
        <f t="shared" si="42"/>
        <v>0</v>
      </c>
    </row>
    <row r="221" spans="1:19">
      <c r="A221" s="146"/>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2">
        <f t="shared" si="42"/>
        <v>0</v>
      </c>
    </row>
    <row r="222" spans="1:19">
      <c r="A222" s="146"/>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2">
        <f t="shared" si="42"/>
        <v>0</v>
      </c>
    </row>
    <row r="223" spans="1:19">
      <c r="A223" s="146"/>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2">
        <f t="shared" ref="S223:S286" si="52">ROUND(R223*B223/10000,0)</f>
        <v>0</v>
      </c>
    </row>
    <row r="224" spans="1:19">
      <c r="A224" s="146"/>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2">
        <f t="shared" si="52"/>
        <v>0</v>
      </c>
    </row>
    <row r="225" spans="1:19">
      <c r="A225" s="146"/>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2">
        <f t="shared" si="52"/>
        <v>0</v>
      </c>
    </row>
    <row r="226" spans="1:19">
      <c r="A226" s="146"/>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2">
        <f t="shared" si="52"/>
        <v>0</v>
      </c>
    </row>
    <row r="227" spans="1:19">
      <c r="A227" s="146"/>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2">
        <f t="shared" si="52"/>
        <v>0</v>
      </c>
    </row>
    <row r="228" spans="1:19">
      <c r="A228" s="146"/>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2">
        <f t="shared" si="52"/>
        <v>0</v>
      </c>
    </row>
    <row r="229" spans="1:19">
      <c r="A229" s="146"/>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2">
        <f t="shared" si="52"/>
        <v>0</v>
      </c>
    </row>
    <row r="230" spans="1:19">
      <c r="A230" s="146"/>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2">
        <f t="shared" si="52"/>
        <v>0</v>
      </c>
    </row>
    <row r="231" spans="1:19">
      <c r="A231" s="146"/>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2">
        <f t="shared" si="52"/>
        <v>0</v>
      </c>
    </row>
    <row r="232" spans="1:19">
      <c r="A232" s="146"/>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2">
        <f t="shared" si="52"/>
        <v>0</v>
      </c>
    </row>
    <row r="233" spans="1:19">
      <c r="A233" s="146"/>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2">
        <f t="shared" si="52"/>
        <v>0</v>
      </c>
    </row>
    <row r="234" spans="1:19">
      <c r="A234" s="146"/>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2">
        <f t="shared" si="52"/>
        <v>0</v>
      </c>
    </row>
    <row r="235" spans="1:19">
      <c r="A235" s="146"/>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2">
        <f t="shared" si="52"/>
        <v>0</v>
      </c>
    </row>
    <row r="236" spans="1:19">
      <c r="A236" s="146"/>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2">
        <f t="shared" si="52"/>
        <v>0</v>
      </c>
    </row>
    <row r="237" spans="1:19">
      <c r="A237" s="146"/>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2">
        <f t="shared" si="52"/>
        <v>0</v>
      </c>
    </row>
    <row r="238" spans="1:19">
      <c r="A238" s="146"/>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2">
        <f t="shared" si="52"/>
        <v>0</v>
      </c>
    </row>
    <row r="239" spans="1:19">
      <c r="A239" s="146"/>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2">
        <f t="shared" si="52"/>
        <v>0</v>
      </c>
    </row>
    <row r="240" spans="1:19">
      <c r="A240" s="146"/>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2">
        <f t="shared" si="52"/>
        <v>0</v>
      </c>
    </row>
    <row r="241" spans="1:19">
      <c r="A241" s="146"/>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2">
        <f t="shared" si="52"/>
        <v>0</v>
      </c>
    </row>
    <row r="242" spans="1:19">
      <c r="A242" s="146"/>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2">
        <f t="shared" si="52"/>
        <v>0</v>
      </c>
    </row>
    <row r="243" spans="1:19">
      <c r="A243" s="146"/>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2">
        <f t="shared" si="52"/>
        <v>0</v>
      </c>
    </row>
    <row r="244" spans="1:19">
      <c r="A244" s="146"/>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2">
        <f t="shared" si="52"/>
        <v>0</v>
      </c>
    </row>
    <row r="245" spans="1:19">
      <c r="A245" s="146"/>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2">
        <f t="shared" si="52"/>
        <v>0</v>
      </c>
    </row>
    <row r="246" spans="1:19">
      <c r="A246" s="146"/>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2">
        <f t="shared" si="52"/>
        <v>0</v>
      </c>
    </row>
    <row r="247" spans="1:19">
      <c r="A247" s="146"/>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2">
        <f t="shared" si="52"/>
        <v>0</v>
      </c>
    </row>
    <row r="248" spans="1:19">
      <c r="A248" s="146"/>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2">
        <f t="shared" si="52"/>
        <v>0</v>
      </c>
    </row>
    <row r="249" spans="1:19">
      <c r="A249" s="146"/>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2">
        <f t="shared" si="52"/>
        <v>0</v>
      </c>
    </row>
    <row r="250" spans="1:19">
      <c r="A250" s="146"/>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2">
        <f t="shared" si="52"/>
        <v>0</v>
      </c>
    </row>
    <row r="251" spans="1:19">
      <c r="A251" s="146"/>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2">
        <f t="shared" si="52"/>
        <v>0</v>
      </c>
    </row>
    <row r="252" spans="1:19">
      <c r="A252" s="146"/>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2">
        <f t="shared" si="52"/>
        <v>0</v>
      </c>
    </row>
    <row r="253" spans="1:19">
      <c r="A253" s="146"/>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2">
        <f t="shared" si="52"/>
        <v>0</v>
      </c>
    </row>
    <row r="254" spans="1:19">
      <c r="A254" s="146"/>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2">
        <f t="shared" si="52"/>
        <v>0</v>
      </c>
    </row>
    <row r="255" spans="1:19">
      <c r="A255" s="146"/>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2">
        <f t="shared" si="52"/>
        <v>0</v>
      </c>
    </row>
    <row r="256" spans="1:19">
      <c r="A256" s="146"/>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2">
        <f t="shared" si="52"/>
        <v>0</v>
      </c>
    </row>
    <row r="257" spans="1:19">
      <c r="A257" s="146"/>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2">
        <f t="shared" si="52"/>
        <v>0</v>
      </c>
    </row>
    <row r="258" spans="1:19">
      <c r="A258" s="146"/>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2">
        <f t="shared" si="52"/>
        <v>0</v>
      </c>
    </row>
    <row r="259" spans="1:19">
      <c r="A259" s="146"/>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2">
        <f t="shared" si="52"/>
        <v>0</v>
      </c>
    </row>
    <row r="260" spans="1:19">
      <c r="A260" s="146"/>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2">
        <f t="shared" si="52"/>
        <v>0</v>
      </c>
    </row>
    <row r="261" spans="1:19">
      <c r="A261" s="146"/>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2">
        <f t="shared" si="52"/>
        <v>0</v>
      </c>
    </row>
    <row r="262" spans="1:19">
      <c r="A262" s="146"/>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2">
        <f t="shared" si="52"/>
        <v>0</v>
      </c>
    </row>
    <row r="263" spans="1:19">
      <c r="A263" s="146"/>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2">
        <f t="shared" si="52"/>
        <v>0</v>
      </c>
    </row>
    <row r="264" spans="1:19">
      <c r="A264" s="146"/>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2">
        <f t="shared" si="52"/>
        <v>0</v>
      </c>
    </row>
    <row r="265" spans="1:19">
      <c r="A265" s="146"/>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2">
        <f t="shared" si="52"/>
        <v>0</v>
      </c>
    </row>
    <row r="266" spans="1:19">
      <c r="A266" s="146"/>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2">
        <f t="shared" si="52"/>
        <v>0</v>
      </c>
    </row>
    <row r="267" spans="1:19">
      <c r="A267" s="146"/>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2">
        <f t="shared" si="52"/>
        <v>0</v>
      </c>
    </row>
    <row r="268" spans="1:19">
      <c r="A268" s="146"/>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2">
        <f t="shared" si="52"/>
        <v>0</v>
      </c>
    </row>
    <row r="269" spans="1:19">
      <c r="A269" s="146"/>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2">
        <f t="shared" si="52"/>
        <v>0</v>
      </c>
    </row>
    <row r="270" spans="1:19">
      <c r="A270" s="146"/>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2">
        <f t="shared" si="52"/>
        <v>0</v>
      </c>
    </row>
    <row r="271" spans="1:19">
      <c r="A271" s="146"/>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2">
        <f t="shared" si="52"/>
        <v>0</v>
      </c>
    </row>
    <row r="272" spans="1:19">
      <c r="A272" s="146"/>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2">
        <f t="shared" si="52"/>
        <v>0</v>
      </c>
    </row>
    <row r="273" spans="1:19">
      <c r="A273" s="146"/>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2">
        <f t="shared" si="52"/>
        <v>0</v>
      </c>
    </row>
    <row r="274" spans="1:19">
      <c r="A274" s="146"/>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2">
        <f t="shared" si="52"/>
        <v>0</v>
      </c>
    </row>
    <row r="275" spans="1:19">
      <c r="A275" s="146"/>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2">
        <f t="shared" si="52"/>
        <v>0</v>
      </c>
    </row>
    <row r="276" spans="1:19">
      <c r="A276" s="146"/>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2">
        <f t="shared" si="52"/>
        <v>0</v>
      </c>
    </row>
    <row r="277" spans="1:19">
      <c r="A277" s="146"/>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2">
        <f t="shared" si="52"/>
        <v>0</v>
      </c>
    </row>
    <row r="278" spans="1:19">
      <c r="A278" s="146"/>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2">
        <f t="shared" si="52"/>
        <v>0</v>
      </c>
    </row>
    <row r="279" spans="1:19">
      <c r="A279" s="146"/>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2">
        <f t="shared" si="52"/>
        <v>0</v>
      </c>
    </row>
    <row r="280" spans="1:19">
      <c r="A280" s="146"/>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2">
        <f t="shared" si="52"/>
        <v>0</v>
      </c>
    </row>
    <row r="281" spans="1:19">
      <c r="A281" s="146"/>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2">
        <f t="shared" si="52"/>
        <v>0</v>
      </c>
    </row>
    <row r="282" spans="1:19">
      <c r="A282" s="146"/>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2">
        <f t="shared" si="52"/>
        <v>0</v>
      </c>
    </row>
    <row r="283" spans="1:19">
      <c r="A283" s="146"/>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2">
        <f t="shared" si="52"/>
        <v>0</v>
      </c>
    </row>
    <row r="284" spans="1:19">
      <c r="A284" s="146"/>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2">
        <f t="shared" si="52"/>
        <v>0</v>
      </c>
    </row>
    <row r="285" spans="1:19">
      <c r="A285" s="146"/>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2">
        <f t="shared" si="52"/>
        <v>0</v>
      </c>
    </row>
    <row r="286" spans="1:19">
      <c r="A286" s="146"/>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2">
        <f t="shared" si="52"/>
        <v>0</v>
      </c>
    </row>
    <row r="287" spans="1:19">
      <c r="A287" s="146"/>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2">
        <f t="shared" ref="S287:S320" si="62">ROUND(R287*B287/10000,0)</f>
        <v>0</v>
      </c>
    </row>
    <row r="288" spans="1:19">
      <c r="A288" s="146"/>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2">
        <f t="shared" si="62"/>
        <v>0</v>
      </c>
    </row>
    <row r="289" spans="1:19">
      <c r="A289" s="146"/>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2">
        <f t="shared" si="62"/>
        <v>0</v>
      </c>
    </row>
    <row r="290" spans="1:19">
      <c r="A290" s="146"/>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2">
        <f t="shared" si="62"/>
        <v>0</v>
      </c>
    </row>
    <row r="291" spans="1:19">
      <c r="A291" s="146"/>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2">
        <f t="shared" si="62"/>
        <v>0</v>
      </c>
    </row>
    <row r="292" spans="1:19">
      <c r="A292" s="146"/>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2">
        <f t="shared" si="62"/>
        <v>0</v>
      </c>
    </row>
    <row r="293" spans="1:19">
      <c r="A293" s="146"/>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2">
        <f t="shared" si="62"/>
        <v>0</v>
      </c>
    </row>
    <row r="294" spans="1:19">
      <c r="A294" s="146"/>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2">
        <f t="shared" si="62"/>
        <v>0</v>
      </c>
    </row>
    <row r="295" spans="1:19">
      <c r="A295" s="146"/>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2">
        <f t="shared" si="62"/>
        <v>0</v>
      </c>
    </row>
    <row r="296" spans="1:19">
      <c r="A296" s="146"/>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2">
        <f t="shared" si="62"/>
        <v>0</v>
      </c>
    </row>
    <row r="297" spans="1:19">
      <c r="A297" s="146"/>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2">
        <f t="shared" si="62"/>
        <v>0</v>
      </c>
    </row>
    <row r="298" spans="1:19">
      <c r="A298" s="146"/>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2">
        <f t="shared" si="62"/>
        <v>0</v>
      </c>
    </row>
    <row r="299" spans="1:19">
      <c r="A299" s="146"/>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2">
        <f t="shared" si="62"/>
        <v>0</v>
      </c>
    </row>
    <row r="300" spans="1:19">
      <c r="A300" s="146"/>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2">
        <f t="shared" si="62"/>
        <v>0</v>
      </c>
    </row>
    <row r="301" spans="1:19">
      <c r="A301" s="146"/>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2">
        <f t="shared" si="62"/>
        <v>0</v>
      </c>
    </row>
    <row r="302" spans="1:19">
      <c r="A302" s="146"/>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2">
        <f t="shared" si="62"/>
        <v>0</v>
      </c>
    </row>
    <row r="303" spans="1:19">
      <c r="A303" s="146"/>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2">
        <f t="shared" si="62"/>
        <v>0</v>
      </c>
    </row>
    <row r="304" spans="1:19">
      <c r="A304" s="146"/>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2">
        <f t="shared" si="62"/>
        <v>0</v>
      </c>
    </row>
    <row r="305" spans="1:19">
      <c r="A305" s="146"/>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2">
        <f t="shared" si="62"/>
        <v>0</v>
      </c>
    </row>
    <row r="306" spans="1:19">
      <c r="A306" s="146"/>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2">
        <f t="shared" si="62"/>
        <v>0</v>
      </c>
    </row>
    <row r="307" spans="1:19">
      <c r="A307" s="146"/>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2">
        <f t="shared" si="62"/>
        <v>0</v>
      </c>
    </row>
    <row r="308" spans="1:19">
      <c r="A308" s="146"/>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2">
        <f t="shared" si="62"/>
        <v>0</v>
      </c>
    </row>
    <row r="309" spans="1:19">
      <c r="A309" s="146"/>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2">
        <f t="shared" si="62"/>
        <v>0</v>
      </c>
    </row>
    <row r="310" spans="1:19">
      <c r="A310" s="146"/>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2">
        <f t="shared" si="62"/>
        <v>0</v>
      </c>
    </row>
    <row r="311" spans="1:19">
      <c r="A311" s="146"/>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2">
        <f t="shared" si="62"/>
        <v>0</v>
      </c>
    </row>
    <row r="312" spans="1:19">
      <c r="A312" s="146"/>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2">
        <f t="shared" si="62"/>
        <v>0</v>
      </c>
    </row>
    <row r="313" spans="1:19">
      <c r="A313" s="146"/>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2">
        <f t="shared" si="62"/>
        <v>0</v>
      </c>
    </row>
    <row r="314" spans="1:19">
      <c r="A314" s="146"/>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2">
        <f t="shared" si="62"/>
        <v>0</v>
      </c>
    </row>
    <row r="315" spans="1:19">
      <c r="A315" s="146"/>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2">
        <f t="shared" si="62"/>
        <v>0</v>
      </c>
    </row>
    <row r="316" spans="1:19">
      <c r="A316" s="146"/>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2">
        <f t="shared" si="62"/>
        <v>0</v>
      </c>
    </row>
    <row r="317" spans="1:19">
      <c r="A317" s="146"/>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2">
        <f t="shared" si="62"/>
        <v>0</v>
      </c>
    </row>
    <row r="318" spans="1:19">
      <c r="A318" s="146"/>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2">
        <f t="shared" si="62"/>
        <v>0</v>
      </c>
    </row>
    <row r="319" spans="1:19">
      <c r="A319" s="146"/>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2">
        <f t="shared" si="62"/>
        <v>0</v>
      </c>
    </row>
    <row r="320" spans="1:19">
      <c r="A320" s="146"/>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2">
        <f t="shared" si="62"/>
        <v>0</v>
      </c>
    </row>
    <row r="321" spans="1:19">
      <c r="A321" s="146"/>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2">
        <f t="shared" ref="S321:S384" si="63">ROUND(R321*B321/10000,0)</f>
        <v>0</v>
      </c>
    </row>
    <row r="322" spans="1:19">
      <c r="A322" s="146"/>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2">
        <f t="shared" si="63"/>
        <v>0</v>
      </c>
    </row>
    <row r="323" spans="1:19">
      <c r="A323" s="146"/>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2">
        <f t="shared" si="63"/>
        <v>0</v>
      </c>
    </row>
    <row r="324" spans="1:19">
      <c r="A324" s="146"/>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2">
        <f t="shared" si="63"/>
        <v>0</v>
      </c>
    </row>
    <row r="325" spans="1:19">
      <c r="A325" s="146"/>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2">
        <f t="shared" si="63"/>
        <v>0</v>
      </c>
    </row>
    <row r="326" spans="1:19">
      <c r="A326" s="146"/>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2">
        <f t="shared" si="63"/>
        <v>0</v>
      </c>
    </row>
    <row r="327" spans="1:19">
      <c r="A327" s="146"/>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2">
        <f t="shared" si="63"/>
        <v>0</v>
      </c>
    </row>
    <row r="328" spans="1:19">
      <c r="A328" s="146"/>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2">
        <f t="shared" si="63"/>
        <v>0</v>
      </c>
    </row>
    <row r="329" spans="1:19">
      <c r="A329" s="146"/>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2">
        <f t="shared" si="63"/>
        <v>0</v>
      </c>
    </row>
    <row r="330" spans="1:19">
      <c r="A330" s="146"/>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2">
        <f t="shared" si="63"/>
        <v>0</v>
      </c>
    </row>
    <row r="331" spans="1:19">
      <c r="A331" s="146"/>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2">
        <f t="shared" si="63"/>
        <v>0</v>
      </c>
    </row>
    <row r="332" spans="1:19">
      <c r="A332" s="146"/>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2">
        <f t="shared" si="63"/>
        <v>0</v>
      </c>
    </row>
    <row r="333" spans="1:19">
      <c r="A333" s="146"/>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2">
        <f t="shared" si="63"/>
        <v>0</v>
      </c>
    </row>
    <row r="334" spans="1:19">
      <c r="A334" s="146"/>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2">
        <f t="shared" si="63"/>
        <v>0</v>
      </c>
    </row>
    <row r="335" spans="1:19">
      <c r="A335" s="146"/>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2">
        <f t="shared" si="63"/>
        <v>0</v>
      </c>
    </row>
    <row r="336" spans="1:19">
      <c r="A336" s="146"/>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2">
        <f t="shared" si="63"/>
        <v>0</v>
      </c>
    </row>
    <row r="337" spans="1:19">
      <c r="A337" s="146"/>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2">
        <f t="shared" si="63"/>
        <v>0</v>
      </c>
    </row>
    <row r="338" spans="1:19">
      <c r="A338" s="146"/>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2">
        <f t="shared" si="63"/>
        <v>0</v>
      </c>
    </row>
    <row r="339" spans="1:19">
      <c r="A339" s="146"/>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2">
        <f t="shared" si="63"/>
        <v>0</v>
      </c>
    </row>
    <row r="340" spans="1:19">
      <c r="A340" s="146"/>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2">
        <f t="shared" si="63"/>
        <v>0</v>
      </c>
    </row>
    <row r="341" spans="1:19">
      <c r="A341" s="146"/>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2">
        <f t="shared" si="63"/>
        <v>0</v>
      </c>
    </row>
    <row r="342" spans="1:19">
      <c r="A342" s="146"/>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2">
        <f t="shared" si="63"/>
        <v>0</v>
      </c>
    </row>
    <row r="343" spans="1:19">
      <c r="A343" s="146"/>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2">
        <f t="shared" si="63"/>
        <v>0</v>
      </c>
    </row>
    <row r="344" spans="1:19">
      <c r="A344" s="146"/>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2">
        <f t="shared" si="63"/>
        <v>0</v>
      </c>
    </row>
    <row r="345" spans="1:19">
      <c r="A345" s="146"/>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2">
        <f t="shared" si="63"/>
        <v>0</v>
      </c>
    </row>
    <row r="346" spans="1:19">
      <c r="A346" s="146"/>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2">
        <f t="shared" si="63"/>
        <v>0</v>
      </c>
    </row>
    <row r="347" spans="1:19">
      <c r="A347" s="146"/>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2">
        <f t="shared" si="63"/>
        <v>0</v>
      </c>
    </row>
    <row r="348" spans="1:19">
      <c r="A348" s="146"/>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2">
        <f t="shared" si="63"/>
        <v>0</v>
      </c>
    </row>
    <row r="349" spans="1:19">
      <c r="A349" s="146"/>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2">
        <f t="shared" si="63"/>
        <v>0</v>
      </c>
    </row>
    <row r="350" spans="1:19">
      <c r="A350" s="146"/>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2">
        <f t="shared" si="63"/>
        <v>0</v>
      </c>
    </row>
    <row r="351" spans="1:19">
      <c r="A351" s="146"/>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2">
        <f t="shared" si="63"/>
        <v>0</v>
      </c>
    </row>
    <row r="352" spans="1:19">
      <c r="A352" s="146"/>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2">
        <f t="shared" si="63"/>
        <v>0</v>
      </c>
    </row>
    <row r="353" spans="1:19">
      <c r="A353" s="146"/>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2">
        <f t="shared" si="63"/>
        <v>0</v>
      </c>
    </row>
    <row r="354" spans="1:19">
      <c r="A354" s="146"/>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2">
        <f t="shared" si="63"/>
        <v>0</v>
      </c>
    </row>
    <row r="355" spans="1:19">
      <c r="A355" s="146"/>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2">
        <f t="shared" si="63"/>
        <v>0</v>
      </c>
    </row>
    <row r="356" spans="1:19">
      <c r="A356" s="146"/>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2">
        <f t="shared" si="63"/>
        <v>0</v>
      </c>
    </row>
    <row r="357" spans="1:19">
      <c r="A357" s="146"/>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2">
        <f t="shared" si="63"/>
        <v>0</v>
      </c>
    </row>
    <row r="358" spans="1:19">
      <c r="A358" s="146"/>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2">
        <f t="shared" si="63"/>
        <v>0</v>
      </c>
    </row>
    <row r="359" spans="1:19">
      <c r="A359" s="146"/>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2">
        <f t="shared" si="63"/>
        <v>0</v>
      </c>
    </row>
    <row r="360" spans="1:19">
      <c r="A360" s="146"/>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2">
        <f t="shared" si="63"/>
        <v>0</v>
      </c>
    </row>
    <row r="361" spans="1:19">
      <c r="A361" s="146"/>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2">
        <f t="shared" si="63"/>
        <v>0</v>
      </c>
    </row>
    <row r="362" spans="1:19">
      <c r="A362" s="146"/>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2">
        <f t="shared" si="63"/>
        <v>0</v>
      </c>
    </row>
    <row r="363" spans="1:19">
      <c r="A363" s="146"/>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2">
        <f t="shared" si="63"/>
        <v>0</v>
      </c>
    </row>
    <row r="364" spans="1:19">
      <c r="A364" s="146"/>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2">
        <f t="shared" si="63"/>
        <v>0</v>
      </c>
    </row>
    <row r="365" spans="1:19">
      <c r="A365" s="146"/>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2">
        <f t="shared" si="63"/>
        <v>0</v>
      </c>
    </row>
    <row r="366" spans="1:19">
      <c r="A366" s="146"/>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2">
        <f t="shared" si="63"/>
        <v>0</v>
      </c>
    </row>
    <row r="367" spans="1:19">
      <c r="A367" s="146"/>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2">
        <f t="shared" si="63"/>
        <v>0</v>
      </c>
    </row>
    <row r="368" spans="1:19">
      <c r="A368" s="146"/>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2">
        <f t="shared" si="63"/>
        <v>0</v>
      </c>
    </row>
    <row r="369" spans="1:19">
      <c r="A369" s="146"/>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2">
        <f t="shared" si="63"/>
        <v>0</v>
      </c>
    </row>
    <row r="370" spans="1:19">
      <c r="A370" s="146"/>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2">
        <f t="shared" si="63"/>
        <v>0</v>
      </c>
    </row>
    <row r="371" spans="1:19">
      <c r="A371" s="146"/>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2">
        <f t="shared" si="63"/>
        <v>0</v>
      </c>
    </row>
    <row r="372" spans="1:19">
      <c r="A372" s="146"/>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2">
        <f t="shared" si="63"/>
        <v>0</v>
      </c>
    </row>
    <row r="373" spans="1:19">
      <c r="A373" s="146"/>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2">
        <f t="shared" si="63"/>
        <v>0</v>
      </c>
    </row>
    <row r="374" spans="1:19">
      <c r="A374" s="146"/>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2">
        <f t="shared" si="63"/>
        <v>0</v>
      </c>
    </row>
    <row r="375" spans="1:19">
      <c r="A375" s="146"/>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2">
        <f t="shared" si="63"/>
        <v>0</v>
      </c>
    </row>
    <row r="376" spans="1:19">
      <c r="A376" s="146"/>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2">
        <f t="shared" si="63"/>
        <v>0</v>
      </c>
    </row>
    <row r="377" spans="1:19">
      <c r="A377" s="146"/>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2">
        <f t="shared" si="63"/>
        <v>0</v>
      </c>
    </row>
    <row r="378" spans="1:19">
      <c r="A378" s="146"/>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2">
        <f t="shared" si="63"/>
        <v>0</v>
      </c>
    </row>
    <row r="379" spans="1:19">
      <c r="A379" s="146"/>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2">
        <f t="shared" si="63"/>
        <v>0</v>
      </c>
    </row>
    <row r="380" spans="1:19">
      <c r="A380" s="146"/>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2">
        <f t="shared" si="63"/>
        <v>0</v>
      </c>
    </row>
    <row r="381" spans="1:19">
      <c r="A381" s="146"/>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2">
        <f t="shared" si="63"/>
        <v>0</v>
      </c>
    </row>
    <row r="382" spans="1:19">
      <c r="A382" s="146"/>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2">
        <f t="shared" si="63"/>
        <v>0</v>
      </c>
    </row>
    <row r="383" spans="1:19">
      <c r="A383" s="146"/>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2">
        <f t="shared" si="63"/>
        <v>0</v>
      </c>
    </row>
    <row r="384" spans="1:19">
      <c r="A384" s="146"/>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2">
        <f t="shared" si="63"/>
        <v>0</v>
      </c>
    </row>
    <row r="385" spans="1:19">
      <c r="A385" s="146"/>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2">
        <f t="shared" ref="S385:S422" si="73">ROUND(R385*B385/10000,0)</f>
        <v>0</v>
      </c>
    </row>
    <row r="386" spans="1:19">
      <c r="A386" s="146"/>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2">
        <f t="shared" si="73"/>
        <v>0</v>
      </c>
    </row>
    <row r="387" spans="1:19">
      <c r="A387" s="146"/>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2">
        <f t="shared" si="73"/>
        <v>0</v>
      </c>
    </row>
    <row r="388" spans="1:19">
      <c r="A388" s="146"/>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2">
        <f t="shared" si="73"/>
        <v>0</v>
      </c>
    </row>
    <row r="389" spans="1:19">
      <c r="A389" s="146"/>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2">
        <f t="shared" si="73"/>
        <v>0</v>
      </c>
    </row>
    <row r="390" spans="1:19">
      <c r="A390" s="146"/>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2">
        <f t="shared" si="73"/>
        <v>0</v>
      </c>
    </row>
    <row r="391" spans="1:19">
      <c r="A391" s="146"/>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2">
        <f t="shared" si="73"/>
        <v>0</v>
      </c>
    </row>
    <row r="392" spans="1:19">
      <c r="A392" s="146"/>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2">
        <f t="shared" si="73"/>
        <v>0</v>
      </c>
    </row>
    <row r="393" spans="1:19">
      <c r="A393" s="146"/>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2">
        <f t="shared" si="73"/>
        <v>0</v>
      </c>
    </row>
    <row r="394" spans="1:19">
      <c r="A394" s="146"/>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2">
        <f t="shared" si="73"/>
        <v>0</v>
      </c>
    </row>
    <row r="395" spans="1:19">
      <c r="A395" s="146"/>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2">
        <f t="shared" si="73"/>
        <v>0</v>
      </c>
    </row>
    <row r="396" spans="1:19">
      <c r="A396" s="146"/>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2">
        <f t="shared" si="73"/>
        <v>0</v>
      </c>
    </row>
    <row r="397" spans="1:19">
      <c r="A397" s="146"/>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2">
        <f t="shared" si="73"/>
        <v>0</v>
      </c>
    </row>
    <row r="398" spans="1:19">
      <c r="A398" s="146"/>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2">
        <f t="shared" si="73"/>
        <v>0</v>
      </c>
    </row>
    <row r="399" spans="1:19">
      <c r="A399" s="146"/>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2">
        <f t="shared" si="73"/>
        <v>0</v>
      </c>
    </row>
    <row r="400" spans="1:19">
      <c r="A400" s="146"/>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2">
        <f t="shared" si="73"/>
        <v>0</v>
      </c>
    </row>
    <row r="401" spans="1:19">
      <c r="A401" s="146"/>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2">
        <f t="shared" si="73"/>
        <v>0</v>
      </c>
    </row>
    <row r="402" spans="1:19">
      <c r="A402" s="146"/>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2">
        <f t="shared" si="73"/>
        <v>0</v>
      </c>
    </row>
    <row r="403" spans="1:19">
      <c r="A403" s="146"/>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2">
        <f t="shared" si="73"/>
        <v>0</v>
      </c>
    </row>
    <row r="404" spans="1:19">
      <c r="A404" s="146"/>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2">
        <f t="shared" si="73"/>
        <v>0</v>
      </c>
    </row>
    <row r="405" spans="1:19">
      <c r="A405" s="146"/>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2">
        <f t="shared" si="73"/>
        <v>0</v>
      </c>
    </row>
    <row r="406" spans="1:19">
      <c r="A406" s="146"/>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2">
        <f t="shared" si="73"/>
        <v>0</v>
      </c>
    </row>
    <row r="407" spans="1:19">
      <c r="A407" s="146"/>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2">
        <f t="shared" si="73"/>
        <v>0</v>
      </c>
    </row>
    <row r="408" spans="1:19">
      <c r="A408" s="146"/>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2">
        <f t="shared" si="73"/>
        <v>0</v>
      </c>
    </row>
    <row r="409" spans="1:19">
      <c r="A409" s="146"/>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2">
        <f t="shared" si="73"/>
        <v>0</v>
      </c>
    </row>
    <row r="410" spans="1:19">
      <c r="A410" s="146"/>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2">
        <f t="shared" si="73"/>
        <v>0</v>
      </c>
    </row>
    <row r="411" spans="1:19">
      <c r="A411" s="146"/>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2">
        <f t="shared" si="73"/>
        <v>0</v>
      </c>
    </row>
    <row r="412" spans="1:19">
      <c r="A412" s="146"/>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2">
        <f t="shared" si="73"/>
        <v>0</v>
      </c>
    </row>
    <row r="413" spans="1:19">
      <c r="A413" s="146"/>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2">
        <f t="shared" si="73"/>
        <v>0</v>
      </c>
    </row>
    <row r="414" spans="1:19">
      <c r="A414" s="146"/>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2">
        <f t="shared" si="73"/>
        <v>0</v>
      </c>
    </row>
    <row r="415" spans="1:19">
      <c r="A415" s="146"/>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2">
        <f t="shared" si="73"/>
        <v>0</v>
      </c>
    </row>
    <row r="416" spans="1:19">
      <c r="A416" s="146"/>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2">
        <f t="shared" si="73"/>
        <v>0</v>
      </c>
    </row>
    <row r="417" spans="1:19">
      <c r="A417" s="146"/>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2">
        <f t="shared" si="73"/>
        <v>0</v>
      </c>
    </row>
    <row r="418" spans="1:19">
      <c r="A418" s="146"/>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2">
        <f t="shared" si="73"/>
        <v>0</v>
      </c>
    </row>
    <row r="419" spans="1:19">
      <c r="A419" s="146"/>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2">
        <f t="shared" si="73"/>
        <v>0</v>
      </c>
    </row>
    <row r="420" spans="1:19">
      <c r="A420" s="146"/>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2">
        <f t="shared" si="73"/>
        <v>0</v>
      </c>
    </row>
    <row r="421" spans="1:19">
      <c r="A421" s="146"/>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2">
        <f t="shared" si="73"/>
        <v>0</v>
      </c>
    </row>
    <row r="422" spans="1:19">
      <c r="A422" s="146"/>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2">
        <f t="shared" si="73"/>
        <v>0</v>
      </c>
    </row>
    <row r="423" spans="1:19">
      <c r="A423" s="146"/>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2">
        <f t="shared" ref="S423:S467" si="83">ROUND(R423*B423/10000,0)</f>
        <v>0</v>
      </c>
    </row>
    <row r="424" spans="1:19">
      <c r="A424" s="146"/>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2">
        <f t="shared" si="83"/>
        <v>0</v>
      </c>
    </row>
    <row r="425" spans="1:19">
      <c r="A425" s="146"/>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2">
        <f t="shared" si="83"/>
        <v>0</v>
      </c>
    </row>
    <row r="426" spans="1:19">
      <c r="A426" s="146"/>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2">
        <f t="shared" si="83"/>
        <v>0</v>
      </c>
    </row>
    <row r="427" spans="1:19">
      <c r="A427" s="146"/>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2">
        <f t="shared" si="83"/>
        <v>0</v>
      </c>
    </row>
    <row r="428" spans="1:19">
      <c r="A428" s="146"/>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2">
        <f t="shared" si="83"/>
        <v>0</v>
      </c>
    </row>
    <row r="429" spans="1:19">
      <c r="A429" s="146"/>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2">
        <f t="shared" si="83"/>
        <v>0</v>
      </c>
    </row>
    <row r="430" spans="1:19">
      <c r="A430" s="146"/>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2">
        <f t="shared" si="83"/>
        <v>0</v>
      </c>
    </row>
    <row r="431" spans="1:19">
      <c r="A431" s="146"/>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2">
        <f t="shared" si="83"/>
        <v>0</v>
      </c>
    </row>
    <row r="432" spans="1:19">
      <c r="A432" s="146"/>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2">
        <f t="shared" si="83"/>
        <v>0</v>
      </c>
    </row>
    <row r="433" spans="1:19">
      <c r="A433" s="146"/>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2">
        <f t="shared" si="83"/>
        <v>0</v>
      </c>
    </row>
    <row r="434" spans="1:19">
      <c r="A434" s="146"/>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2">
        <f t="shared" si="83"/>
        <v>0</v>
      </c>
    </row>
    <row r="435" spans="1:19">
      <c r="A435" s="146"/>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2">
        <f t="shared" si="83"/>
        <v>0</v>
      </c>
    </row>
    <row r="436" spans="1:19">
      <c r="A436" s="146"/>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2">
        <f t="shared" si="83"/>
        <v>0</v>
      </c>
    </row>
    <row r="437" spans="1:19">
      <c r="A437" s="146"/>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2">
        <f t="shared" si="83"/>
        <v>0</v>
      </c>
    </row>
    <row r="438" spans="1:19">
      <c r="A438" s="146"/>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2">
        <f t="shared" si="83"/>
        <v>0</v>
      </c>
    </row>
    <row r="439" spans="1:19">
      <c r="A439" s="146"/>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2">
        <f t="shared" si="83"/>
        <v>0</v>
      </c>
    </row>
    <row r="440" spans="1:19">
      <c r="A440" s="146"/>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2">
        <f t="shared" si="83"/>
        <v>0</v>
      </c>
    </row>
    <row r="441" spans="1:19">
      <c r="A441" s="146"/>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2">
        <f t="shared" si="83"/>
        <v>0</v>
      </c>
    </row>
    <row r="442" spans="1:19">
      <c r="A442" s="146"/>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2">
        <f t="shared" si="83"/>
        <v>0</v>
      </c>
    </row>
    <row r="443" spans="1:19">
      <c r="A443" s="146"/>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2">
        <f t="shared" si="83"/>
        <v>0</v>
      </c>
    </row>
    <row r="444" spans="1:19">
      <c r="A444" s="146"/>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2">
        <f t="shared" si="83"/>
        <v>0</v>
      </c>
    </row>
    <row r="445" spans="1:19">
      <c r="A445" s="146"/>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2">
        <f t="shared" si="83"/>
        <v>0</v>
      </c>
    </row>
    <row r="446" spans="1:19">
      <c r="A446" s="146"/>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2">
        <f t="shared" si="83"/>
        <v>0</v>
      </c>
    </row>
    <row r="447" spans="1:19">
      <c r="A447" s="146"/>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2">
        <f t="shared" si="83"/>
        <v>0</v>
      </c>
    </row>
    <row r="448" spans="1:19">
      <c r="A448" s="146"/>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2">
        <f t="shared" si="83"/>
        <v>0</v>
      </c>
    </row>
    <row r="449" spans="1:19">
      <c r="A449" s="146"/>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2">
        <f t="shared" si="83"/>
        <v>0</v>
      </c>
    </row>
    <row r="450" spans="1:19">
      <c r="A450" s="146"/>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2">
        <f t="shared" si="83"/>
        <v>0</v>
      </c>
    </row>
    <row r="451" spans="1:19">
      <c r="A451" s="146"/>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2">
        <f t="shared" si="83"/>
        <v>0</v>
      </c>
    </row>
    <row r="452" spans="1:19">
      <c r="A452" s="146"/>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2">
        <f t="shared" si="83"/>
        <v>0</v>
      </c>
    </row>
    <row r="453" spans="1:19">
      <c r="A453" s="146"/>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2">
        <f t="shared" si="83"/>
        <v>0</v>
      </c>
    </row>
    <row r="454" spans="1:19">
      <c r="A454" s="146"/>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2">
        <f t="shared" si="83"/>
        <v>0</v>
      </c>
    </row>
    <row r="455" spans="1:19">
      <c r="A455" s="146"/>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2">
        <f t="shared" si="83"/>
        <v>0</v>
      </c>
    </row>
    <row r="456" spans="1:19">
      <c r="A456" s="146"/>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2">
        <f t="shared" si="83"/>
        <v>0</v>
      </c>
    </row>
    <row r="457" spans="1:19">
      <c r="A457" s="146"/>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2">
        <f t="shared" si="83"/>
        <v>0</v>
      </c>
    </row>
    <row r="458" spans="1:19">
      <c r="A458" s="146"/>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2">
        <f t="shared" si="83"/>
        <v>0</v>
      </c>
    </row>
    <row r="459" spans="1:19">
      <c r="A459" s="146"/>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2">
        <f t="shared" si="83"/>
        <v>0</v>
      </c>
    </row>
    <row r="460" spans="1:19">
      <c r="A460" s="146"/>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2">
        <f t="shared" si="83"/>
        <v>0</v>
      </c>
    </row>
    <row r="461" spans="1:19">
      <c r="A461" s="146"/>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2">
        <f t="shared" si="83"/>
        <v>0</v>
      </c>
    </row>
    <row r="462" spans="1:19">
      <c r="A462" s="146"/>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2">
        <f t="shared" si="83"/>
        <v>0</v>
      </c>
    </row>
    <row r="463" spans="1:19">
      <c r="A463" s="146"/>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2">
        <f t="shared" si="83"/>
        <v>0</v>
      </c>
    </row>
    <row r="464" spans="1:19">
      <c r="A464" s="146"/>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2">
        <f t="shared" si="83"/>
        <v>0</v>
      </c>
    </row>
    <row r="465" spans="1:19">
      <c r="A465" s="146"/>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2">
        <f t="shared" si="83"/>
        <v>0</v>
      </c>
    </row>
    <row r="466" spans="1:19">
      <c r="A466" s="146"/>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2">
        <f t="shared" si="83"/>
        <v>0</v>
      </c>
    </row>
    <row r="467" spans="1:19">
      <c r="A467" s="146"/>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2">
        <f t="shared" si="83"/>
        <v>0</v>
      </c>
    </row>
    <row r="468" spans="1:19">
      <c r="A468" s="146"/>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2">
        <f t="shared" ref="S468:S497" si="84">ROUND(R468*B468/10000,0)</f>
        <v>0</v>
      </c>
    </row>
    <row r="469" spans="1:19">
      <c r="A469" s="146"/>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2">
        <f t="shared" si="84"/>
        <v>0</v>
      </c>
    </row>
    <row r="470" spans="1:19">
      <c r="A470" s="146"/>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2">
        <f t="shared" si="84"/>
        <v>0</v>
      </c>
    </row>
    <row r="471" spans="1:19">
      <c r="A471" s="146"/>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2">
        <f t="shared" si="84"/>
        <v>0</v>
      </c>
    </row>
    <row r="472" spans="1:19">
      <c r="A472" s="146"/>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2">
        <f t="shared" si="84"/>
        <v>0</v>
      </c>
    </row>
    <row r="473" spans="1:19">
      <c r="A473" s="146"/>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2">
        <f t="shared" si="84"/>
        <v>0</v>
      </c>
    </row>
    <row r="474" spans="1:19">
      <c r="A474" s="146"/>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2">
        <f t="shared" si="84"/>
        <v>0</v>
      </c>
    </row>
    <row r="475" spans="1:19">
      <c r="A475" s="146"/>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2">
        <f t="shared" si="84"/>
        <v>0</v>
      </c>
    </row>
    <row r="476" spans="1:19">
      <c r="A476" s="146"/>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2">
        <f t="shared" si="84"/>
        <v>0</v>
      </c>
    </row>
    <row r="477" spans="1:19">
      <c r="A477" s="146"/>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2">
        <f t="shared" si="84"/>
        <v>0</v>
      </c>
    </row>
    <row r="478" spans="1:19">
      <c r="A478" s="146"/>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2">
        <f t="shared" si="84"/>
        <v>0</v>
      </c>
    </row>
    <row r="479" spans="1:19">
      <c r="A479" s="146"/>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2">
        <f t="shared" si="84"/>
        <v>0</v>
      </c>
    </row>
    <row r="480" spans="1:19">
      <c r="A480" s="146"/>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2">
        <f t="shared" si="84"/>
        <v>0</v>
      </c>
    </row>
    <row r="481" spans="1:19">
      <c r="A481" s="146"/>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2">
        <f t="shared" si="84"/>
        <v>0</v>
      </c>
    </row>
    <row r="482" spans="1:19">
      <c r="A482" s="146"/>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2">
        <f t="shared" si="84"/>
        <v>0</v>
      </c>
    </row>
    <row r="483" spans="1:19">
      <c r="A483" s="146"/>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2">
        <f t="shared" si="84"/>
        <v>0</v>
      </c>
    </row>
    <row r="484" spans="1:19">
      <c r="A484" s="146"/>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2">
        <f t="shared" si="84"/>
        <v>0</v>
      </c>
    </row>
    <row r="485" spans="1:19">
      <c r="A485" s="146"/>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2">
        <f t="shared" si="84"/>
        <v>0</v>
      </c>
    </row>
    <row r="486" spans="1:19">
      <c r="A486" s="146"/>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2">
        <f t="shared" si="84"/>
        <v>0</v>
      </c>
    </row>
    <row r="487" spans="1:19">
      <c r="A487" s="146"/>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2">
        <f t="shared" si="84"/>
        <v>0</v>
      </c>
    </row>
    <row r="488" spans="1:19">
      <c r="A488" s="146"/>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2">
        <f t="shared" si="84"/>
        <v>0</v>
      </c>
    </row>
    <row r="489" spans="1:19">
      <c r="A489" s="146"/>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2">
        <f t="shared" si="84"/>
        <v>0</v>
      </c>
    </row>
    <row r="490" spans="1:19">
      <c r="A490" s="146"/>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2">
        <f t="shared" si="84"/>
        <v>0</v>
      </c>
    </row>
    <row r="491" spans="1:19">
      <c r="A491" s="146"/>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2">
        <f t="shared" si="84"/>
        <v>0</v>
      </c>
    </row>
    <row r="492" spans="1:19">
      <c r="A492" s="146"/>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2">
        <f t="shared" si="84"/>
        <v>0</v>
      </c>
    </row>
    <row r="493" spans="1:19">
      <c r="A493" s="146"/>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2">
        <f t="shared" si="84"/>
        <v>0</v>
      </c>
    </row>
    <row r="494" spans="1:19">
      <c r="A494" s="146"/>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2">
        <f t="shared" si="84"/>
        <v>0</v>
      </c>
    </row>
    <row r="495" spans="1:19">
      <c r="A495" s="146"/>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2">
        <f t="shared" si="84"/>
        <v>0</v>
      </c>
    </row>
    <row r="496" spans="1:19">
      <c r="A496" s="146"/>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2">
        <f t="shared" si="84"/>
        <v>0</v>
      </c>
    </row>
    <row r="497" spans="1:19">
      <c r="A497" s="146"/>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2">
        <f t="shared" si="84"/>
        <v>0</v>
      </c>
    </row>
    <row r="498" spans="1:19">
      <c r="A498" s="146"/>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2">
        <f t="shared" ref="S498:S524" si="94">ROUND(R498*B498/10000,0)</f>
        <v>0</v>
      </c>
    </row>
    <row r="499" spans="1:19">
      <c r="A499" s="146"/>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2">
        <f t="shared" si="94"/>
        <v>0</v>
      </c>
    </row>
    <row r="500" spans="1:19">
      <c r="A500" s="146"/>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2">
        <f t="shared" si="94"/>
        <v>0</v>
      </c>
    </row>
    <row r="501" spans="1:19">
      <c r="A501" s="146"/>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2">
        <f t="shared" si="94"/>
        <v>0</v>
      </c>
    </row>
    <row r="502" spans="1:19">
      <c r="A502" s="146"/>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2">
        <f t="shared" si="94"/>
        <v>0</v>
      </c>
    </row>
    <row r="503" spans="1:19">
      <c r="A503" s="146"/>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2">
        <f t="shared" si="94"/>
        <v>0</v>
      </c>
    </row>
    <row r="504" spans="1:19">
      <c r="A504" s="146"/>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2">
        <f t="shared" si="94"/>
        <v>0</v>
      </c>
    </row>
    <row r="505" spans="1:19">
      <c r="A505" s="146"/>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2">
        <f t="shared" si="94"/>
        <v>0</v>
      </c>
    </row>
    <row r="506" spans="1:19">
      <c r="A506" s="146"/>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2">
        <f t="shared" si="94"/>
        <v>0</v>
      </c>
    </row>
    <row r="507" spans="1:19">
      <c r="A507" s="146"/>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2">
        <f t="shared" si="94"/>
        <v>0</v>
      </c>
    </row>
    <row r="508" spans="1:19">
      <c r="A508" s="146"/>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2">
        <f t="shared" si="94"/>
        <v>0</v>
      </c>
    </row>
    <row r="509" spans="1:19">
      <c r="A509" s="146"/>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2">
        <f t="shared" si="94"/>
        <v>0</v>
      </c>
    </row>
    <row r="510" spans="1:19">
      <c r="A510" s="146"/>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2">
        <f t="shared" si="94"/>
        <v>0</v>
      </c>
    </row>
    <row r="511" spans="1:19">
      <c r="A511" s="146"/>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2">
        <f t="shared" si="94"/>
        <v>0</v>
      </c>
    </row>
    <row r="512" spans="1:19">
      <c r="A512" s="146"/>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2">
        <f t="shared" si="94"/>
        <v>0</v>
      </c>
    </row>
    <row r="513" spans="1:19">
      <c r="A513" s="146"/>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2">
        <f t="shared" si="94"/>
        <v>0</v>
      </c>
    </row>
    <row r="514" spans="1:19">
      <c r="A514" s="146"/>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2">
        <f t="shared" si="94"/>
        <v>0</v>
      </c>
    </row>
    <row r="515" spans="1:19">
      <c r="A515" s="146"/>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2">
        <f t="shared" si="94"/>
        <v>0</v>
      </c>
    </row>
    <row r="516" spans="1:19">
      <c r="A516" s="146"/>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2">
        <f t="shared" si="94"/>
        <v>0</v>
      </c>
    </row>
    <row r="517" spans="1:19">
      <c r="A517" s="146"/>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2">
        <f t="shared" si="94"/>
        <v>0</v>
      </c>
    </row>
    <row r="518" spans="1:19">
      <c r="A518" s="146"/>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2">
        <f t="shared" si="94"/>
        <v>0</v>
      </c>
    </row>
    <row r="519" spans="1:19">
      <c r="A519" s="146"/>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2">
        <f t="shared" si="94"/>
        <v>0</v>
      </c>
    </row>
    <row r="520" spans="1:19">
      <c r="A520" s="146"/>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2">
        <f t="shared" si="94"/>
        <v>0</v>
      </c>
    </row>
    <row r="521" spans="1:19">
      <c r="A521" s="146"/>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2">
        <f t="shared" si="94"/>
        <v>0</v>
      </c>
    </row>
    <row r="522" spans="1:19">
      <c r="A522" s="146"/>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2">
        <f t="shared" si="94"/>
        <v>0</v>
      </c>
    </row>
    <row r="523" spans="1:19">
      <c r="A523" s="146"/>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2">
        <f t="shared" si="94"/>
        <v>0</v>
      </c>
    </row>
    <row r="524" spans="1:19">
      <c r="A524" s="146"/>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3"/>
      <c r="G1" s="2783"/>
      <c r="H1" s="2783"/>
      <c r="I1" s="2783"/>
      <c r="J1" s="2783"/>
      <c r="K1" s="2783"/>
      <c r="L1" s="2783"/>
      <c r="M1" s="2783"/>
      <c r="N1" s="2783"/>
      <c r="O1" s="2783"/>
      <c r="P1" s="2783"/>
    </row>
    <row r="2" spans="1:16" ht="15.75">
      <c r="A2" s="2141" t="s">
        <v>2073</v>
      </c>
      <c r="B2" s="2593" t="e">
        <f ca="1">SUMIF(B6:B13,"&lt;&gt;#ref!",B6:B13)</f>
        <v>#DIV/0!</v>
      </c>
      <c r="C2" s="2141" t="s">
        <v>2074</v>
      </c>
      <c r="D2" s="2141" t="s">
        <v>2075</v>
      </c>
      <c r="E2" s="2603">
        <f ca="1">SUMIF(E6:E13,"&lt;&gt;#ref!",E6:E13)</f>
        <v>23586.720000000001</v>
      </c>
      <c r="F2" s="2783"/>
      <c r="G2" s="2783"/>
      <c r="H2" s="2783"/>
      <c r="I2" s="2783"/>
      <c r="J2" s="2783"/>
      <c r="K2" s="2783"/>
      <c r="L2" s="2783"/>
      <c r="M2" s="2783"/>
      <c r="N2" s="2783"/>
      <c r="O2" s="2783"/>
      <c r="P2" s="2783"/>
    </row>
    <row r="3" spans="1:16" ht="15.75">
      <c r="A3" s="2141" t="s">
        <v>2076</v>
      </c>
      <c r="B3" s="2593" t="e">
        <f ca="1">ROUND(B2*10000/E2,0)</f>
        <v>#DIV/0!</v>
      </c>
      <c r="C3" s="2141"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42"/>
      <c r="D5" s="2783"/>
      <c r="E5" s="2602" t="s">
        <v>2079</v>
      </c>
      <c r="F5" s="2783"/>
      <c r="G5" s="2783"/>
      <c r="H5" s="2783"/>
      <c r="I5" s="2783"/>
      <c r="J5" s="2783"/>
      <c r="K5" s="2783"/>
      <c r="L5" s="2783"/>
      <c r="M5" s="2783"/>
      <c r="N5" s="2783"/>
      <c r="O5" s="2783"/>
      <c r="P5" s="2783"/>
    </row>
    <row r="6" spans="1:16" ht="15.75">
      <c r="A6" s="2600" t="s">
        <v>2080</v>
      </c>
      <c r="B6" s="2593" t="e">
        <f ca="1">SUMIF(INDIRECT("'"&amp;A6&amp;"'"&amp;"!A:A"),"总价",INDIRECT("'"&amp;A6&amp;"'"&amp;"!B:B"))</f>
        <v>#DIV/0!</v>
      </c>
      <c r="C6" s="2141" t="s">
        <v>2074</v>
      </c>
      <c r="D6" s="2783"/>
      <c r="E6" s="2603">
        <f ca="1">SUMIF(INDIRECT("'"&amp;A6&amp;"'"&amp;"!C:C"),"建筑面积",INDIRECT("'"&amp;A6&amp;"'"&amp;"!D:D"))</f>
        <v>23586.720000000001</v>
      </c>
      <c r="F6" s="2783"/>
      <c r="G6" s="2783"/>
      <c r="H6" s="2783"/>
      <c r="I6" s="2783"/>
      <c r="J6" s="2783"/>
      <c r="K6" s="2783"/>
      <c r="L6" s="2783"/>
      <c r="M6" s="2783"/>
      <c r="N6" s="2783"/>
      <c r="O6" s="2783"/>
      <c r="P6" s="2783"/>
    </row>
    <row r="7" spans="1:16" ht="15.75">
      <c r="A7" s="2600"/>
      <c r="B7" s="2593" t="e">
        <f ca="1">SUMIF(INDIRECT("'"&amp;A7&amp;"'"&amp;"!A:A"),"总价",INDIRECT("'"&amp;A7&amp;"'"&amp;"!B:B"))</f>
        <v>#REF!</v>
      </c>
      <c r="C7" s="2141" t="s">
        <v>2074</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41"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41"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41"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41"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41"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41"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9"/>
      <c r="B4" s="3522" t="s">
        <v>917</v>
      </c>
      <c r="C4" s="3522"/>
      <c r="D4" s="3522"/>
      <c r="E4" s="1489"/>
    </row>
    <row r="5" spans="1:5" ht="16.5" thickTop="1">
      <c r="A5" s="1487"/>
      <c r="B5" s="3520" t="s">
        <v>909</v>
      </c>
      <c r="C5" s="1490" t="s">
        <v>910</v>
      </c>
      <c r="D5" s="846">
        <f ca="1">结果表!H101</f>
        <v>300687</v>
      </c>
      <c r="E5" s="1487"/>
    </row>
    <row r="6" spans="1:5" ht="15.75">
      <c r="A6" s="1487"/>
      <c r="B6" s="3520"/>
      <c r="C6" s="1490" t="s">
        <v>911</v>
      </c>
      <c r="D6" s="846" t="str">
        <f ca="1">NUMBERSTRING(INT(D5*10000),2)&amp;"元整"</f>
        <v>叁拾亿零陆佰捌拾柒万元整</v>
      </c>
      <c r="E6" s="1487"/>
    </row>
    <row r="7" spans="1:5" ht="15.75">
      <c r="A7" s="1487"/>
      <c r="B7" s="3525"/>
      <c r="C7" s="1491" t="s">
        <v>912</v>
      </c>
      <c r="D7" s="847">
        <f ca="1">结果表!H102</f>
        <v>29166</v>
      </c>
      <c r="E7" s="1487"/>
    </row>
    <row r="8" spans="1:5" ht="15.75">
      <c r="A8" s="1487"/>
      <c r="B8" s="3526" t="str">
        <f>结果表!E103</f>
        <v>2.估价师知悉的法定优先受偿款</v>
      </c>
      <c r="C8" s="1492" t="s">
        <v>913</v>
      </c>
      <c r="D8" s="847">
        <f>结果表!H103</f>
        <v>0</v>
      </c>
      <c r="E8" s="1487"/>
    </row>
    <row r="9" spans="1:5" ht="15.75">
      <c r="A9" s="1487"/>
      <c r="B9" s="3528"/>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19" t="str">
        <f>结果表!E107</f>
        <v>3.房地产抵押价值</v>
      </c>
      <c r="C13" s="1495" t="s">
        <v>910</v>
      </c>
      <c r="D13" s="849">
        <f ca="1">结果表!H107</f>
        <v>300687</v>
      </c>
      <c r="E13" s="1487"/>
    </row>
    <row r="14" spans="1:5" ht="15.75">
      <c r="A14" s="1487"/>
      <c r="B14" s="3520"/>
      <c r="C14" s="1490" t="s">
        <v>911</v>
      </c>
      <c r="D14" s="846" t="str">
        <f ca="1">NUMBERSTRING(INT(D13*10000),2)&amp;"元整"</f>
        <v>叁拾亿零陆佰捌拾柒万元整</v>
      </c>
      <c r="E14" s="1487"/>
    </row>
    <row r="15" spans="1:5" ht="15">
      <c r="A15" s="1487"/>
      <c r="B15" s="3525"/>
      <c r="C15" s="1491" t="s">
        <v>921</v>
      </c>
      <c r="D15" s="855">
        <f ca="1">结果表!H108</f>
        <v>29166</v>
      </c>
      <c r="E15" s="1487"/>
    </row>
    <row r="16" spans="1:5" ht="15">
      <c r="A16" s="1487"/>
      <c r="B16" s="3526" t="str">
        <f>结果表!E109</f>
        <v>——</v>
      </c>
      <c r="C16" s="1495" t="s">
        <v>922</v>
      </c>
      <c r="D16" s="1496" t="str">
        <f>结果表!H109</f>
        <v>——</v>
      </c>
      <c r="E16" s="1487"/>
    </row>
    <row r="17" spans="1:5" ht="15.75">
      <c r="A17" s="1487"/>
      <c r="B17" s="3527"/>
      <c r="C17" s="1490" t="s">
        <v>923</v>
      </c>
      <c r="D17" s="846" t="e">
        <f>NUMBERSTRING(INT(D16*10000),2)&amp;"元整"</f>
        <v>#VALUE!</v>
      </c>
      <c r="E17" s="1487"/>
    </row>
    <row r="18" spans="1:5" ht="15">
      <c r="A18" s="1487"/>
      <c r="B18" s="3528"/>
      <c r="C18" s="1491" t="s">
        <v>912</v>
      </c>
      <c r="D18" s="855" t="str">
        <f>结果表!H110</f>
        <v>——</v>
      </c>
      <c r="E18" s="1487"/>
    </row>
    <row r="19" spans="1:5" ht="15.75">
      <c r="A19" s="1487"/>
      <c r="B19" s="3519" t="str">
        <f>结果表!E111</f>
        <v>——</v>
      </c>
      <c r="C19" s="1495" t="s">
        <v>910</v>
      </c>
      <c r="D19" s="847" t="str">
        <f>结果表!H111</f>
        <v>——</v>
      </c>
      <c r="E19" s="1487"/>
    </row>
    <row r="20" spans="1:5" ht="15.75">
      <c r="A20" s="1487"/>
      <c r="B20" s="3520"/>
      <c r="C20" s="1490" t="s">
        <v>923</v>
      </c>
      <c r="D20" s="846" t="e">
        <f>NUMBERSTRING(INT(D19*10000),2)&amp;"元整"</f>
        <v>#VALUE!</v>
      </c>
      <c r="E20" s="1487"/>
    </row>
    <row r="21" spans="1:5" ht="15.75" thickBot="1">
      <c r="A21" s="1487"/>
      <c r="B21" s="3521"/>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2591</v>
      </c>
      <c r="B1" s="3062" t="s">
        <v>2592</v>
      </c>
      <c r="C1" s="3062" t="s">
        <v>2593</v>
      </c>
      <c r="D1" s="3062" t="s">
        <v>2594</v>
      </c>
      <c r="E1" s="3062" t="s">
        <v>2595</v>
      </c>
      <c r="F1" s="3062" t="s">
        <v>2596</v>
      </c>
      <c r="G1" s="3062" t="s">
        <v>2597</v>
      </c>
      <c r="H1" s="3062" t="s">
        <v>2598</v>
      </c>
      <c r="I1" s="3062" t="s">
        <v>2599</v>
      </c>
      <c r="J1" s="3062" t="s">
        <v>2600</v>
      </c>
      <c r="K1" s="3062" t="s">
        <v>2601</v>
      </c>
      <c r="L1" s="3062" t="s">
        <v>2602</v>
      </c>
      <c r="M1" s="3063" t="s">
        <v>2603</v>
      </c>
    </row>
    <row r="2" spans="1:13" ht="19.5" customHeight="1">
      <c r="A2" s="3065" t="s">
        <v>2604</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2605</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2606</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2607</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2608</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2609</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2610</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2611</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2612</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2613</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2614</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2615</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2616</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2617</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2618</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2619</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2620</v>
      </c>
      <c r="B18" s="3087"/>
      <c r="C18" s="3088"/>
      <c r="D18" s="3088"/>
      <c r="E18" s="3087"/>
      <c r="F18" s="3088"/>
      <c r="G18" s="3088"/>
    </row>
    <row r="19" spans="1:13" ht="19.5" customHeight="1" thickBot="1">
      <c r="A19" s="3085" t="s">
        <v>2621</v>
      </c>
      <c r="B19" s="3090" t="s">
        <v>2622</v>
      </c>
      <c r="C19" s="3090" t="s">
        <v>2623</v>
      </c>
      <c r="D19" s="3091"/>
      <c r="E19" s="3085" t="s">
        <v>2624</v>
      </c>
      <c r="F19" s="3092"/>
      <c r="G19" s="3092"/>
    </row>
    <row r="20" spans="1:13" ht="19.5" customHeight="1">
      <c r="A20" s="3840" t="s">
        <v>2604</v>
      </c>
      <c r="B20" s="3835" t="s">
        <v>2625</v>
      </c>
      <c r="C20" s="3093" t="s">
        <v>2436</v>
      </c>
      <c r="D20" s="3094"/>
      <c r="E20" s="3095">
        <v>1</v>
      </c>
      <c r="F20" s="3096" t="s">
        <v>2437</v>
      </c>
      <c r="G20" s="3096"/>
    </row>
    <row r="21" spans="1:13" ht="19.5" customHeight="1">
      <c r="A21" s="3841"/>
      <c r="B21" s="3834"/>
      <c r="C21" s="3097" t="s">
        <v>2438</v>
      </c>
      <c r="D21" s="3098"/>
      <c r="E21" s="3099">
        <v>1</v>
      </c>
      <c r="F21" s="3096" t="s">
        <v>2439</v>
      </c>
      <c r="G21" s="3096"/>
    </row>
    <row r="22" spans="1:13" ht="19.5" customHeight="1">
      <c r="A22" s="3841"/>
      <c r="B22" s="3834"/>
      <c r="C22" s="3097" t="s">
        <v>2440</v>
      </c>
      <c r="D22" s="3098"/>
      <c r="E22" s="3099">
        <v>0.9</v>
      </c>
      <c r="F22" s="3096" t="s">
        <v>2441</v>
      </c>
      <c r="G22" s="3096"/>
    </row>
    <row r="23" spans="1:13" ht="19.5" customHeight="1">
      <c r="A23" s="3841"/>
      <c r="B23" s="3834"/>
      <c r="C23" s="3097" t="s">
        <v>2442</v>
      </c>
      <c r="D23" s="3098"/>
      <c r="E23" s="3099">
        <v>0.9</v>
      </c>
      <c r="F23" s="3096" t="s">
        <v>2443</v>
      </c>
      <c r="G23" s="3096"/>
    </row>
    <row r="24" spans="1:13" ht="19.5" customHeight="1">
      <c r="A24" s="3841"/>
      <c r="B24" s="3834"/>
      <c r="C24" s="3097" t="s">
        <v>2444</v>
      </c>
      <c r="D24" s="3098"/>
      <c r="E24" s="3099">
        <v>0.8</v>
      </c>
      <c r="F24" s="3096" t="s">
        <v>2445</v>
      </c>
      <c r="G24" s="3096"/>
    </row>
    <row r="25" spans="1:13" ht="19.5" customHeight="1" thickBot="1">
      <c r="A25" s="3842"/>
      <c r="B25" s="3836"/>
      <c r="C25" s="3100" t="s">
        <v>2446</v>
      </c>
      <c r="D25" s="3101"/>
      <c r="E25" s="3102">
        <v>0.8</v>
      </c>
      <c r="F25" s="3096" t="s">
        <v>2447</v>
      </c>
      <c r="G25" s="3096"/>
    </row>
    <row r="26" spans="1:13" ht="19.5" customHeight="1" thickBot="1">
      <c r="A26" s="3103" t="s">
        <v>2626</v>
      </c>
      <c r="B26" s="3104" t="s">
        <v>2625</v>
      </c>
      <c r="C26" s="3105" t="s">
        <v>2627</v>
      </c>
      <c r="D26" s="3106"/>
      <c r="E26" s="3107">
        <v>1</v>
      </c>
      <c r="F26" s="3096" t="s">
        <v>2448</v>
      </c>
      <c r="G26" s="3096"/>
    </row>
    <row r="27" spans="1:13" ht="19.5" customHeight="1">
      <c r="A27" s="3837" t="s">
        <v>2628</v>
      </c>
      <c r="B27" s="3835" t="s">
        <v>2609</v>
      </c>
      <c r="C27" s="3093" t="s">
        <v>2449</v>
      </c>
      <c r="D27" s="3094"/>
      <c r="E27" s="3095">
        <v>1</v>
      </c>
      <c r="F27" s="3096" t="s">
        <v>2450</v>
      </c>
      <c r="G27" s="3096"/>
    </row>
    <row r="28" spans="1:13" ht="19.5" customHeight="1">
      <c r="A28" s="3838"/>
      <c r="B28" s="3834"/>
      <c r="C28" s="3097" t="s">
        <v>2451</v>
      </c>
      <c r="D28" s="3098"/>
      <c r="E28" s="3099">
        <v>1</v>
      </c>
      <c r="F28" s="3096" t="s">
        <v>2452</v>
      </c>
      <c r="G28" s="3096"/>
    </row>
    <row r="29" spans="1:13" ht="19.5" customHeight="1">
      <c r="A29" s="3838"/>
      <c r="B29" s="3834"/>
      <c r="C29" s="3097" t="s">
        <v>2453</v>
      </c>
      <c r="D29" s="3098"/>
      <c r="E29" s="3099">
        <v>0.8</v>
      </c>
      <c r="F29" s="3096" t="s">
        <v>2454</v>
      </c>
      <c r="G29" s="3096"/>
    </row>
    <row r="30" spans="1:13" ht="19.5" customHeight="1">
      <c r="A30" s="3838"/>
      <c r="B30" s="3834"/>
      <c r="C30" s="3097" t="s">
        <v>2455</v>
      </c>
      <c r="D30" s="3098"/>
      <c r="E30" s="3099">
        <v>0.8</v>
      </c>
      <c r="F30" s="3096" t="s">
        <v>2456</v>
      </c>
      <c r="G30" s="3096"/>
    </row>
    <row r="31" spans="1:13" ht="19.5" customHeight="1">
      <c r="A31" s="3838"/>
      <c r="B31" s="3834"/>
      <c r="C31" s="3097" t="s">
        <v>2457</v>
      </c>
      <c r="D31" s="3098"/>
      <c r="E31" s="3099">
        <v>0.8</v>
      </c>
      <c r="F31" s="3096" t="s">
        <v>2458</v>
      </c>
      <c r="G31" s="3096"/>
    </row>
    <row r="32" spans="1:13" ht="19.5" customHeight="1">
      <c r="A32" s="3838"/>
      <c r="B32" s="3834"/>
      <c r="C32" s="3097" t="s">
        <v>2459</v>
      </c>
      <c r="D32" s="3098"/>
      <c r="E32" s="3099">
        <v>0.7</v>
      </c>
      <c r="F32" s="3096" t="s">
        <v>2460</v>
      </c>
      <c r="G32" s="3096"/>
    </row>
    <row r="33" spans="1:7" ht="19.5" customHeight="1">
      <c r="A33" s="3838"/>
      <c r="B33" s="3834"/>
      <c r="C33" s="3097" t="s">
        <v>2461</v>
      </c>
      <c r="D33" s="3098"/>
      <c r="E33" s="3099">
        <v>0.8</v>
      </c>
      <c r="F33" s="3096" t="s">
        <v>2462</v>
      </c>
      <c r="G33" s="3096"/>
    </row>
    <row r="34" spans="1:7" ht="19.5" customHeight="1">
      <c r="A34" s="3838"/>
      <c r="B34" s="3834"/>
      <c r="C34" s="3097" t="s">
        <v>2463</v>
      </c>
      <c r="D34" s="3098"/>
      <c r="E34" s="3099">
        <v>0.6</v>
      </c>
      <c r="F34" s="3096" t="s">
        <v>2464</v>
      </c>
      <c r="G34" s="3096"/>
    </row>
    <row r="35" spans="1:7" ht="19.5" customHeight="1">
      <c r="A35" s="3838"/>
      <c r="B35" s="3834"/>
      <c r="C35" s="3097" t="s">
        <v>2465</v>
      </c>
      <c r="D35" s="3098"/>
      <c r="E35" s="3099">
        <v>0.2</v>
      </c>
      <c r="F35" s="3096" t="s">
        <v>2466</v>
      </c>
      <c r="G35" s="3096"/>
    </row>
    <row r="36" spans="1:7" ht="19.5" customHeight="1">
      <c r="A36" s="3838"/>
      <c r="B36" s="3834"/>
      <c r="C36" s="3097" t="s">
        <v>2467</v>
      </c>
      <c r="D36" s="3098"/>
      <c r="E36" s="3099">
        <v>0.2</v>
      </c>
      <c r="F36" s="3096" t="s">
        <v>2468</v>
      </c>
      <c r="G36" s="3096"/>
    </row>
    <row r="37" spans="1:7" ht="19.5" customHeight="1">
      <c r="A37" s="3838"/>
      <c r="B37" s="3832" t="s">
        <v>2629</v>
      </c>
      <c r="C37" s="3097" t="s">
        <v>2469</v>
      </c>
      <c r="D37" s="3098"/>
      <c r="E37" s="3099">
        <v>0.6</v>
      </c>
      <c r="F37" s="3096" t="s">
        <v>2470</v>
      </c>
      <c r="G37" s="3096"/>
    </row>
    <row r="38" spans="1:7" ht="19.5" customHeight="1">
      <c r="A38" s="3838"/>
      <c r="B38" s="3834"/>
      <c r="C38" s="3097" t="s">
        <v>2471</v>
      </c>
      <c r="D38" s="3098"/>
      <c r="E38" s="3099">
        <v>0.6</v>
      </c>
      <c r="F38" s="3096" t="s">
        <v>2472</v>
      </c>
      <c r="G38" s="3096"/>
    </row>
    <row r="39" spans="1:7" ht="19.5" customHeight="1" thickBot="1">
      <c r="A39" s="3839"/>
      <c r="B39" s="3836"/>
      <c r="C39" s="3100" t="s">
        <v>2473</v>
      </c>
      <c r="D39" s="3101"/>
      <c r="E39" s="3102">
        <v>0.6</v>
      </c>
      <c r="F39" s="3096" t="s">
        <v>2474</v>
      </c>
      <c r="G39" s="3096"/>
    </row>
    <row r="40" spans="1:7" ht="19.5" customHeight="1" thickBot="1">
      <c r="A40" s="3103" t="s">
        <v>2606</v>
      </c>
      <c r="B40" s="3104" t="s">
        <v>2606</v>
      </c>
      <c r="C40" s="3105" t="s">
        <v>2630</v>
      </c>
      <c r="D40" s="3106"/>
      <c r="E40" s="3107">
        <v>1</v>
      </c>
      <c r="F40" s="3096" t="s">
        <v>2475</v>
      </c>
      <c r="G40" s="3096"/>
    </row>
    <row r="41" spans="1:7" ht="19.5" customHeight="1">
      <c r="A41" s="3840" t="s">
        <v>2607</v>
      </c>
      <c r="B41" s="3835" t="s">
        <v>2631</v>
      </c>
      <c r="C41" s="3093" t="s">
        <v>2476</v>
      </c>
      <c r="D41" s="3094"/>
      <c r="E41" s="3095">
        <v>1</v>
      </c>
      <c r="F41" s="3096" t="s">
        <v>2477</v>
      </c>
      <c r="G41" s="3096"/>
    </row>
    <row r="42" spans="1:7" ht="19.5" customHeight="1">
      <c r="A42" s="3841"/>
      <c r="B42" s="3834"/>
      <c r="C42" s="3097" t="s">
        <v>2478</v>
      </c>
      <c r="D42" s="3098"/>
      <c r="E42" s="3099">
        <v>1</v>
      </c>
      <c r="F42" s="3096" t="s">
        <v>2479</v>
      </c>
      <c r="G42" s="3096"/>
    </row>
    <row r="43" spans="1:7" ht="19.5" customHeight="1">
      <c r="A43" s="3841"/>
      <c r="B43" s="3833"/>
      <c r="C43" s="3097" t="s">
        <v>2480</v>
      </c>
      <c r="D43" s="3098"/>
      <c r="E43" s="3099">
        <v>1.5</v>
      </c>
      <c r="F43" s="3096" t="s">
        <v>2481</v>
      </c>
      <c r="G43" s="3096"/>
    </row>
    <row r="44" spans="1:7" ht="19.5" customHeight="1">
      <c r="A44" s="3841"/>
      <c r="B44" s="3108" t="s">
        <v>2632</v>
      </c>
      <c r="C44" s="3097" t="s">
        <v>2633</v>
      </c>
      <c r="D44" s="3098"/>
      <c r="E44" s="3099">
        <v>2</v>
      </c>
      <c r="F44" s="3096" t="s">
        <v>2482</v>
      </c>
      <c r="G44" s="3096"/>
    </row>
    <row r="45" spans="1:7" ht="19.5" customHeight="1">
      <c r="A45" s="3841"/>
      <c r="B45" s="3832" t="s">
        <v>2634</v>
      </c>
      <c r="C45" s="3097" t="s">
        <v>2483</v>
      </c>
      <c r="D45" s="3098"/>
      <c r="E45" s="3099">
        <v>1</v>
      </c>
      <c r="F45" s="3096" t="s">
        <v>2484</v>
      </c>
      <c r="G45" s="3096"/>
    </row>
    <row r="46" spans="1:7" ht="19.5" customHeight="1">
      <c r="A46" s="3841"/>
      <c r="B46" s="3834"/>
      <c r="C46" s="3097" t="s">
        <v>2485</v>
      </c>
      <c r="D46" s="3098"/>
      <c r="E46" s="3099">
        <v>1</v>
      </c>
      <c r="F46" s="3096" t="s">
        <v>2486</v>
      </c>
      <c r="G46" s="3096"/>
    </row>
    <row r="47" spans="1:7" ht="19.5" customHeight="1">
      <c r="A47" s="3841"/>
      <c r="B47" s="3834"/>
      <c r="C47" s="3097" t="s">
        <v>2487</v>
      </c>
      <c r="D47" s="3098"/>
      <c r="E47" s="3099">
        <v>1</v>
      </c>
      <c r="F47" s="3096" t="s">
        <v>2488</v>
      </c>
      <c r="G47" s="3096"/>
    </row>
    <row r="48" spans="1:7" ht="19.5" customHeight="1">
      <c r="A48" s="3841"/>
      <c r="B48" s="3834"/>
      <c r="C48" s="3097" t="s">
        <v>2489</v>
      </c>
      <c r="D48" s="3098"/>
      <c r="E48" s="3099">
        <v>1</v>
      </c>
      <c r="F48" s="3096" t="s">
        <v>2490</v>
      </c>
      <c r="G48" s="3096"/>
    </row>
    <row r="49" spans="1:7" ht="19.5" customHeight="1">
      <c r="A49" s="3841"/>
      <c r="B49" s="3834"/>
      <c r="C49" s="3097" t="s">
        <v>2491</v>
      </c>
      <c r="D49" s="3098"/>
      <c r="E49" s="3099">
        <v>1</v>
      </c>
      <c r="F49" s="3096" t="s">
        <v>2492</v>
      </c>
      <c r="G49" s="3096"/>
    </row>
    <row r="50" spans="1:7" ht="19.5" customHeight="1">
      <c r="A50" s="3841"/>
      <c r="B50" s="3834"/>
      <c r="C50" s="3097" t="s">
        <v>2493</v>
      </c>
      <c r="D50" s="3098"/>
      <c r="E50" s="3099">
        <v>1</v>
      </c>
      <c r="F50" s="3096" t="s">
        <v>2494</v>
      </c>
      <c r="G50" s="3096"/>
    </row>
    <row r="51" spans="1:7" ht="19.5" customHeight="1" thickBot="1">
      <c r="A51" s="3842"/>
      <c r="B51" s="3836"/>
      <c r="C51" s="3100" t="s">
        <v>2495</v>
      </c>
      <c r="D51" s="3101"/>
      <c r="E51" s="3102">
        <v>1</v>
      </c>
      <c r="F51" s="3096" t="s">
        <v>2496</v>
      </c>
      <c r="G51" s="3096"/>
    </row>
    <row r="52" spans="1:7" ht="19.5" customHeight="1">
      <c r="A52" s="3109"/>
      <c r="B52" s="3109"/>
      <c r="C52" s="3109"/>
      <c r="D52" s="3109"/>
      <c r="E52" s="3109"/>
      <c r="F52" s="3109"/>
      <c r="G52" s="3109"/>
    </row>
    <row r="54" spans="1:7" ht="19.5" customHeight="1">
      <c r="A54" s="3110"/>
      <c r="B54" s="3082" t="s">
        <v>2635</v>
      </c>
      <c r="C54" s="3082" t="s">
        <v>2635</v>
      </c>
      <c r="D54" s="3082" t="s">
        <v>2635</v>
      </c>
      <c r="E54" s="3085" t="s">
        <v>2635</v>
      </c>
      <c r="F54" s="3085" t="s">
        <v>2636</v>
      </c>
      <c r="G54" s="3085" t="s">
        <v>2637</v>
      </c>
    </row>
    <row r="55" spans="1:7" ht="19.5" customHeight="1">
      <c r="A55" s="3111"/>
      <c r="B55" s="3085" t="s">
        <v>2604</v>
      </c>
      <c r="C55" s="3085" t="s">
        <v>2604</v>
      </c>
      <c r="D55" s="3085" t="s">
        <v>2604</v>
      </c>
      <c r="E55" s="3082" t="s">
        <v>2605</v>
      </c>
      <c r="F55" s="3082" t="s">
        <v>2607</v>
      </c>
      <c r="G55" s="3082" t="s">
        <v>2638</v>
      </c>
    </row>
    <row r="56" spans="1:7" ht="19.5" customHeight="1">
      <c r="A56" s="3112"/>
      <c r="B56" s="3082">
        <v>1</v>
      </c>
      <c r="C56" s="3082">
        <v>2</v>
      </c>
      <c r="D56" s="3082">
        <v>3</v>
      </c>
      <c r="E56" s="3113" t="s">
        <v>2639</v>
      </c>
      <c r="F56" s="3113" t="s">
        <v>2639</v>
      </c>
      <c r="G56" s="3113" t="s">
        <v>2639</v>
      </c>
    </row>
    <row r="57" spans="1:7" ht="19.5" customHeight="1">
      <c r="A57" s="3114" t="s">
        <v>2592</v>
      </c>
      <c r="B57" s="3082">
        <v>0.7</v>
      </c>
      <c r="C57" s="3082">
        <v>0.4</v>
      </c>
      <c r="D57" s="3082">
        <v>0.3</v>
      </c>
      <c r="E57" s="3113">
        <v>0.3</v>
      </c>
      <c r="F57" s="3082">
        <v>0.3</v>
      </c>
      <c r="G57" s="3082">
        <v>0.2</v>
      </c>
    </row>
    <row r="58" spans="1:7" ht="19.5" customHeight="1">
      <c r="A58" s="3114" t="s">
        <v>2593</v>
      </c>
      <c r="B58" s="3082">
        <v>0.7</v>
      </c>
      <c r="C58" s="3082">
        <v>0.4</v>
      </c>
      <c r="D58" s="3082">
        <v>0.3</v>
      </c>
      <c r="E58" s="3082">
        <v>0.3</v>
      </c>
      <c r="F58" s="3082">
        <v>0.3</v>
      </c>
      <c r="G58" s="3082">
        <v>0.2</v>
      </c>
    </row>
    <row r="59" spans="1:7" ht="19.5" customHeight="1">
      <c r="A59" s="3114" t="s">
        <v>2594</v>
      </c>
      <c r="B59" s="3082">
        <v>0.6</v>
      </c>
      <c r="C59" s="3082">
        <v>0.3</v>
      </c>
      <c r="D59" s="3082">
        <v>0.25</v>
      </c>
      <c r="E59" s="3082">
        <v>0.25</v>
      </c>
      <c r="F59" s="3082">
        <v>0.25</v>
      </c>
      <c r="G59" s="3082">
        <v>0.15</v>
      </c>
    </row>
    <row r="60" spans="1:7" ht="19.5" customHeight="1">
      <c r="A60" s="3114" t="s">
        <v>2595</v>
      </c>
      <c r="B60" s="3082">
        <v>0.6</v>
      </c>
      <c r="C60" s="3082">
        <v>0.3</v>
      </c>
      <c r="D60" s="3082">
        <v>0.25</v>
      </c>
      <c r="E60" s="3082">
        <v>0.25</v>
      </c>
      <c r="F60" s="3082">
        <v>0.25</v>
      </c>
      <c r="G60" s="3082">
        <v>0.15</v>
      </c>
    </row>
    <row r="61" spans="1:7" ht="19.5" customHeight="1">
      <c r="A61" s="3114" t="s">
        <v>2596</v>
      </c>
      <c r="B61" s="3082">
        <v>0.6</v>
      </c>
      <c r="C61" s="3082">
        <v>0.3</v>
      </c>
      <c r="D61" s="3082">
        <v>0.25</v>
      </c>
      <c r="E61" s="3082">
        <v>0.25</v>
      </c>
      <c r="F61" s="3082">
        <v>0.25</v>
      </c>
      <c r="G61" s="3082">
        <v>0.15</v>
      </c>
    </row>
    <row r="62" spans="1:7" ht="19.5" customHeight="1">
      <c r="A62" s="3114" t="s">
        <v>2597</v>
      </c>
      <c r="B62" s="3082">
        <v>0.6</v>
      </c>
      <c r="C62" s="3082">
        <v>0.3</v>
      </c>
      <c r="D62" s="3082">
        <v>0.25</v>
      </c>
      <c r="E62" s="3082">
        <v>0.25</v>
      </c>
      <c r="F62" s="3082">
        <v>0.25</v>
      </c>
      <c r="G62" s="3082">
        <v>0.15</v>
      </c>
    </row>
    <row r="63" spans="1:7" ht="19.5" customHeight="1">
      <c r="A63" s="3114" t="s">
        <v>2598</v>
      </c>
      <c r="B63" s="3082">
        <v>0.6</v>
      </c>
      <c r="C63" s="3082">
        <v>0.3</v>
      </c>
      <c r="D63" s="3082">
        <v>0.25</v>
      </c>
      <c r="E63" s="3082">
        <v>0.25</v>
      </c>
      <c r="F63" s="3082">
        <v>0.25</v>
      </c>
      <c r="G63" s="3082">
        <v>0.15</v>
      </c>
    </row>
    <row r="64" spans="1:7" ht="19.5" customHeight="1">
      <c r="A64" s="3114" t="s">
        <v>2599</v>
      </c>
      <c r="B64" s="3082">
        <v>0.5</v>
      </c>
      <c r="C64" s="3082">
        <v>0.2</v>
      </c>
      <c r="D64" s="3082">
        <v>0.2</v>
      </c>
      <c r="E64" s="3082">
        <v>0.2</v>
      </c>
      <c r="F64" s="3082">
        <v>0.2</v>
      </c>
      <c r="G64" s="3082">
        <v>0.1</v>
      </c>
    </row>
    <row r="65" spans="1:7" ht="19.5" customHeight="1">
      <c r="A65" s="3114" t="s">
        <v>2600</v>
      </c>
      <c r="B65" s="3082">
        <v>0.5</v>
      </c>
      <c r="C65" s="3082">
        <v>0.2</v>
      </c>
      <c r="D65" s="3082">
        <v>0.2</v>
      </c>
      <c r="E65" s="3082">
        <v>0.2</v>
      </c>
      <c r="F65" s="3082">
        <v>0.2</v>
      </c>
      <c r="G65" s="3082">
        <v>0.1</v>
      </c>
    </row>
    <row r="66" spans="1:7" ht="19.5" customHeight="1">
      <c r="A66" s="3114" t="s">
        <v>2601</v>
      </c>
      <c r="B66" s="3082">
        <v>0.5</v>
      </c>
      <c r="C66" s="3082">
        <v>0.2</v>
      </c>
      <c r="D66" s="3082">
        <v>0.2</v>
      </c>
      <c r="E66" s="3082">
        <v>0.2</v>
      </c>
      <c r="F66" s="3082">
        <v>0.2</v>
      </c>
      <c r="G66" s="3082">
        <v>0.1</v>
      </c>
    </row>
    <row r="67" spans="1:7" ht="19.5" customHeight="1">
      <c r="A67" s="3114" t="s">
        <v>2602</v>
      </c>
      <c r="B67" s="3082">
        <v>0.5</v>
      </c>
      <c r="C67" s="3082">
        <v>0.2</v>
      </c>
      <c r="D67" s="3082">
        <v>0.2</v>
      </c>
      <c r="E67" s="3082">
        <v>0.2</v>
      </c>
      <c r="F67" s="3082">
        <v>0.2</v>
      </c>
      <c r="G67" s="3082">
        <v>0.1</v>
      </c>
    </row>
    <row r="68" spans="1:7" ht="19.5" customHeight="1">
      <c r="A68" s="3114" t="s">
        <v>2603</v>
      </c>
      <c r="B68" s="3082">
        <v>0.5</v>
      </c>
      <c r="C68" s="3082">
        <v>0.2</v>
      </c>
      <c r="D68" s="3082">
        <v>0.2</v>
      </c>
      <c r="E68" s="3082">
        <v>0.2</v>
      </c>
      <c r="F68" s="3082">
        <v>0.2</v>
      </c>
      <c r="G68" s="3082">
        <v>0.1</v>
      </c>
    </row>
    <row r="70" spans="1:7" ht="19.5" customHeight="1">
      <c r="A70" s="3115"/>
      <c r="B70" s="3116"/>
      <c r="C70" s="3116"/>
      <c r="D70" s="3116" t="s">
        <v>2640</v>
      </c>
      <c r="E70" s="3116"/>
      <c r="F70" s="3116"/>
    </row>
    <row r="71" spans="1:7" ht="19.5" customHeight="1">
      <c r="A71" s="3108" t="s">
        <v>2641</v>
      </c>
      <c r="B71" s="3108" t="s">
        <v>2642</v>
      </c>
      <c r="C71" s="3108" t="s">
        <v>2643</v>
      </c>
      <c r="D71" s="3108" t="s">
        <v>2644</v>
      </c>
      <c r="E71" s="3108" t="s">
        <v>2645</v>
      </c>
      <c r="F71" s="3108" t="s">
        <v>2646</v>
      </c>
    </row>
    <row r="72" spans="1:7" ht="13.5">
      <c r="A72" s="3108"/>
      <c r="B72" s="3108"/>
      <c r="C72" s="3108" t="s">
        <v>2647</v>
      </c>
      <c r="D72" s="3108"/>
      <c r="E72" s="3108" t="s">
        <v>2618</v>
      </c>
      <c r="F72" s="3108" t="s">
        <v>2618</v>
      </c>
    </row>
    <row r="73" spans="1:7" ht="13.5">
      <c r="A73" s="3108">
        <v>1</v>
      </c>
      <c r="B73" s="3832" t="s">
        <v>2648</v>
      </c>
      <c r="C73" s="3082" t="s">
        <v>2649</v>
      </c>
      <c r="D73" s="3082" t="s">
        <v>2650</v>
      </c>
      <c r="E73" s="3108">
        <v>0.2</v>
      </c>
      <c r="F73" s="3108">
        <v>25</v>
      </c>
    </row>
    <row r="74" spans="1:7" ht="24">
      <c r="A74" s="3108">
        <v>2</v>
      </c>
      <c r="B74" s="3834"/>
      <c r="C74" s="3082" t="s">
        <v>2651</v>
      </c>
      <c r="D74" s="3082" t="s">
        <v>2652</v>
      </c>
      <c r="E74" s="3108">
        <v>0.2</v>
      </c>
      <c r="F74" s="3108">
        <v>25</v>
      </c>
    </row>
    <row r="75" spans="1:7" ht="24">
      <c r="A75" s="3108">
        <v>3</v>
      </c>
      <c r="B75" s="3834"/>
      <c r="C75" s="3082" t="s">
        <v>2653</v>
      </c>
      <c r="D75" s="3082" t="s">
        <v>2654</v>
      </c>
      <c r="E75" s="3108">
        <v>0.2</v>
      </c>
      <c r="F75" s="3108">
        <v>25</v>
      </c>
    </row>
    <row r="76" spans="1:7" ht="13.5">
      <c r="A76" s="3108">
        <v>4</v>
      </c>
      <c r="B76" s="3834"/>
      <c r="C76" s="3082" t="s">
        <v>2655</v>
      </c>
      <c r="D76" s="3082" t="s">
        <v>2656</v>
      </c>
      <c r="E76" s="3108">
        <v>0.15</v>
      </c>
      <c r="F76" s="3108">
        <v>20</v>
      </c>
    </row>
    <row r="77" spans="1:7" ht="24">
      <c r="A77" s="3108">
        <v>5</v>
      </c>
      <c r="B77" s="3834"/>
      <c r="C77" s="3082" t="s">
        <v>2657</v>
      </c>
      <c r="D77" s="3082" t="s">
        <v>2658</v>
      </c>
      <c r="E77" s="3108">
        <v>0.15</v>
      </c>
      <c r="F77" s="3108">
        <v>20</v>
      </c>
    </row>
    <row r="78" spans="1:7" ht="24">
      <c r="A78" s="3108">
        <v>6</v>
      </c>
      <c r="B78" s="3834"/>
      <c r="C78" s="3082" t="s">
        <v>2659</v>
      </c>
      <c r="D78" s="3082" t="s">
        <v>2660</v>
      </c>
      <c r="E78" s="3108">
        <v>0.15</v>
      </c>
      <c r="F78" s="3108">
        <v>20</v>
      </c>
    </row>
    <row r="79" spans="1:7" ht="24">
      <c r="A79" s="3108">
        <v>7</v>
      </c>
      <c r="B79" s="3834"/>
      <c r="C79" s="3082" t="s">
        <v>2661</v>
      </c>
      <c r="D79" s="3082" t="s">
        <v>2662</v>
      </c>
      <c r="E79" s="3108">
        <v>0.15</v>
      </c>
      <c r="F79" s="3108">
        <v>20</v>
      </c>
    </row>
    <row r="80" spans="1:7" ht="24">
      <c r="A80" s="3108">
        <v>8</v>
      </c>
      <c r="B80" s="3834"/>
      <c r="C80" s="3082" t="s">
        <v>2663</v>
      </c>
      <c r="D80" s="3082" t="s">
        <v>2664</v>
      </c>
      <c r="E80" s="3108">
        <v>0.1</v>
      </c>
      <c r="F80" s="3108">
        <v>15</v>
      </c>
    </row>
    <row r="81" spans="1:6" ht="24">
      <c r="A81" s="3108">
        <v>9</v>
      </c>
      <c r="B81" s="3834"/>
      <c r="C81" s="3082" t="s">
        <v>2665</v>
      </c>
      <c r="D81" s="3082" t="s">
        <v>2666</v>
      </c>
      <c r="E81" s="3108">
        <v>0.1</v>
      </c>
      <c r="F81" s="3108">
        <v>15</v>
      </c>
    </row>
    <row r="82" spans="1:6" ht="24">
      <c r="A82" s="3108">
        <v>10</v>
      </c>
      <c r="B82" s="3834"/>
      <c r="C82" s="3082" t="s">
        <v>2667</v>
      </c>
      <c r="D82" s="3082" t="s">
        <v>2668</v>
      </c>
      <c r="E82" s="3108">
        <v>0.1</v>
      </c>
      <c r="F82" s="3108">
        <v>15</v>
      </c>
    </row>
    <row r="83" spans="1:6" ht="24">
      <c r="A83" s="3108">
        <v>11</v>
      </c>
      <c r="B83" s="3834"/>
      <c r="C83" s="3082" t="s">
        <v>2669</v>
      </c>
      <c r="D83" s="3082" t="s">
        <v>2670</v>
      </c>
      <c r="E83" s="3108">
        <v>0.1</v>
      </c>
      <c r="F83" s="3108">
        <v>15</v>
      </c>
    </row>
    <row r="84" spans="1:6" ht="24">
      <c r="A84" s="3108">
        <v>12</v>
      </c>
      <c r="B84" s="3834"/>
      <c r="C84" s="3082" t="s">
        <v>2671</v>
      </c>
      <c r="D84" s="3082" t="s">
        <v>2672</v>
      </c>
      <c r="E84" s="3108">
        <v>0.1</v>
      </c>
      <c r="F84" s="3108">
        <v>15</v>
      </c>
    </row>
    <row r="85" spans="1:6" ht="13.5">
      <c r="A85" s="3108">
        <v>13</v>
      </c>
      <c r="B85" s="3834"/>
      <c r="C85" s="3082" t="s">
        <v>2673</v>
      </c>
      <c r="D85" s="3082" t="s">
        <v>2674</v>
      </c>
      <c r="E85" s="3108">
        <v>0.1</v>
      </c>
      <c r="F85" s="3108">
        <v>15</v>
      </c>
    </row>
    <row r="86" spans="1:6" ht="13.5">
      <c r="A86" s="3108">
        <v>14</v>
      </c>
      <c r="B86" s="3834"/>
      <c r="C86" s="3082" t="s">
        <v>2675</v>
      </c>
      <c r="D86" s="3082" t="s">
        <v>2676</v>
      </c>
      <c r="E86" s="3108">
        <v>0.1</v>
      </c>
      <c r="F86" s="3108">
        <v>15</v>
      </c>
    </row>
    <row r="87" spans="1:6" ht="13.5">
      <c r="A87" s="3108">
        <v>15</v>
      </c>
      <c r="B87" s="3834"/>
      <c r="C87" s="3082" t="s">
        <v>2677</v>
      </c>
      <c r="D87" s="3082" t="s">
        <v>2678</v>
      </c>
      <c r="E87" s="3108">
        <v>0.1</v>
      </c>
      <c r="F87" s="3108">
        <v>15</v>
      </c>
    </row>
    <row r="88" spans="1:6" ht="24">
      <c r="A88" s="3108">
        <v>16</v>
      </c>
      <c r="B88" s="3834"/>
      <c r="C88" s="3082" t="s">
        <v>2679</v>
      </c>
      <c r="D88" s="3082" t="s">
        <v>2680</v>
      </c>
      <c r="E88" s="3108">
        <v>0.1</v>
      </c>
      <c r="F88" s="3108">
        <v>15</v>
      </c>
    </row>
    <row r="89" spans="1:6" ht="24">
      <c r="A89" s="3108">
        <v>17</v>
      </c>
      <c r="B89" s="3833"/>
      <c r="C89" s="3082" t="s">
        <v>2681</v>
      </c>
      <c r="D89" s="3082" t="s">
        <v>2682</v>
      </c>
      <c r="E89" s="3108">
        <v>0.1</v>
      </c>
      <c r="F89" s="3108">
        <v>15</v>
      </c>
    </row>
    <row r="90" spans="1:6" ht="13.5">
      <c r="A90" s="3108">
        <v>18</v>
      </c>
      <c r="B90" s="3832" t="s">
        <v>2683</v>
      </c>
      <c r="C90" s="3082" t="s">
        <v>2684</v>
      </c>
      <c r="D90" s="3082" t="s">
        <v>2685</v>
      </c>
      <c r="E90" s="3108">
        <v>0.2</v>
      </c>
      <c r="F90" s="3108">
        <v>25</v>
      </c>
    </row>
    <row r="91" spans="1:6" ht="24">
      <c r="A91" s="3108">
        <v>19</v>
      </c>
      <c r="B91" s="3834"/>
      <c r="C91" s="3082" t="s">
        <v>2686</v>
      </c>
      <c r="D91" s="3082" t="s">
        <v>2687</v>
      </c>
      <c r="E91" s="3108">
        <v>0.2</v>
      </c>
      <c r="F91" s="3108">
        <v>25</v>
      </c>
    </row>
    <row r="92" spans="1:6" ht="13.5">
      <c r="A92" s="3108">
        <v>20</v>
      </c>
      <c r="B92" s="3834"/>
      <c r="C92" s="3082" t="s">
        <v>2688</v>
      </c>
      <c r="D92" s="3082" t="s">
        <v>2689</v>
      </c>
      <c r="E92" s="3108">
        <v>0.15</v>
      </c>
      <c r="F92" s="3108">
        <v>20</v>
      </c>
    </row>
    <row r="93" spans="1:6" ht="13.5">
      <c r="A93" s="3108">
        <v>21</v>
      </c>
      <c r="B93" s="3834"/>
      <c r="C93" s="3082" t="s">
        <v>2690</v>
      </c>
      <c r="D93" s="3082" t="s">
        <v>2691</v>
      </c>
      <c r="E93" s="3108">
        <v>0.15</v>
      </c>
      <c r="F93" s="3108">
        <v>20</v>
      </c>
    </row>
    <row r="94" spans="1:6" ht="13.5">
      <c r="A94" s="3108">
        <v>22</v>
      </c>
      <c r="B94" s="3834"/>
      <c r="C94" s="3082" t="s">
        <v>2692</v>
      </c>
      <c r="D94" s="3082" t="s">
        <v>2693</v>
      </c>
      <c r="E94" s="3108">
        <v>0.15</v>
      </c>
      <c r="F94" s="3108">
        <v>20</v>
      </c>
    </row>
    <row r="95" spans="1:6" ht="36">
      <c r="A95" s="3108">
        <v>23</v>
      </c>
      <c r="B95" s="3834"/>
      <c r="C95" s="3082" t="s">
        <v>2694</v>
      </c>
      <c r="D95" s="3082" t="s">
        <v>2695</v>
      </c>
      <c r="E95" s="3108">
        <v>0.15</v>
      </c>
      <c r="F95" s="3108">
        <v>20</v>
      </c>
    </row>
    <row r="96" spans="1:6" ht="13.5">
      <c r="A96" s="3108">
        <v>24</v>
      </c>
      <c r="B96" s="3834"/>
      <c r="C96" s="3082" t="s">
        <v>2696</v>
      </c>
      <c r="D96" s="3082" t="s">
        <v>2697</v>
      </c>
      <c r="E96" s="3108">
        <v>0.1</v>
      </c>
      <c r="F96" s="3108">
        <v>15</v>
      </c>
    </row>
    <row r="97" spans="1:6" ht="13.5">
      <c r="A97" s="3108">
        <v>25</v>
      </c>
      <c r="B97" s="3834"/>
      <c r="C97" s="3082" t="s">
        <v>2698</v>
      </c>
      <c r="D97" s="3082" t="s">
        <v>2699</v>
      </c>
      <c r="E97" s="3108">
        <v>0.1</v>
      </c>
      <c r="F97" s="3108">
        <v>15</v>
      </c>
    </row>
    <row r="98" spans="1:6" ht="24">
      <c r="A98" s="3108">
        <v>26</v>
      </c>
      <c r="B98" s="3834"/>
      <c r="C98" s="3082" t="s">
        <v>2700</v>
      </c>
      <c r="D98" s="3082" t="s">
        <v>2701</v>
      </c>
      <c r="E98" s="3108">
        <v>0.1</v>
      </c>
      <c r="F98" s="3108">
        <v>15</v>
      </c>
    </row>
    <row r="99" spans="1:6" ht="24">
      <c r="A99" s="3108">
        <v>27</v>
      </c>
      <c r="B99" s="3834"/>
      <c r="C99" s="3082" t="s">
        <v>2702</v>
      </c>
      <c r="D99" s="3082" t="s">
        <v>2703</v>
      </c>
      <c r="E99" s="3108">
        <v>0.1</v>
      </c>
      <c r="F99" s="3108">
        <v>15</v>
      </c>
    </row>
    <row r="100" spans="1:6" ht="13.5">
      <c r="A100" s="3108">
        <v>28</v>
      </c>
      <c r="B100" s="3834"/>
      <c r="C100" s="3082" t="s">
        <v>2704</v>
      </c>
      <c r="D100" s="3082" t="s">
        <v>2705</v>
      </c>
      <c r="E100" s="3108">
        <v>0.1</v>
      </c>
      <c r="F100" s="3108">
        <v>15</v>
      </c>
    </row>
    <row r="101" spans="1:6" ht="13.5">
      <c r="A101" s="3108">
        <v>29</v>
      </c>
      <c r="B101" s="3834"/>
      <c r="C101" s="3082" t="s">
        <v>2706</v>
      </c>
      <c r="D101" s="3082" t="s">
        <v>2707</v>
      </c>
      <c r="E101" s="3108">
        <v>0.1</v>
      </c>
      <c r="F101" s="3108">
        <v>15</v>
      </c>
    </row>
    <row r="102" spans="1:6" ht="13.5">
      <c r="A102" s="3108">
        <v>30</v>
      </c>
      <c r="B102" s="3834"/>
      <c r="C102" s="3082" t="s">
        <v>2708</v>
      </c>
      <c r="D102" s="3082" t="s">
        <v>2709</v>
      </c>
      <c r="E102" s="3108">
        <v>0.1</v>
      </c>
      <c r="F102" s="3108">
        <v>15</v>
      </c>
    </row>
    <row r="103" spans="1:6" ht="24">
      <c r="A103" s="3108">
        <v>31</v>
      </c>
      <c r="B103" s="3834"/>
      <c r="C103" s="3082" t="s">
        <v>2710</v>
      </c>
      <c r="D103" s="3082" t="s">
        <v>2711</v>
      </c>
      <c r="E103" s="3108">
        <v>0.1</v>
      </c>
      <c r="F103" s="3108">
        <v>15</v>
      </c>
    </row>
    <row r="104" spans="1:6" ht="24">
      <c r="A104" s="3108">
        <v>32</v>
      </c>
      <c r="B104" s="3834"/>
      <c r="C104" s="3082" t="s">
        <v>2712</v>
      </c>
      <c r="D104" s="3082" t="s">
        <v>2713</v>
      </c>
      <c r="E104" s="3108">
        <v>0.1</v>
      </c>
      <c r="F104" s="3108">
        <v>15</v>
      </c>
    </row>
    <row r="105" spans="1:6" ht="24">
      <c r="A105" s="3108">
        <v>33</v>
      </c>
      <c r="B105" s="3834"/>
      <c r="C105" s="3082" t="s">
        <v>2714</v>
      </c>
      <c r="D105" s="3082" t="s">
        <v>2715</v>
      </c>
      <c r="E105" s="3108">
        <v>0.1</v>
      </c>
      <c r="F105" s="3108">
        <v>15</v>
      </c>
    </row>
    <row r="106" spans="1:6" ht="24">
      <c r="A106" s="3108">
        <v>34</v>
      </c>
      <c r="B106" s="3833"/>
      <c r="C106" s="3082" t="s">
        <v>2716</v>
      </c>
      <c r="D106" s="3082" t="s">
        <v>2717</v>
      </c>
      <c r="E106" s="3108">
        <v>0.1</v>
      </c>
      <c r="F106" s="3108">
        <v>15</v>
      </c>
    </row>
    <row r="107" spans="1:6" ht="24">
      <c r="A107" s="3108">
        <v>35</v>
      </c>
      <c r="B107" s="3832" t="s">
        <v>2718</v>
      </c>
      <c r="C107" s="3108" t="s">
        <v>2719</v>
      </c>
      <c r="D107" s="3082" t="s">
        <v>2720</v>
      </c>
      <c r="E107" s="3108">
        <v>0.15</v>
      </c>
      <c r="F107" s="3108">
        <v>20</v>
      </c>
    </row>
    <row r="108" spans="1:6" ht="13.5">
      <c r="A108" s="3108">
        <v>36</v>
      </c>
      <c r="B108" s="3834"/>
      <c r="C108" s="3108" t="s">
        <v>2721</v>
      </c>
      <c r="D108" s="3082" t="s">
        <v>2722</v>
      </c>
      <c r="E108" s="3108">
        <v>0.15</v>
      </c>
      <c r="F108" s="3108">
        <v>20</v>
      </c>
    </row>
    <row r="109" spans="1:6" ht="13.5">
      <c r="A109" s="3108">
        <v>37</v>
      </c>
      <c r="B109" s="3834"/>
      <c r="C109" s="3108" t="s">
        <v>2723</v>
      </c>
      <c r="D109" s="3082" t="s">
        <v>2724</v>
      </c>
      <c r="E109" s="3108">
        <v>0.15</v>
      </c>
      <c r="F109" s="3108">
        <v>20</v>
      </c>
    </row>
    <row r="110" spans="1:6" ht="13.5">
      <c r="A110" s="3108">
        <v>38</v>
      </c>
      <c r="B110" s="3834"/>
      <c r="C110" s="3108" t="s">
        <v>2725</v>
      </c>
      <c r="D110" s="3082" t="s">
        <v>2726</v>
      </c>
      <c r="E110" s="3108">
        <v>0.1</v>
      </c>
      <c r="F110" s="3108">
        <v>15</v>
      </c>
    </row>
    <row r="111" spans="1:6" ht="24">
      <c r="A111" s="3108">
        <v>39</v>
      </c>
      <c r="B111" s="3834"/>
      <c r="C111" s="3108" t="s">
        <v>2727</v>
      </c>
      <c r="D111" s="3082" t="s">
        <v>2728</v>
      </c>
      <c r="E111" s="3108">
        <v>0.1</v>
      </c>
      <c r="F111" s="3108">
        <v>15</v>
      </c>
    </row>
    <row r="112" spans="1:6" ht="24">
      <c r="A112" s="3108">
        <v>40</v>
      </c>
      <c r="B112" s="3833"/>
      <c r="C112" s="3108" t="s">
        <v>2729</v>
      </c>
      <c r="D112" s="3082" t="s">
        <v>2730</v>
      </c>
      <c r="E112" s="3108">
        <v>0.1</v>
      </c>
      <c r="F112" s="3108">
        <v>15</v>
      </c>
    </row>
    <row r="113" spans="1:6" ht="13.5">
      <c r="A113" s="3108">
        <v>41</v>
      </c>
      <c r="B113" s="3831" t="s">
        <v>2731</v>
      </c>
      <c r="C113" s="3108" t="s">
        <v>2732</v>
      </c>
      <c r="D113" s="3082" t="s">
        <v>2733</v>
      </c>
      <c r="E113" s="3108">
        <v>0.1</v>
      </c>
      <c r="F113" s="3108">
        <v>15</v>
      </c>
    </row>
    <row r="114" spans="1:6" ht="13.5">
      <c r="A114" s="3108">
        <v>42</v>
      </c>
      <c r="B114" s="3831"/>
      <c r="C114" s="3108" t="s">
        <v>2734</v>
      </c>
      <c r="D114" s="3082" t="s">
        <v>2735</v>
      </c>
      <c r="E114" s="3108">
        <v>0.1</v>
      </c>
      <c r="F114" s="3108">
        <v>15</v>
      </c>
    </row>
    <row r="115" spans="1:6" ht="24">
      <c r="A115" s="3108">
        <v>43</v>
      </c>
      <c r="B115" s="3831"/>
      <c r="C115" s="3108" t="s">
        <v>2736</v>
      </c>
      <c r="D115" s="3082" t="s">
        <v>2737</v>
      </c>
      <c r="E115" s="3108">
        <v>0.1</v>
      </c>
      <c r="F115" s="3108">
        <v>15</v>
      </c>
    </row>
    <row r="116" spans="1:6" ht="13.5">
      <c r="A116" s="3108">
        <v>44</v>
      </c>
      <c r="B116" s="3832" t="s">
        <v>2738</v>
      </c>
      <c r="C116" s="3108" t="s">
        <v>2739</v>
      </c>
      <c r="D116" s="3082" t="s">
        <v>2740</v>
      </c>
      <c r="E116" s="3108">
        <v>0.1</v>
      </c>
      <c r="F116" s="3108">
        <v>15</v>
      </c>
    </row>
    <row r="117" spans="1:6" ht="24">
      <c r="A117" s="3108">
        <v>45</v>
      </c>
      <c r="B117" s="3833"/>
      <c r="C117" s="3082" t="s">
        <v>2741</v>
      </c>
      <c r="D117" s="3082" t="s">
        <v>2742</v>
      </c>
      <c r="E117" s="3108">
        <v>0.1</v>
      </c>
      <c r="F117" s="3108">
        <v>15</v>
      </c>
    </row>
    <row r="118" spans="1:6" ht="24">
      <c r="A118" s="3108">
        <v>46</v>
      </c>
      <c r="B118" s="3832" t="s">
        <v>2743</v>
      </c>
      <c r="C118" s="3108" t="s">
        <v>2744</v>
      </c>
      <c r="D118" s="3082" t="s">
        <v>2745</v>
      </c>
      <c r="E118" s="3108">
        <v>0.1</v>
      </c>
      <c r="F118" s="3108">
        <v>15</v>
      </c>
    </row>
    <row r="119" spans="1:6" ht="24">
      <c r="A119" s="3108">
        <v>47</v>
      </c>
      <c r="B119" s="3833"/>
      <c r="C119" s="3108" t="s">
        <v>2746</v>
      </c>
      <c r="D119" s="3082" t="s">
        <v>2747</v>
      </c>
      <c r="E119" s="3108">
        <v>0.1</v>
      </c>
      <c r="F119" s="3108">
        <v>15</v>
      </c>
    </row>
    <row r="120" spans="1:6" ht="13.5">
      <c r="A120" s="3108">
        <v>48</v>
      </c>
      <c r="B120" s="3832" t="s">
        <v>2748</v>
      </c>
      <c r="C120" s="3108" t="s">
        <v>2749</v>
      </c>
      <c r="D120" s="3082" t="s">
        <v>2750</v>
      </c>
      <c r="E120" s="3108">
        <v>0.1</v>
      </c>
      <c r="F120" s="3108">
        <v>15</v>
      </c>
    </row>
    <row r="121" spans="1:6" ht="13.5">
      <c r="A121" s="3108">
        <v>49</v>
      </c>
      <c r="B121" s="3833"/>
      <c r="C121" s="3108" t="s">
        <v>2751</v>
      </c>
      <c r="D121" s="3082" t="s">
        <v>2752</v>
      </c>
      <c r="E121" s="3108">
        <v>0.1</v>
      </c>
      <c r="F121" s="3108">
        <v>15</v>
      </c>
    </row>
    <row r="122" spans="1:6" ht="24">
      <c r="A122" s="3108">
        <v>50</v>
      </c>
      <c r="B122" s="3831" t="s">
        <v>2753</v>
      </c>
      <c r="C122" s="3108" t="s">
        <v>2754</v>
      </c>
      <c r="D122" s="3082" t="s">
        <v>2755</v>
      </c>
      <c r="E122" s="3108">
        <v>0.1</v>
      </c>
      <c r="F122" s="3108">
        <v>15</v>
      </c>
    </row>
    <row r="123" spans="1:6" ht="24">
      <c r="A123" s="3108">
        <v>51</v>
      </c>
      <c r="B123" s="3831"/>
      <c r="C123" s="3108" t="s">
        <v>2756</v>
      </c>
      <c r="D123" s="3082" t="s">
        <v>2757</v>
      </c>
      <c r="E123" s="3108">
        <v>0.1</v>
      </c>
      <c r="F123" s="3108">
        <v>15</v>
      </c>
    </row>
    <row r="124" spans="1:6" ht="24">
      <c r="A124" s="3108">
        <v>52</v>
      </c>
      <c r="B124" s="3831" t="s">
        <v>2758</v>
      </c>
      <c r="C124" s="3108" t="s">
        <v>2759</v>
      </c>
      <c r="D124" s="3082" t="s">
        <v>2760</v>
      </c>
      <c r="E124" s="3108">
        <v>0.1</v>
      </c>
      <c r="F124" s="3108">
        <v>15</v>
      </c>
    </row>
    <row r="125" spans="1:6" ht="24">
      <c r="A125" s="3108">
        <v>53</v>
      </c>
      <c r="B125" s="3831"/>
      <c r="C125" s="3108" t="s">
        <v>2761</v>
      </c>
      <c r="D125" s="3082" t="s">
        <v>2762</v>
      </c>
      <c r="E125" s="3108">
        <v>0.1</v>
      </c>
      <c r="F125" s="3108">
        <v>15</v>
      </c>
    </row>
    <row r="126" spans="1:6" ht="13.5">
      <c r="A126" s="3108">
        <v>54</v>
      </c>
      <c r="B126" s="3108" t="s">
        <v>2763</v>
      </c>
      <c r="C126" s="3108" t="s">
        <v>2764</v>
      </c>
      <c r="D126" s="3082" t="s">
        <v>2765</v>
      </c>
      <c r="E126" s="3108">
        <v>0.1</v>
      </c>
      <c r="F126" s="3108">
        <v>15</v>
      </c>
    </row>
    <row r="127" spans="1:6" ht="13.5">
      <c r="A127" s="3108">
        <v>55</v>
      </c>
      <c r="B127" s="3831" t="s">
        <v>2766</v>
      </c>
      <c r="C127" s="3108" t="s">
        <v>2767</v>
      </c>
      <c r="D127" s="3082" t="s">
        <v>2768</v>
      </c>
      <c r="E127" s="3108">
        <v>0.1</v>
      </c>
      <c r="F127" s="3108">
        <v>15</v>
      </c>
    </row>
    <row r="128" spans="1:6" ht="13.5">
      <c r="A128" s="3108">
        <v>56</v>
      </c>
      <c r="B128" s="3831"/>
      <c r="C128" s="3108" t="s">
        <v>2769</v>
      </c>
      <c r="D128" s="3082" t="s">
        <v>2770</v>
      </c>
      <c r="E128" s="3108">
        <v>0.1</v>
      </c>
      <c r="F128" s="3108">
        <v>15</v>
      </c>
    </row>
    <row r="129" spans="1:6" ht="24">
      <c r="A129" s="3108">
        <v>57</v>
      </c>
      <c r="B129" s="3831"/>
      <c r="C129" s="3108" t="s">
        <v>2771</v>
      </c>
      <c r="D129" s="3082" t="s">
        <v>2772</v>
      </c>
      <c r="E129" s="3108">
        <v>0.1</v>
      </c>
      <c r="F129" s="3108">
        <v>15</v>
      </c>
    </row>
    <row r="130" spans="1:6" ht="24">
      <c r="A130" s="3108">
        <v>58</v>
      </c>
      <c r="B130" s="3831" t="s">
        <v>2773</v>
      </c>
      <c r="C130" s="3108" t="s">
        <v>2774</v>
      </c>
      <c r="D130" s="3082" t="s">
        <v>2775</v>
      </c>
      <c r="E130" s="3108">
        <v>0.1</v>
      </c>
      <c r="F130" s="3108">
        <v>15</v>
      </c>
    </row>
    <row r="131" spans="1:6" ht="13.5">
      <c r="A131" s="3108">
        <v>59</v>
      </c>
      <c r="B131" s="3831"/>
      <c r="C131" s="3108" t="s">
        <v>2776</v>
      </c>
      <c r="D131" s="3082" t="s">
        <v>2777</v>
      </c>
      <c r="E131" s="3108">
        <v>0.1</v>
      </c>
      <c r="F131" s="3108">
        <v>15</v>
      </c>
    </row>
    <row r="132" spans="1:6" ht="13.5">
      <c r="A132" s="3108">
        <v>60</v>
      </c>
      <c r="B132" s="3832" t="s">
        <v>2778</v>
      </c>
      <c r="C132" s="3108" t="s">
        <v>2779</v>
      </c>
      <c r="D132" s="3082" t="s">
        <v>2780</v>
      </c>
      <c r="E132" s="3108">
        <v>0.1</v>
      </c>
      <c r="F132" s="3108">
        <v>15</v>
      </c>
    </row>
    <row r="133" spans="1:6" ht="13.5">
      <c r="A133" s="3108">
        <v>61</v>
      </c>
      <c r="B133" s="3833"/>
      <c r="C133" s="3108" t="s">
        <v>2781</v>
      </c>
      <c r="D133" s="3082" t="s">
        <v>2782</v>
      </c>
      <c r="E133" s="3108">
        <v>0.1</v>
      </c>
      <c r="F133" s="3108">
        <v>15</v>
      </c>
    </row>
    <row r="134" spans="1:6" ht="24">
      <c r="A134" s="3108">
        <v>62</v>
      </c>
      <c r="B134" s="3108" t="s">
        <v>2783</v>
      </c>
      <c r="C134" s="3108" t="s">
        <v>2784</v>
      </c>
      <c r="D134" s="3082" t="s">
        <v>2785</v>
      </c>
      <c r="E134" s="3108">
        <v>0.1</v>
      </c>
      <c r="F134" s="3108">
        <v>15</v>
      </c>
    </row>
    <row r="135" spans="1:6" ht="13.5">
      <c r="A135" s="3108">
        <v>63</v>
      </c>
      <c r="B135" s="3831" t="s">
        <v>2786</v>
      </c>
      <c r="C135" s="3108" t="s">
        <v>2787</v>
      </c>
      <c r="D135" s="3082" t="s">
        <v>2788</v>
      </c>
      <c r="E135" s="3108">
        <v>0.1</v>
      </c>
      <c r="F135" s="3108">
        <v>15</v>
      </c>
    </row>
    <row r="136" spans="1:6" ht="13.5">
      <c r="A136" s="3108">
        <v>64</v>
      </c>
      <c r="B136" s="3831"/>
      <c r="C136" s="3108" t="s">
        <v>2789</v>
      </c>
      <c r="D136" s="3082" t="s">
        <v>2790</v>
      </c>
      <c r="E136" s="3108">
        <v>0.1</v>
      </c>
      <c r="F136" s="3108">
        <v>15</v>
      </c>
    </row>
    <row r="137" spans="1:6" ht="13.5">
      <c r="A137" s="3108">
        <v>65</v>
      </c>
      <c r="B137" s="3108" t="s">
        <v>2791</v>
      </c>
      <c r="C137" s="3108" t="s">
        <v>2792</v>
      </c>
      <c r="D137" s="3082" t="s">
        <v>2793</v>
      </c>
      <c r="E137" s="3108">
        <v>0.1</v>
      </c>
      <c r="F137" s="3108">
        <v>15</v>
      </c>
    </row>
    <row r="138" spans="1:6" ht="13.5">
      <c r="A138" s="3108"/>
      <c r="B138" s="3108"/>
      <c r="C138" s="3108"/>
      <c r="D138" s="3108"/>
      <c r="E138" s="3108" t="s">
        <v>2794</v>
      </c>
      <c r="F138" s="3108"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6"/>
  </cols>
  <sheetData>
    <row r="1" spans="1:20" ht="15" thickBot="1">
      <c r="A1" s="3117" t="s">
        <v>2795</v>
      </c>
      <c r="B1" s="3117"/>
      <c r="C1" s="3117"/>
      <c r="D1" s="3117"/>
      <c r="E1" s="3117"/>
      <c r="F1" s="3117"/>
      <c r="G1" s="3117"/>
      <c r="H1" s="3117"/>
      <c r="I1" s="3117"/>
      <c r="J1" s="3117"/>
      <c r="K1" s="3117"/>
      <c r="L1" s="3117"/>
      <c r="M1" s="3117"/>
      <c r="N1" s="745"/>
    </row>
    <row r="2" spans="1:20">
      <c r="A2" s="3118" t="s">
        <v>2796</v>
      </c>
      <c r="B2" s="3119" t="s">
        <v>2592</v>
      </c>
      <c r="C2" s="3119" t="s">
        <v>2593</v>
      </c>
      <c r="D2" s="3119" t="s">
        <v>2594</v>
      </c>
      <c r="E2" s="3119" t="s">
        <v>2595</v>
      </c>
      <c r="F2" s="3119" t="s">
        <v>2596</v>
      </c>
      <c r="G2" s="3119" t="s">
        <v>2597</v>
      </c>
      <c r="H2" s="3120" t="s">
        <v>2598</v>
      </c>
      <c r="I2" s="3120" t="s">
        <v>2599</v>
      </c>
      <c r="J2" s="3121" t="s">
        <v>2600</v>
      </c>
      <c r="K2" s="3121" t="s">
        <v>2601</v>
      </c>
      <c r="L2" s="3121" t="s">
        <v>2602</v>
      </c>
      <c r="M2" s="3122" t="s">
        <v>2603</v>
      </c>
      <c r="Q2" s="3132" t="s">
        <v>2801</v>
      </c>
      <c r="R2" s="3132" t="s">
        <v>2802</v>
      </c>
      <c r="S2" s="3132" t="s">
        <v>2803</v>
      </c>
      <c r="T2" s="3132" t="s">
        <v>2804</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7"/>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7"/>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7"/>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2797</v>
      </c>
      <c r="B93" s="3117"/>
      <c r="C93" s="3117"/>
      <c r="D93" s="3117"/>
      <c r="E93" s="3117"/>
      <c r="F93" s="3117"/>
      <c r="G93" s="3117"/>
      <c r="H93" s="3117"/>
      <c r="I93" s="3117"/>
      <c r="J93" s="3117"/>
      <c r="K93" s="3117"/>
      <c r="L93" s="3117"/>
      <c r="M93" s="3117"/>
    </row>
    <row r="94" spans="1:20">
      <c r="A94" s="3118" t="s">
        <v>2796</v>
      </c>
      <c r="B94" s="3119" t="s">
        <v>2592</v>
      </c>
      <c r="C94" s="3119" t="s">
        <v>2593</v>
      </c>
      <c r="D94" s="3119" t="s">
        <v>2594</v>
      </c>
      <c r="E94" s="3119" t="s">
        <v>2595</v>
      </c>
      <c r="F94" s="3119" t="s">
        <v>2596</v>
      </c>
      <c r="G94" s="3119" t="s">
        <v>2597</v>
      </c>
      <c r="H94" s="3120" t="s">
        <v>2598</v>
      </c>
      <c r="I94" s="3120" t="s">
        <v>2599</v>
      </c>
      <c r="J94" s="3121" t="s">
        <v>2600</v>
      </c>
      <c r="K94" s="3121" t="s">
        <v>2601</v>
      </c>
      <c r="L94" s="3121" t="s">
        <v>2602</v>
      </c>
      <c r="M94" s="3122" t="s">
        <v>2603</v>
      </c>
      <c r="N94" s="746">
        <f>SUMPRODUCT((A95:A184=ROUNDDOWN(基准地价修正!G3,1))*(B94:M94=基准地价修正!G2)*(B95:M184))</f>
        <v>0.95369999999999999</v>
      </c>
      <c r="Q94" s="3132" t="s">
        <v>2801</v>
      </c>
      <c r="R94" s="3132" t="s">
        <v>2802</v>
      </c>
      <c r="S94" s="3132" t="s">
        <v>2803</v>
      </c>
      <c r="T94" s="3132" t="s">
        <v>2804</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5"/>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5"/>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2798</v>
      </c>
      <c r="B185" s="3117"/>
      <c r="C185" s="3117"/>
      <c r="D185" s="3117"/>
      <c r="E185" s="3117"/>
      <c r="F185" s="3117"/>
      <c r="G185" s="3117"/>
      <c r="H185" s="3117"/>
      <c r="I185" s="3117"/>
      <c r="J185" s="3117"/>
      <c r="K185" s="3117"/>
      <c r="L185" s="3117"/>
      <c r="M185" s="3117"/>
    </row>
    <row r="186" spans="1:20">
      <c r="A186" s="3118" t="s">
        <v>2796</v>
      </c>
      <c r="B186" s="3119" t="s">
        <v>2592</v>
      </c>
      <c r="C186" s="3119" t="s">
        <v>2593</v>
      </c>
      <c r="D186" s="3119" t="s">
        <v>2594</v>
      </c>
      <c r="E186" s="3119" t="s">
        <v>2595</v>
      </c>
      <c r="F186" s="3119" t="s">
        <v>2596</v>
      </c>
      <c r="G186" s="3119" t="s">
        <v>2597</v>
      </c>
      <c r="H186" s="3120" t="s">
        <v>2598</v>
      </c>
      <c r="I186" s="3120" t="s">
        <v>2599</v>
      </c>
      <c r="J186" s="3121" t="s">
        <v>2600</v>
      </c>
      <c r="K186" s="3121" t="s">
        <v>2601</v>
      </c>
      <c r="L186" s="3121" t="s">
        <v>2602</v>
      </c>
      <c r="M186" s="3122" t="s">
        <v>2603</v>
      </c>
      <c r="Q186" s="3132" t="s">
        <v>2801</v>
      </c>
      <c r="R186" s="3132" t="s">
        <v>2802</v>
      </c>
      <c r="S186" s="3132" t="s">
        <v>2803</v>
      </c>
      <c r="T186" s="3132" t="s">
        <v>2804</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2799</v>
      </c>
      <c r="B277" s="3117"/>
      <c r="C277" s="3117"/>
      <c r="D277" s="3117"/>
      <c r="E277" s="3117"/>
      <c r="F277" s="3117"/>
      <c r="G277" s="3117"/>
      <c r="H277" s="3117"/>
      <c r="I277" s="3117"/>
      <c r="J277" s="3117"/>
      <c r="K277" s="3117"/>
      <c r="L277" s="3117"/>
      <c r="M277" s="3117"/>
    </row>
    <row r="278" spans="1:21">
      <c r="A278" s="3118" t="s">
        <v>2796</v>
      </c>
      <c r="B278" s="3119" t="s">
        <v>2592</v>
      </c>
      <c r="C278" s="3119" t="s">
        <v>2593</v>
      </c>
      <c r="D278" s="3119" t="s">
        <v>2594</v>
      </c>
      <c r="E278" s="3119" t="s">
        <v>2595</v>
      </c>
      <c r="F278" s="3119" t="s">
        <v>2596</v>
      </c>
      <c r="G278" s="3119" t="s">
        <v>2597</v>
      </c>
      <c r="H278" s="3120" t="s">
        <v>2598</v>
      </c>
      <c r="I278" s="3120" t="s">
        <v>2599</v>
      </c>
      <c r="J278" s="3121" t="s">
        <v>2600</v>
      </c>
      <c r="K278" s="3121" t="s">
        <v>2601</v>
      </c>
      <c r="L278" s="3121" t="s">
        <v>2602</v>
      </c>
      <c r="M278" s="3122" t="s">
        <v>2603</v>
      </c>
      <c r="Q278" s="3132" t="s">
        <v>2801</v>
      </c>
      <c r="R278" s="3132" t="s">
        <v>2802</v>
      </c>
      <c r="S278" s="3132" t="s">
        <v>2805</v>
      </c>
      <c r="T278" s="3132" t="s">
        <v>2806</v>
      </c>
      <c r="U278" s="3132" t="s">
        <v>2804</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2800</v>
      </c>
      <c r="B369" s="3130"/>
      <c r="C369" s="3130"/>
      <c r="D369" s="3130"/>
      <c r="E369" s="3130"/>
      <c r="F369" s="3130"/>
      <c r="G369" s="3130"/>
      <c r="H369" s="3130"/>
      <c r="I369" s="3130"/>
      <c r="J369" s="3130"/>
      <c r="K369" s="3130"/>
      <c r="L369" s="3130"/>
      <c r="M369" s="3130"/>
    </row>
    <row r="370" spans="1:20">
      <c r="A370" s="3118" t="s">
        <v>2796</v>
      </c>
      <c r="B370" s="3119" t="s">
        <v>2592</v>
      </c>
      <c r="C370" s="3119" t="s">
        <v>2593</v>
      </c>
      <c r="D370" s="3119" t="s">
        <v>2594</v>
      </c>
      <c r="E370" s="3119" t="s">
        <v>2595</v>
      </c>
      <c r="F370" s="3119" t="s">
        <v>2596</v>
      </c>
      <c r="G370" s="3119" t="s">
        <v>2597</v>
      </c>
      <c r="H370" s="3120" t="s">
        <v>2598</v>
      </c>
      <c r="I370" s="3120" t="s">
        <v>2599</v>
      </c>
      <c r="J370" s="3121" t="s">
        <v>2600</v>
      </c>
      <c r="K370" s="3121" t="s">
        <v>2601</v>
      </c>
      <c r="L370" s="3121" t="s">
        <v>2602</v>
      </c>
      <c r="M370" s="3122" t="s">
        <v>2603</v>
      </c>
      <c r="N370" s="746">
        <f>SUMPRODUCT((A371:A460=ROUNDDOWN(基准地价修正!G3,1))*(B370:M370=基准地价修正!G2)*(B371:M460))</f>
        <v>0.86819999999999997</v>
      </c>
      <c r="Q370" s="3132" t="s">
        <v>2801</v>
      </c>
      <c r="R370" s="3132" t="s">
        <v>2802</v>
      </c>
      <c r="S370" s="3132" t="s">
        <v>2803</v>
      </c>
      <c r="T370" s="3132" t="s">
        <v>2804</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56</v>
      </c>
      <c r="B1" s="193"/>
      <c r="C1" s="194"/>
      <c r="D1" s="194"/>
      <c r="E1" s="194"/>
      <c r="F1" s="194"/>
      <c r="G1" s="195"/>
    </row>
    <row r="2" spans="1:7" s="196" customFormat="1" ht="18" customHeight="1">
      <c r="A2" s="197" t="s">
        <v>57</v>
      </c>
      <c r="B2" s="198">
        <f ca="1">C52</f>
        <v>164277</v>
      </c>
      <c r="C2" s="2" t="s">
        <v>106</v>
      </c>
      <c r="D2" s="195"/>
      <c r="E2" s="195"/>
      <c r="F2" s="195"/>
      <c r="G2" s="195"/>
    </row>
    <row r="3" spans="1:7" s="196" customFormat="1" ht="18" customHeight="1" thickBot="1">
      <c r="A3" s="199" t="s">
        <v>58</v>
      </c>
      <c r="B3" s="200">
        <f ca="1">ROUND(B2*10000/'数据-汇总表'!E3,0)</f>
        <v>15934</v>
      </c>
      <c r="C3" s="2" t="s">
        <v>107</v>
      </c>
      <c r="D3" s="195"/>
      <c r="E3" s="195"/>
      <c r="F3" s="195"/>
      <c r="G3" s="195"/>
    </row>
    <row r="4" spans="1:7" s="204" customFormat="1" ht="15.75">
      <c r="A4" s="201" t="s">
        <v>59</v>
      </c>
      <c r="B4" s="202"/>
      <c r="C4" s="202"/>
      <c r="D4" s="202"/>
      <c r="E4" s="202"/>
      <c r="F4" s="202"/>
      <c r="G4" s="203"/>
    </row>
    <row r="5" spans="1:7" s="210" customFormat="1" ht="13.5" customHeight="1">
      <c r="A5" s="251" t="s">
        <v>416</v>
      </c>
      <c r="B5" s="206" t="s">
        <v>60</v>
      </c>
      <c r="C5" s="207">
        <f>C6+C7+C8</f>
        <v>20610</v>
      </c>
      <c r="D5" s="207" t="s">
        <v>61</v>
      </c>
      <c r="E5" s="208" t="s">
        <v>62</v>
      </c>
      <c r="F5" s="208" t="s">
        <v>63</v>
      </c>
      <c r="G5" s="209"/>
    </row>
    <row r="6" spans="1:7" s="210" customFormat="1" ht="13.5" customHeight="1">
      <c r="A6" s="774" t="s">
        <v>346</v>
      </c>
      <c r="B6" s="211" t="s">
        <v>64</v>
      </c>
      <c r="C6" s="212">
        <v>20000</v>
      </c>
      <c r="D6" s="213"/>
      <c r="E6" s="214"/>
      <c r="F6" s="214"/>
      <c r="G6" s="215"/>
    </row>
    <row r="7" spans="1:7" s="210" customFormat="1" ht="13.5" customHeight="1">
      <c r="A7" s="774" t="s">
        <v>347</v>
      </c>
      <c r="B7" s="211" t="s">
        <v>30</v>
      </c>
      <c r="C7" s="216">
        <f>ROUND(C6*F7,0)</f>
        <v>610</v>
      </c>
      <c r="D7" s="216"/>
      <c r="E7" s="214"/>
      <c r="F7" s="217">
        <f>'数据-取费表'!B48+'数据-取费表'!B49</f>
        <v>3.0499999999999999E-2</v>
      </c>
      <c r="G7" s="215"/>
    </row>
    <row r="8" spans="1:7" s="219" customFormat="1">
      <c r="A8" s="774" t="s">
        <v>348</v>
      </c>
      <c r="B8" s="211" t="s">
        <v>65</v>
      </c>
      <c r="C8" s="216" t="str">
        <f>IF(G8="已包含在土地购买价格中","0",'数据-取费表'!B29)</f>
        <v>0</v>
      </c>
      <c r="D8" s="218"/>
      <c r="E8" s="216"/>
      <c r="F8" s="217"/>
      <c r="G8" s="1" t="s">
        <v>451</v>
      </c>
    </row>
    <row r="9" spans="1:7" s="210" customFormat="1" ht="13.5" customHeight="1">
      <c r="A9" s="775" t="s">
        <v>355</v>
      </c>
      <c r="B9" s="220" t="s">
        <v>66</v>
      </c>
      <c r="C9" s="221">
        <f>ROUND(D9*E9/10000,0)</f>
        <v>0</v>
      </c>
      <c r="D9" s="841">
        <f>'数据-汇总表'!E5</f>
        <v>0</v>
      </c>
      <c r="E9" s="221">
        <f>'数据-取费表'!B27</f>
        <v>160</v>
      </c>
      <c r="F9" s="217"/>
      <c r="G9" s="222"/>
    </row>
    <row r="10" spans="1:7" s="210" customFormat="1" ht="13.5" customHeight="1">
      <c r="A10" s="775" t="s">
        <v>356</v>
      </c>
      <c r="B10" s="220" t="s">
        <v>67</v>
      </c>
      <c r="C10" s="221">
        <f>ROUND(D10*E10/10000,0)</f>
        <v>2062</v>
      </c>
      <c r="D10" s="841">
        <f>'数据-汇总表'!E6</f>
        <v>103096.20000000001</v>
      </c>
      <c r="E10" s="221">
        <f>'数据-取费表'!B28</f>
        <v>200</v>
      </c>
      <c r="F10" s="217"/>
      <c r="G10" s="222"/>
    </row>
    <row r="11" spans="1:7" s="210" customFormat="1" ht="13.5" hidden="1" customHeight="1">
      <c r="A11" s="223" t="s">
        <v>4</v>
      </c>
      <c r="B11" s="211" t="s">
        <v>68</v>
      </c>
      <c r="C11" s="207"/>
      <c r="D11" s="843"/>
      <c r="E11" s="214"/>
      <c r="F11" s="214"/>
      <c r="G11" s="215"/>
    </row>
    <row r="12" spans="1:7" s="210" customFormat="1" ht="13.5" hidden="1" customHeight="1">
      <c r="A12" s="223" t="s">
        <v>5</v>
      </c>
      <c r="B12" s="211" t="s">
        <v>69</v>
      </c>
      <c r="C12" s="207">
        <v>0</v>
      </c>
      <c r="D12" s="843"/>
      <c r="E12" s="224"/>
      <c r="F12" s="217">
        <v>3.0499999999999999E-2</v>
      </c>
      <c r="G12" s="215"/>
    </row>
    <row r="13" spans="1:7" s="210" customFormat="1" ht="13.5" hidden="1" customHeight="1">
      <c r="A13" s="223" t="s">
        <v>6</v>
      </c>
      <c r="B13" s="211" t="s">
        <v>70</v>
      </c>
      <c r="C13" s="207"/>
      <c r="D13" s="843"/>
      <c r="E13" s="214"/>
      <c r="F13" s="214"/>
      <c r="G13" s="215"/>
    </row>
    <row r="14" spans="1:7" s="210" customFormat="1" ht="13.5" hidden="1" customHeight="1">
      <c r="A14" s="223" t="s">
        <v>7</v>
      </c>
      <c r="B14" s="211" t="s">
        <v>65</v>
      </c>
      <c r="C14" s="207"/>
      <c r="D14" s="843"/>
      <c r="E14" s="214"/>
      <c r="F14" s="214"/>
      <c r="G14" s="215" t="s">
        <v>71</v>
      </c>
    </row>
    <row r="15" spans="1:7" s="210" customFormat="1" ht="13.5" hidden="1" customHeight="1">
      <c r="A15" s="223" t="s">
        <v>8</v>
      </c>
      <c r="B15" s="211" t="s">
        <v>72</v>
      </c>
      <c r="C15" s="216"/>
      <c r="D15" s="843"/>
      <c r="E15" s="214"/>
      <c r="F15" s="214"/>
      <c r="G15" s="215" t="s">
        <v>73</v>
      </c>
    </row>
    <row r="16" spans="1:7" s="210" customFormat="1" ht="13.5" hidden="1" customHeight="1">
      <c r="A16" s="223" t="s">
        <v>9</v>
      </c>
      <c r="B16" s="211" t="s">
        <v>65</v>
      </c>
      <c r="C16" s="216"/>
      <c r="D16" s="843"/>
      <c r="E16" s="214"/>
      <c r="F16" s="214"/>
      <c r="G16" s="215"/>
    </row>
    <row r="17" spans="1:7" s="210" customFormat="1" ht="13.5" hidden="1" customHeight="1">
      <c r="A17" s="223" t="s">
        <v>10</v>
      </c>
      <c r="B17" s="211" t="s">
        <v>74</v>
      </c>
      <c r="C17" s="225"/>
      <c r="D17" s="844"/>
      <c r="E17" s="225"/>
      <c r="F17" s="225"/>
      <c r="G17" s="215" t="s">
        <v>73</v>
      </c>
    </row>
    <row r="18" spans="1:7" s="210" customFormat="1" ht="13.5" hidden="1" customHeight="1">
      <c r="A18" s="223" t="s">
        <v>11</v>
      </c>
      <c r="B18" s="211" t="s">
        <v>75</v>
      </c>
      <c r="C18" s="216">
        <v>0</v>
      </c>
      <c r="D18" s="843"/>
      <c r="E18" s="214"/>
      <c r="F18" s="217">
        <v>3.0499999999999999E-2</v>
      </c>
      <c r="G18" s="215" t="s">
        <v>76</v>
      </c>
    </row>
    <row r="19" spans="1:7" s="219" customFormat="1" ht="13.5" customHeight="1">
      <c r="A19" s="773" t="s">
        <v>417</v>
      </c>
      <c r="B19" s="206" t="s">
        <v>84</v>
      </c>
      <c r="C19" s="207">
        <f>IF(G19="已包含在土地取得成本中","0",ROUND(D19*E19/10000,0))</f>
        <v>2062</v>
      </c>
      <c r="D19" s="845">
        <f>'数据-汇总表'!E3</f>
        <v>103096.20000000001</v>
      </c>
      <c r="E19" s="207">
        <f>'数据-取费表'!B31</f>
        <v>200</v>
      </c>
      <c r="F19" s="227"/>
      <c r="G19" s="1" t="s">
        <v>436</v>
      </c>
    </row>
    <row r="20" spans="1:7" s="210" customFormat="1" ht="13.5" customHeight="1">
      <c r="A20" s="773" t="s">
        <v>419</v>
      </c>
      <c r="B20" s="206" t="s">
        <v>77</v>
      </c>
      <c r="C20" s="228">
        <f>ROUND((C5+C19)*F20,0)</f>
        <v>680</v>
      </c>
      <c r="D20" s="228"/>
      <c r="E20" s="228"/>
      <c r="F20" s="229">
        <f>'数据-取费表'!B37</f>
        <v>0.03</v>
      </c>
      <c r="G20" s="1063" t="s">
        <v>430</v>
      </c>
    </row>
    <row r="21" spans="1:7" s="210" customFormat="1" ht="13.5" customHeight="1">
      <c r="A21" s="773" t="s">
        <v>421</v>
      </c>
      <c r="B21" s="206" t="s">
        <v>78</v>
      </c>
      <c r="C21" s="231">
        <f>F21</f>
        <v>2.5000000000000001E-2</v>
      </c>
      <c r="D21" s="232" t="s">
        <v>99</v>
      </c>
      <c r="E21" s="228"/>
      <c r="F21" s="229">
        <f>'数据-取费表'!B38</f>
        <v>2.5000000000000001E-2</v>
      </c>
      <c r="G21" s="230" t="s">
        <v>79</v>
      </c>
    </row>
    <row r="22" spans="1:7" s="210" customFormat="1" ht="13.5" customHeight="1">
      <c r="A22" s="773" t="s">
        <v>341</v>
      </c>
      <c r="B22" s="206" t="s">
        <v>80</v>
      </c>
      <c r="C22" s="1100">
        <f ca="1">ROUND(SUM(C23:C25),0)</f>
        <v>2985</v>
      </c>
      <c r="D22" s="231">
        <f ca="1">C26</f>
        <v>1.6000000000000001E-3</v>
      </c>
      <c r="E22" s="232" t="s">
        <v>99</v>
      </c>
      <c r="F22" s="233">
        <f ca="1">'数据-取费表'!B40</f>
        <v>4.1499999999999995E-2</v>
      </c>
      <c r="G22" s="1063" t="str">
        <f>IF('数据-取费表'!B22&lt;=1,"单利计息","复利计息")</f>
        <v>复利计息</v>
      </c>
    </row>
    <row r="23" spans="1:7" s="210" customFormat="1" ht="13.5" customHeight="1">
      <c r="A23" s="776" t="s">
        <v>349</v>
      </c>
      <c r="B23" s="211" t="s">
        <v>423</v>
      </c>
      <c r="C23" s="1101">
        <f ca="1">ROUND(IF('数据-取费表'!B22&lt;=1,C5*F22*'数据-取费表'!B23,C5*(POWER((1+F22),'数据-取费表'!B23)-1)),0)</f>
        <v>2674</v>
      </c>
      <c r="D23" s="234"/>
      <c r="E23" s="234"/>
      <c r="F23" s="235"/>
      <c r="G23" s="236" t="s">
        <v>81</v>
      </c>
    </row>
    <row r="24" spans="1:7" s="210" customFormat="1" ht="13.5" customHeight="1">
      <c r="A24" s="776" t="s">
        <v>347</v>
      </c>
      <c r="B24" s="211" t="s">
        <v>418</v>
      </c>
      <c r="C24" s="1101">
        <f ca="1">ROUND(IF('数据-取费表'!B22&lt;=1,C19*F22*('数据-取费表'!B19/2+'数据-取费表'!B21),C19*(POWER((1+F22),('数据-取费表'!B19/2+'数据-取费表'!B21))-1)),0)</f>
        <v>268</v>
      </c>
      <c r="D24" s="234"/>
      <c r="E24" s="234"/>
      <c r="F24" s="235"/>
      <c r="G24" s="236" t="s">
        <v>82</v>
      </c>
    </row>
    <row r="25" spans="1:7" s="210" customFormat="1" ht="24">
      <c r="A25" s="776" t="s">
        <v>348</v>
      </c>
      <c r="B25" s="211" t="s">
        <v>420</v>
      </c>
      <c r="C25" s="1101">
        <f ca="1">ROUND(IF('数据-取费表'!B22&lt;=1,C20*F22*'数据-取费表'!B23/2,C20*(POWER((1+F22),'数据-取费表'!B23/2)-1)),0)</f>
        <v>43</v>
      </c>
      <c r="D25" s="234"/>
      <c r="E25" s="237"/>
      <c r="F25" s="235"/>
      <c r="G25" s="238" t="s">
        <v>83</v>
      </c>
    </row>
    <row r="26" spans="1:7" s="210" customFormat="1">
      <c r="A26" s="776" t="s">
        <v>350</v>
      </c>
      <c r="B26" s="211" t="s">
        <v>422</v>
      </c>
      <c r="C26" s="234">
        <f ca="1">ROUND(IF('数据-取费表'!B22&lt;=1,F21*F22*'数据-取费表'!B23/2,F21*(POWER((1+F22),'数据-取费表'!B23/2)-1)),4)</f>
        <v>1.6000000000000001E-3</v>
      </c>
      <c r="D26" s="234"/>
      <c r="E26" s="237"/>
      <c r="F26" s="235"/>
      <c r="G26" s="239"/>
    </row>
    <row r="27" spans="1:7" s="210" customFormat="1" ht="24.75">
      <c r="A27" s="773" t="s">
        <v>342</v>
      </c>
      <c r="B27" s="240" t="s">
        <v>85</v>
      </c>
      <c r="C27" s="241">
        <f>C28</f>
        <v>4904</v>
      </c>
      <c r="D27" s="231">
        <f>C29</f>
        <v>5.3E-3</v>
      </c>
      <c r="E27" s="232" t="s">
        <v>99</v>
      </c>
      <c r="F27" s="242">
        <f>'数据-取费表'!Q16</f>
        <v>0.21</v>
      </c>
      <c r="G27" s="243" t="s">
        <v>431</v>
      </c>
    </row>
    <row r="28" spans="1:7" s="210" customFormat="1" ht="13.5" customHeight="1">
      <c r="A28" s="776" t="s">
        <v>349</v>
      </c>
      <c r="B28" s="244" t="s">
        <v>424</v>
      </c>
      <c r="C28" s="245">
        <f>ROUND((C5+C19+C20)*F27*'数据-取费表'!B21/'数据-取费表'!B20,0)</f>
        <v>4904</v>
      </c>
      <c r="D28" s="231"/>
      <c r="E28" s="232"/>
      <c r="F28" s="242"/>
      <c r="G28" s="243"/>
    </row>
    <row r="29" spans="1:7" s="210" customFormat="1" ht="13.5" customHeight="1">
      <c r="A29" s="776" t="s">
        <v>347</v>
      </c>
      <c r="B29" s="244" t="s">
        <v>425</v>
      </c>
      <c r="C29" s="234">
        <f>ROUND(C21*F27*'数据-取费表'!B21/'数据-取费表'!B20,4)</f>
        <v>5.3E-3</v>
      </c>
      <c r="D29" s="231"/>
      <c r="E29" s="232"/>
      <c r="F29" s="242"/>
      <c r="G29" s="243"/>
    </row>
    <row r="30" spans="1:7" s="210" customFormat="1" ht="13.5" customHeight="1">
      <c r="A30" s="773" t="s">
        <v>343</v>
      </c>
      <c r="B30" s="206" t="s">
        <v>31</v>
      </c>
      <c r="C30" s="231">
        <f>F30</f>
        <v>5.6000000000000001E-2</v>
      </c>
      <c r="D30" s="232" t="s">
        <v>100</v>
      </c>
      <c r="E30" s="237"/>
      <c r="F30" s="233">
        <f>'数据-取费表'!B41</f>
        <v>5.6000000000000001E-2</v>
      </c>
      <c r="G30" s="230" t="s">
        <v>86</v>
      </c>
    </row>
    <row r="31" spans="1:7" ht="16.5" customHeight="1">
      <c r="A31" s="205">
        <v>1</v>
      </c>
      <c r="B31" s="206" t="s">
        <v>101</v>
      </c>
      <c r="C31" s="207">
        <f ca="1">ROUND((C5+C19+C20+C22+C27)/(1-C21-D22-D27-C30/(1+'数据-取费表'!B42)),0)</f>
        <v>34152</v>
      </c>
      <c r="D31" s="226"/>
      <c r="E31" s="207"/>
      <c r="F31" s="246"/>
      <c r="G31" s="230" t="s">
        <v>432</v>
      </c>
    </row>
    <row r="32" spans="1:7" s="204" customFormat="1" ht="15.75">
      <c r="A32" s="248" t="s">
        <v>87</v>
      </c>
      <c r="B32" s="249"/>
      <c r="C32" s="249"/>
      <c r="D32" s="249"/>
      <c r="E32" s="249"/>
      <c r="F32" s="249"/>
      <c r="G32" s="250"/>
    </row>
    <row r="33" spans="1:7" s="210" customFormat="1" ht="13.5" customHeight="1">
      <c r="A33" s="251" t="s">
        <v>337</v>
      </c>
      <c r="B33" s="206" t="s">
        <v>88</v>
      </c>
      <c r="C33" s="252">
        <f>SUM(C34:C38)</f>
        <v>100880</v>
      </c>
      <c r="D33" s="228"/>
      <c r="E33" s="208"/>
      <c r="F33" s="237"/>
      <c r="G33" s="230"/>
    </row>
    <row r="34" spans="1:7" s="254" customFormat="1" ht="13.5" customHeight="1">
      <c r="A34" s="776" t="s">
        <v>349</v>
      </c>
      <c r="B34" s="211" t="s">
        <v>32</v>
      </c>
      <c r="C34" s="216">
        <f>IF(F34=100%,'数据-取费表'!M16-SUMIF('数据-取费表'!C:C,"公共配套",'数据-取费表'!M:M),'数据-取费表'!O16-SUMIF('数据-取费表'!C:C,"公共配套",'数据-取费表'!O:O))</f>
        <v>92787</v>
      </c>
      <c r="D34" s="213"/>
      <c r="E34" s="216"/>
      <c r="F34" s="253">
        <f>IF('数据-取费表'!B24=0,1,'数据-取费表'!N16)</f>
        <v>1</v>
      </c>
      <c r="G34" s="215" t="s">
        <v>89</v>
      </c>
    </row>
    <row r="35" spans="1:7" ht="13.5" customHeight="1">
      <c r="A35" s="776" t="s">
        <v>351</v>
      </c>
      <c r="B35" s="211" t="s">
        <v>33</v>
      </c>
      <c r="C35" s="216">
        <f>ROUND(C34*F35,0)</f>
        <v>4639</v>
      </c>
      <c r="D35" s="216"/>
      <c r="E35" s="216"/>
      <c r="F35" s="255">
        <f>'数据-取费表'!B33</f>
        <v>0.05</v>
      </c>
      <c r="G35" s="215" t="s">
        <v>90</v>
      </c>
    </row>
    <row r="36" spans="1:7" ht="24">
      <c r="A36" s="776" t="s">
        <v>352</v>
      </c>
      <c r="B36" s="211" t="s">
        <v>34</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35</v>
      </c>
    </row>
    <row r="37" spans="1:7" s="254" customFormat="1" ht="13.5" customHeight="1">
      <c r="A37" s="776" t="s">
        <v>353</v>
      </c>
      <c r="B37" s="211" t="s">
        <v>91</v>
      </c>
      <c r="C37" s="245">
        <f>ROUND(E37*D37*F34/10000,0)</f>
        <v>2062</v>
      </c>
      <c r="D37" s="213">
        <f>'数据-汇总表'!E3</f>
        <v>103096.20000000001</v>
      </c>
      <c r="E37" s="245">
        <f>'数据-取费表'!B35</f>
        <v>200</v>
      </c>
      <c r="F37" s="255"/>
      <c r="G37" s="257" t="s">
        <v>92</v>
      </c>
    </row>
    <row r="38" spans="1:7" ht="13.5" customHeight="1">
      <c r="A38" s="776" t="s">
        <v>354</v>
      </c>
      <c r="B38" s="211" t="s">
        <v>36</v>
      </c>
      <c r="C38" s="216">
        <f>ROUND(C34*F38,0)</f>
        <v>1392</v>
      </c>
      <c r="D38" s="216"/>
      <c r="E38" s="216"/>
      <c r="F38" s="255">
        <f>'数据-取费表'!B36</f>
        <v>1.4999999999999999E-2</v>
      </c>
      <c r="G38" s="215" t="s">
        <v>90</v>
      </c>
    </row>
    <row r="39" spans="1:7" s="210" customFormat="1" ht="13.5" customHeight="1">
      <c r="A39" s="773" t="s">
        <v>338</v>
      </c>
      <c r="B39" s="206" t="s">
        <v>77</v>
      </c>
      <c r="C39" s="228">
        <f>ROUND(C33*F20,0)</f>
        <v>3026</v>
      </c>
      <c r="D39" s="228"/>
      <c r="E39" s="228"/>
      <c r="F39" s="229"/>
      <c r="G39" s="1063" t="s">
        <v>433</v>
      </c>
    </row>
    <row r="40" spans="1:7" s="210" customFormat="1" ht="13.5" customHeight="1">
      <c r="A40" s="773" t="s">
        <v>339</v>
      </c>
      <c r="B40" s="206" t="s">
        <v>78</v>
      </c>
      <c r="C40" s="258">
        <f>F21</f>
        <v>2.5000000000000001E-2</v>
      </c>
      <c r="D40" s="232" t="s">
        <v>102</v>
      </c>
      <c r="E40" s="228"/>
      <c r="F40" s="229"/>
      <c r="G40" s="230" t="s">
        <v>93</v>
      </c>
    </row>
    <row r="41" spans="1:7" s="210" customFormat="1" ht="13.5" customHeight="1">
      <c r="A41" s="773" t="s">
        <v>340</v>
      </c>
      <c r="B41" s="206" t="s">
        <v>80</v>
      </c>
      <c r="C41" s="228">
        <f ca="1">ROUND(SUM(C42:C43),0)</f>
        <v>6534</v>
      </c>
      <c r="D41" s="231">
        <f ca="1">C44</f>
        <v>1.6000000000000001E-3</v>
      </c>
      <c r="E41" s="232" t="s">
        <v>102</v>
      </c>
      <c r="F41" s="233"/>
      <c r="G41" s="1063" t="str">
        <f>IF('数据-取费表'!B22&lt;=1,"单利计息","复利计息")</f>
        <v>复利计息</v>
      </c>
    </row>
    <row r="42" spans="1:7" ht="13.5" customHeight="1">
      <c r="A42" s="776" t="s">
        <v>349</v>
      </c>
      <c r="B42" s="211" t="s">
        <v>423</v>
      </c>
      <c r="C42" s="234">
        <f ca="1">ROUND(IF('数据-取费表'!B22&lt;=1,C33*F22*'数据-取费表'!B21/2,C33*(POWER((1+F22),'数据-取费表'!B21/2)-1)),0)</f>
        <v>6344</v>
      </c>
      <c r="D42" s="234"/>
      <c r="E42" s="234"/>
      <c r="F42" s="235"/>
      <c r="G42" s="3768" t="s">
        <v>94</v>
      </c>
    </row>
    <row r="43" spans="1:7" ht="13.5" customHeight="1">
      <c r="A43" s="776" t="s">
        <v>347</v>
      </c>
      <c r="B43" s="211" t="s">
        <v>426</v>
      </c>
      <c r="C43" s="234">
        <f ca="1">ROUND(IF('数据-取费表'!B22&lt;=1,C39*F22*'数据-取费表'!B21/2,C39*(POWER((1+F22),'数据-取费表'!B21/2)-1)),0)</f>
        <v>190</v>
      </c>
      <c r="D43" s="234"/>
      <c r="E43" s="234"/>
      <c r="F43" s="235"/>
      <c r="G43" s="3769"/>
    </row>
    <row r="44" spans="1:7" ht="13.5" customHeight="1">
      <c r="A44" s="776" t="s">
        <v>348</v>
      </c>
      <c r="B44" s="211" t="s">
        <v>428</v>
      </c>
      <c r="C44" s="234">
        <f ca="1">ROUND(IF('数据-取费表'!B22&lt;=1,C40*F22*'数据-取费表'!B21/2,C40*(POWER((1+F22),'数据-取费表'!B21/2)-1)),4)</f>
        <v>1.6000000000000001E-3</v>
      </c>
      <c r="D44" s="234"/>
      <c r="E44" s="234"/>
      <c r="F44" s="235"/>
      <c r="G44" s="3770"/>
    </row>
    <row r="45" spans="1:7" s="210" customFormat="1" ht="13.5" customHeight="1">
      <c r="A45" s="773" t="s">
        <v>341</v>
      </c>
      <c r="B45" s="240" t="s">
        <v>85</v>
      </c>
      <c r="C45" s="241">
        <f>C46</f>
        <v>21820</v>
      </c>
      <c r="D45" s="231">
        <f>C47</f>
        <v>5.3E-3</v>
      </c>
      <c r="E45" s="232" t="s">
        <v>102</v>
      </c>
      <c r="F45" s="242"/>
      <c r="G45" s="243" t="s">
        <v>434</v>
      </c>
    </row>
    <row r="46" spans="1:7" s="210" customFormat="1" ht="13.5" customHeight="1">
      <c r="A46" s="776" t="s">
        <v>349</v>
      </c>
      <c r="B46" s="244" t="s">
        <v>427</v>
      </c>
      <c r="C46" s="245">
        <f>ROUND((C33+C39)*F27,0)</f>
        <v>21820</v>
      </c>
      <c r="D46" s="259"/>
      <c r="E46" s="232"/>
      <c r="F46" s="242"/>
      <c r="G46" s="243"/>
    </row>
    <row r="47" spans="1:7" s="210" customFormat="1" ht="13.5" customHeight="1">
      <c r="A47" s="776" t="s">
        <v>347</v>
      </c>
      <c r="B47" s="244" t="s">
        <v>429</v>
      </c>
      <c r="C47" s="234">
        <f>ROUND(C40*F27,4)</f>
        <v>5.3E-3</v>
      </c>
      <c r="D47" s="259"/>
      <c r="E47" s="232"/>
      <c r="F47" s="242"/>
      <c r="G47" s="243"/>
    </row>
    <row r="48" spans="1:7" s="210" customFormat="1" ht="13.5" customHeight="1">
      <c r="A48" s="773" t="s">
        <v>342</v>
      </c>
      <c r="B48" s="206" t="s">
        <v>95</v>
      </c>
      <c r="C48" s="258">
        <f>F30</f>
        <v>5.6000000000000001E-2</v>
      </c>
      <c r="D48" s="232" t="s">
        <v>103</v>
      </c>
      <c r="E48" s="228"/>
      <c r="F48" s="233"/>
      <c r="G48" s="230" t="s">
        <v>96</v>
      </c>
    </row>
    <row r="49" spans="1:7" ht="16.5" customHeight="1">
      <c r="A49" s="773" t="s">
        <v>343</v>
      </c>
      <c r="B49" s="206" t="s">
        <v>104</v>
      </c>
      <c r="C49" s="228">
        <f ca="1">ROUND((C33+C39+C41+C45)/(1-C40-D41-D45-C48/(1+'数据-取费表'!B42)),0)</f>
        <v>144583</v>
      </c>
      <c r="D49" s="228"/>
      <c r="E49" s="228"/>
      <c r="F49" s="260"/>
      <c r="G49" s="230" t="s">
        <v>435</v>
      </c>
    </row>
    <row r="50" spans="1:7" s="254" customFormat="1" ht="24">
      <c r="A50" s="773" t="s">
        <v>344</v>
      </c>
      <c r="B50" s="206" t="s">
        <v>97</v>
      </c>
      <c r="C50" s="228"/>
      <c r="D50" s="228"/>
      <c r="E50" s="228"/>
      <c r="F50" s="260">
        <f>IF('数据-取费表'!B24=0,'数据-取费表'!N16,1)</f>
        <v>0.9</v>
      </c>
      <c r="G50" s="243" t="s">
        <v>98</v>
      </c>
    </row>
    <row r="51" spans="1:7" ht="16.5" customHeight="1">
      <c r="A51" s="773" t="s">
        <v>345</v>
      </c>
      <c r="B51" s="206" t="s">
        <v>105</v>
      </c>
      <c r="C51" s="228">
        <f ca="1">ROUND(C49*F50,0)</f>
        <v>130125</v>
      </c>
      <c r="D51" s="228"/>
      <c r="E51" s="228"/>
      <c r="F51" s="260"/>
      <c r="G51" s="230" t="s">
        <v>37</v>
      </c>
    </row>
    <row r="52" spans="1:7" s="204" customFormat="1" ht="16.5" thickBot="1">
      <c r="A52" s="261" t="s">
        <v>38</v>
      </c>
      <c r="B52" s="262"/>
      <c r="C52" s="263">
        <f ca="1">C31+C51</f>
        <v>164277</v>
      </c>
      <c r="D52" s="262"/>
      <c r="E52" s="262"/>
      <c r="F52" s="262"/>
      <c r="G52" s="264"/>
    </row>
    <row r="55" spans="1:7" ht="15">
      <c r="B55" s="266" t="s">
        <v>39</v>
      </c>
      <c r="C55" s="267"/>
    </row>
    <row r="56" spans="1:7">
      <c r="B56" s="269" t="s">
        <v>40</v>
      </c>
      <c r="C56" s="270">
        <f ca="1">ROUND(C51/C52,3)</f>
        <v>0.79200000000000004</v>
      </c>
    </row>
    <row r="57" spans="1:7">
      <c r="B57" s="269" t="s">
        <v>41</v>
      </c>
      <c r="C57" s="271">
        <f ca="1">1-C56</f>
        <v>0.20799999999999996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845" t="s">
        <v>2840</v>
      </c>
      <c r="B1" s="3845"/>
      <c r="C1" s="3845"/>
      <c r="D1" s="3845"/>
      <c r="E1" s="3845"/>
      <c r="F1" s="3845"/>
      <c r="G1" s="3846"/>
      <c r="I1" s="3213" t="s">
        <v>2841</v>
      </c>
      <c r="J1" s="3214" t="s">
        <v>2842</v>
      </c>
      <c r="K1" s="3214" t="s">
        <v>2843</v>
      </c>
      <c r="L1" s="3214" t="s">
        <v>2844</v>
      </c>
      <c r="M1" s="3214" t="s">
        <v>2845</v>
      </c>
      <c r="N1" s="3214" t="s">
        <v>2846</v>
      </c>
      <c r="O1" s="3214" t="s">
        <v>2847</v>
      </c>
      <c r="P1" s="3214" t="s">
        <v>2848</v>
      </c>
      <c r="Q1" s="3214" t="s">
        <v>2849</v>
      </c>
      <c r="R1" s="3214" t="s">
        <v>2850</v>
      </c>
      <c r="S1" s="3214" t="s">
        <v>2851</v>
      </c>
      <c r="T1" s="3215" t="s">
        <v>2852</v>
      </c>
    </row>
    <row r="2" spans="1:20" ht="12" thickBot="1">
      <c r="A2" s="3217" t="s">
        <v>2853</v>
      </c>
      <c r="B2" s="3217"/>
      <c r="C2" s="3217"/>
      <c r="D2" s="3217"/>
      <c r="E2" s="3217"/>
      <c r="F2" s="3217"/>
      <c r="G2" s="3218" t="s">
        <v>2854</v>
      </c>
      <c r="I2" s="3219" t="s">
        <v>2855</v>
      </c>
      <c r="J2" s="3219" t="s">
        <v>2856</v>
      </c>
      <c r="K2" s="3219" t="s">
        <v>2857</v>
      </c>
      <c r="L2" s="3219" t="s">
        <v>2858</v>
      </c>
      <c r="M2" s="3219" t="s">
        <v>2859</v>
      </c>
      <c r="N2" s="3219" t="s">
        <v>2860</v>
      </c>
      <c r="O2" s="3219" t="s">
        <v>2861</v>
      </c>
      <c r="P2" s="3219" t="s">
        <v>2862</v>
      </c>
      <c r="Q2" s="3219" t="s">
        <v>2863</v>
      </c>
      <c r="R2" s="3219" t="s">
        <v>2864</v>
      </c>
      <c r="S2" s="3219" t="s">
        <v>2865</v>
      </c>
      <c r="T2" s="3219" t="s">
        <v>2866</v>
      </c>
    </row>
    <row r="3" spans="1:20" s="3225" customFormat="1">
      <c r="A3" s="3843" t="s">
        <v>2867</v>
      </c>
      <c r="B3" s="3220"/>
      <c r="C3" s="3221" t="s">
        <v>2808</v>
      </c>
      <c r="D3" s="3221" t="s">
        <v>2868</v>
      </c>
      <c r="E3" s="3221" t="s">
        <v>2810</v>
      </c>
      <c r="F3" s="3221" t="s">
        <v>2869</v>
      </c>
      <c r="G3" s="3221" t="s">
        <v>2628</v>
      </c>
      <c r="H3" s="3222"/>
      <c r="I3" s="3223" t="s">
        <v>2870</v>
      </c>
      <c r="J3" s="3224" t="s">
        <v>128</v>
      </c>
      <c r="K3" s="3224" t="s">
        <v>129</v>
      </c>
      <c r="L3" s="3223" t="s">
        <v>130</v>
      </c>
      <c r="M3" s="3223" t="s">
        <v>131</v>
      </c>
      <c r="N3" s="3223" t="s">
        <v>132</v>
      </c>
      <c r="O3" s="3223" t="s">
        <v>133</v>
      </c>
      <c r="P3" s="3223" t="s">
        <v>134</v>
      </c>
      <c r="Q3" s="3223" t="s">
        <v>135</v>
      </c>
      <c r="R3" s="3223" t="s">
        <v>136</v>
      </c>
      <c r="S3" s="3223" t="s">
        <v>2871</v>
      </c>
      <c r="T3" s="3223" t="s">
        <v>2872</v>
      </c>
    </row>
    <row r="4" spans="1:20" s="3225" customFormat="1" ht="12" thickBot="1">
      <c r="A4" s="3844"/>
      <c r="B4" s="3226" t="s">
        <v>2873</v>
      </c>
      <c r="C4" s="3226" t="s">
        <v>2874</v>
      </c>
      <c r="D4" s="3226" t="s">
        <v>2874</v>
      </c>
      <c r="E4" s="3226" t="s">
        <v>2874</v>
      </c>
      <c r="F4" s="3227" t="s">
        <v>2874</v>
      </c>
      <c r="G4" s="3227" t="s">
        <v>2874</v>
      </c>
      <c r="H4" s="3222"/>
      <c r="I4" s="3224" t="s">
        <v>137</v>
      </c>
      <c r="J4" s="3224" t="s">
        <v>111</v>
      </c>
      <c r="K4" s="3224" t="s">
        <v>138</v>
      </c>
      <c r="L4" s="3223" t="s">
        <v>139</v>
      </c>
      <c r="M4" s="3223" t="s">
        <v>140</v>
      </c>
      <c r="N4" s="3223" t="s">
        <v>141</v>
      </c>
      <c r="O4" s="3223" t="s">
        <v>142</v>
      </c>
      <c r="P4" s="3223" t="s">
        <v>143</v>
      </c>
      <c r="Q4" s="3223" t="s">
        <v>2875</v>
      </c>
      <c r="R4" s="3223" t="s">
        <v>2876</v>
      </c>
      <c r="S4" s="3223" t="s">
        <v>2877</v>
      </c>
      <c r="T4" s="3223" t="s">
        <v>2878</v>
      </c>
    </row>
    <row r="5" spans="1:20">
      <c r="A5" s="3228" t="s">
        <v>2841</v>
      </c>
      <c r="B5" s="3219" t="s">
        <v>2855</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2879</v>
      </c>
      <c r="R5" s="3223" t="s">
        <v>2880</v>
      </c>
      <c r="S5" s="3223" t="s">
        <v>153</v>
      </c>
      <c r="T5" s="3223" t="s">
        <v>2881</v>
      </c>
    </row>
    <row r="6" spans="1:20" ht="12" thickBot="1">
      <c r="A6" s="3223" t="s">
        <v>144</v>
      </c>
      <c r="B6" s="3223" t="s">
        <v>2870</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2882</v>
      </c>
      <c r="Q6" s="3223" t="s">
        <v>2883</v>
      </c>
      <c r="R6" s="3223" t="s">
        <v>161</v>
      </c>
      <c r="S6" s="3223" t="s">
        <v>2884</v>
      </c>
      <c r="T6" s="3223" t="s">
        <v>2885</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2886</v>
      </c>
      <c r="Q7" s="3223" t="s">
        <v>2887</v>
      </c>
      <c r="R7" s="3223" t="s">
        <v>2888</v>
      </c>
      <c r="S7" s="3223" t="s">
        <v>2889</v>
      </c>
      <c r="T7" s="3223" t="s">
        <v>2890</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2891</v>
      </c>
      <c r="Q8" s="3223" t="s">
        <v>174</v>
      </c>
      <c r="R8" s="3223" t="s">
        <v>2892</v>
      </c>
      <c r="S8" s="3223" t="s">
        <v>2893</v>
      </c>
      <c r="T8" s="3230" t="s">
        <v>2894</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2895</v>
      </c>
      <c r="Q9" s="3223" t="s">
        <v>182</v>
      </c>
      <c r="R9" s="3223" t="s">
        <v>183</v>
      </c>
      <c r="S9" s="3223" t="s">
        <v>200</v>
      </c>
    </row>
    <row r="10" spans="1:20">
      <c r="A10" s="3228" t="s">
        <v>184</v>
      </c>
      <c r="B10" s="3219" t="s">
        <v>2856</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2896</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2897</v>
      </c>
      <c r="P11" s="3223" t="s">
        <v>191</v>
      </c>
      <c r="Q11" s="3223" t="s">
        <v>199</v>
      </c>
      <c r="R11" s="3223" t="s">
        <v>2898</v>
      </c>
      <c r="S11" s="3223" t="s">
        <v>2899</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2900</v>
      </c>
      <c r="P12" s="3223" t="s">
        <v>2901</v>
      </c>
      <c r="Q12" s="3223" t="s">
        <v>2902</v>
      </c>
      <c r="R12" s="3223" t="s">
        <v>2903</v>
      </c>
      <c r="S12" s="3223" t="s">
        <v>2904</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2905</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2906</v>
      </c>
      <c r="K14" s="3224" t="s">
        <v>215</v>
      </c>
      <c r="L14" s="3223" t="s">
        <v>216</v>
      </c>
      <c r="M14" s="3223" t="s">
        <v>217</v>
      </c>
      <c r="N14" s="3223" t="s">
        <v>218</v>
      </c>
      <c r="O14" s="3223" t="s">
        <v>240</v>
      </c>
      <c r="P14" s="3223" t="s">
        <v>213</v>
      </c>
      <c r="Q14" s="3223" t="s">
        <v>2907</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2908</v>
      </c>
      <c r="P15" s="3223" t="s">
        <v>2909</v>
      </c>
      <c r="Q15" s="3223" t="s">
        <v>242</v>
      </c>
      <c r="R15" s="3223" t="s">
        <v>2910</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2911</v>
      </c>
      <c r="P16" s="3223" t="s">
        <v>227</v>
      </c>
      <c r="Q16" s="3223" t="s">
        <v>250</v>
      </c>
      <c r="R16" s="3223" t="s">
        <v>207</v>
      </c>
      <c r="S16" s="3223" t="s">
        <v>2912</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2913</v>
      </c>
      <c r="P17" s="3223" t="s">
        <v>2914</v>
      </c>
      <c r="Q17" s="3223" t="s">
        <v>256</v>
      </c>
      <c r="R17" s="3223" t="s">
        <v>2915</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2916</v>
      </c>
      <c r="P18" s="3223" t="s">
        <v>241</v>
      </c>
      <c r="Q18" s="3223" t="s">
        <v>2917</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2918</v>
      </c>
      <c r="P19" s="3223" t="s">
        <v>249</v>
      </c>
      <c r="Q19" s="3223" t="s">
        <v>2919</v>
      </c>
      <c r="R19" s="3223" t="s">
        <v>265</v>
      </c>
      <c r="S19" s="3223" t="s">
        <v>2920</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2921</v>
      </c>
      <c r="P20" s="3223" t="s">
        <v>2922</v>
      </c>
      <c r="Q20" s="3223" t="s">
        <v>290</v>
      </c>
      <c r="R20" s="3223" t="s">
        <v>2923</v>
      </c>
      <c r="S20" s="3223" t="s">
        <v>277</v>
      </c>
    </row>
    <row r="21" spans="1:19" ht="14.25" customHeight="1" thickBot="1">
      <c r="A21" s="3223" t="s">
        <v>184</v>
      </c>
      <c r="B21" s="3224" t="s">
        <v>208</v>
      </c>
      <c r="C21" s="3223">
        <v>32370</v>
      </c>
      <c r="D21" s="3223">
        <v>26730</v>
      </c>
      <c r="E21" s="3223">
        <v>26640</v>
      </c>
      <c r="F21" s="3223"/>
      <c r="G21" s="3223">
        <v>19440</v>
      </c>
      <c r="J21" s="3230" t="s">
        <v>2924</v>
      </c>
      <c r="K21" s="3224" t="s">
        <v>267</v>
      </c>
      <c r="L21" s="3223" t="s">
        <v>268</v>
      </c>
      <c r="M21" s="3223" t="s">
        <v>269</v>
      </c>
      <c r="N21" s="3223" t="s">
        <v>270</v>
      </c>
      <c r="O21" s="3223" t="s">
        <v>264</v>
      </c>
      <c r="P21" s="3223" t="s">
        <v>283</v>
      </c>
      <c r="Q21" s="3223" t="s">
        <v>293</v>
      </c>
      <c r="R21" s="3223" t="s">
        <v>2925</v>
      </c>
      <c r="S21" s="3230" t="s">
        <v>2926</v>
      </c>
    </row>
    <row r="22" spans="1:19" ht="14.25" customHeight="1">
      <c r="A22" s="3223" t="s">
        <v>184</v>
      </c>
      <c r="B22" s="3224" t="s">
        <v>2906</v>
      </c>
      <c r="C22" s="3223">
        <v>29830</v>
      </c>
      <c r="D22" s="3223">
        <v>27600</v>
      </c>
      <c r="E22" s="3223">
        <v>28150</v>
      </c>
      <c r="F22" s="3223"/>
      <c r="G22" s="3223">
        <v>20080</v>
      </c>
      <c r="K22" s="3224" t="s">
        <v>2927</v>
      </c>
      <c r="L22" s="3223" t="s">
        <v>272</v>
      </c>
      <c r="M22" s="3223" t="s">
        <v>273</v>
      </c>
      <c r="N22" s="3223" t="s">
        <v>274</v>
      </c>
      <c r="O22" s="3223" t="s">
        <v>2928</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2929</v>
      </c>
      <c r="L23" s="3223" t="s">
        <v>278</v>
      </c>
      <c r="M23" s="3223" t="s">
        <v>279</v>
      </c>
      <c r="N23" s="3223" t="s">
        <v>2930</v>
      </c>
      <c r="O23" s="3223" t="s">
        <v>2931</v>
      </c>
      <c r="P23" s="3223" t="s">
        <v>289</v>
      </c>
      <c r="Q23" s="3223" t="s">
        <v>298</v>
      </c>
      <c r="R23" s="3223" t="s">
        <v>2932</v>
      </c>
    </row>
    <row r="24" spans="1:19" ht="14.25" customHeight="1">
      <c r="A24" s="3223" t="s">
        <v>184</v>
      </c>
      <c r="B24" s="3224" t="s">
        <v>230</v>
      </c>
      <c r="C24" s="3223">
        <v>27930</v>
      </c>
      <c r="D24" s="3223">
        <v>32260</v>
      </c>
      <c r="E24" s="3223">
        <v>32120</v>
      </c>
      <c r="F24" s="3223"/>
      <c r="G24" s="3223">
        <v>23470</v>
      </c>
      <c r="K24" s="3224" t="s">
        <v>2933</v>
      </c>
      <c r="L24" s="3223" t="s">
        <v>281</v>
      </c>
      <c r="M24" s="3223" t="s">
        <v>282</v>
      </c>
      <c r="N24" s="3223" t="s">
        <v>2934</v>
      </c>
      <c r="O24" s="3223" t="s">
        <v>285</v>
      </c>
      <c r="P24" s="3223" t="s">
        <v>2935</v>
      </c>
      <c r="Q24" s="3232" t="s">
        <v>2936</v>
      </c>
      <c r="R24" s="3223" t="s">
        <v>2937</v>
      </c>
    </row>
    <row r="25" spans="1:19" ht="14.25" customHeight="1">
      <c r="A25" s="3223" t="s">
        <v>184</v>
      </c>
      <c r="B25" s="3224" t="s">
        <v>235</v>
      </c>
      <c r="C25" s="3223">
        <v>32230</v>
      </c>
      <c r="D25" s="3223">
        <v>29640</v>
      </c>
      <c r="E25" s="3223">
        <v>29510</v>
      </c>
      <c r="F25" s="3223"/>
      <c r="G25" s="3223">
        <v>21560</v>
      </c>
      <c r="K25" s="3224" t="s">
        <v>2938</v>
      </c>
      <c r="L25" s="3223" t="s">
        <v>2939</v>
      </c>
      <c r="M25" s="3223" t="s">
        <v>284</v>
      </c>
      <c r="N25" s="3223" t="s">
        <v>292</v>
      </c>
      <c r="O25" s="3223" t="s">
        <v>288</v>
      </c>
      <c r="P25" s="3223" t="s">
        <v>275</v>
      </c>
      <c r="Q25" s="3232" t="s">
        <v>271</v>
      </c>
      <c r="R25" s="3223" t="s">
        <v>2940</v>
      </c>
    </row>
    <row r="26" spans="1:19" ht="14.25" customHeight="1" thickBot="1">
      <c r="A26" s="3223" t="s">
        <v>184</v>
      </c>
      <c r="B26" s="3224" t="s">
        <v>244</v>
      </c>
      <c r="C26" s="3223">
        <v>31690</v>
      </c>
      <c r="D26" s="3223">
        <v>27650</v>
      </c>
      <c r="E26" s="3223">
        <v>28200</v>
      </c>
      <c r="F26" s="3223"/>
      <c r="G26" s="3223">
        <v>20110</v>
      </c>
      <c r="K26" s="3229" t="s">
        <v>2941</v>
      </c>
      <c r="L26" s="3223" t="s">
        <v>2942</v>
      </c>
      <c r="M26" s="3223" t="s">
        <v>287</v>
      </c>
      <c r="N26" s="3223" t="s">
        <v>294</v>
      </c>
      <c r="O26" s="3223" t="s">
        <v>2943</v>
      </c>
      <c r="P26" s="3223" t="s">
        <v>2944</v>
      </c>
      <c r="Q26" s="3232" t="s">
        <v>276</v>
      </c>
      <c r="R26" s="3223" t="s">
        <v>2945</v>
      </c>
    </row>
    <row r="27" spans="1:19" ht="14.25" customHeight="1">
      <c r="A27" s="3223" t="s">
        <v>184</v>
      </c>
      <c r="B27" s="3224" t="s">
        <v>251</v>
      </c>
      <c r="C27" s="3223">
        <v>29610</v>
      </c>
      <c r="D27" s="3223">
        <v>27770</v>
      </c>
      <c r="E27" s="3223">
        <v>28300</v>
      </c>
      <c r="F27" s="3223"/>
      <c r="G27" s="3223">
        <v>20210</v>
      </c>
      <c r="L27" s="3223" t="s">
        <v>2946</v>
      </c>
      <c r="M27" s="3223" t="s">
        <v>291</v>
      </c>
      <c r="N27" s="3223" t="s">
        <v>297</v>
      </c>
      <c r="O27" s="3223" t="s">
        <v>2947</v>
      </c>
      <c r="P27" s="3223" t="s">
        <v>2948</v>
      </c>
      <c r="Q27" s="3223" t="s">
        <v>2949</v>
      </c>
      <c r="R27" s="3223" t="s">
        <v>2950</v>
      </c>
    </row>
    <row r="28" spans="1:19" ht="14.25" customHeight="1">
      <c r="A28" s="3223" t="s">
        <v>184</v>
      </c>
      <c r="B28" s="3224" t="s">
        <v>259</v>
      </c>
      <c r="C28" s="3223"/>
      <c r="D28" s="3223">
        <v>31520</v>
      </c>
      <c r="E28" s="3223">
        <v>31410</v>
      </c>
      <c r="F28" s="3223"/>
      <c r="G28" s="3223">
        <v>22940</v>
      </c>
      <c r="L28" s="3223" t="s">
        <v>2951</v>
      </c>
      <c r="M28" s="3223" t="s">
        <v>2952</v>
      </c>
      <c r="N28" s="3223" t="s">
        <v>2953</v>
      </c>
      <c r="O28" s="3223" t="s">
        <v>2954</v>
      </c>
      <c r="P28" s="3223" t="s">
        <v>2955</v>
      </c>
      <c r="Q28" s="3223" t="s">
        <v>2956</v>
      </c>
      <c r="R28" s="3223" t="s">
        <v>2957</v>
      </c>
    </row>
    <row r="29" spans="1:19" ht="14.25" customHeight="1" thickBot="1">
      <c r="A29" s="3231" t="s">
        <v>184</v>
      </c>
      <c r="B29" s="3233" t="s">
        <v>2924</v>
      </c>
      <c r="C29" s="3234"/>
      <c r="D29" s="3234">
        <v>29460</v>
      </c>
      <c r="E29" s="3234">
        <v>28640</v>
      </c>
      <c r="F29" s="3234"/>
      <c r="G29" s="3234">
        <v>21430</v>
      </c>
      <c r="L29" s="3223" t="s">
        <v>2958</v>
      </c>
      <c r="M29" s="3223" t="s">
        <v>2959</v>
      </c>
      <c r="N29" s="3223" t="s">
        <v>2960</v>
      </c>
      <c r="O29" s="3223" t="s">
        <v>2961</v>
      </c>
      <c r="P29" s="3223" t="s">
        <v>2962</v>
      </c>
      <c r="Q29" s="3223" t="s">
        <v>2963</v>
      </c>
      <c r="R29" s="3223" t="s">
        <v>280</v>
      </c>
    </row>
    <row r="30" spans="1:19" ht="14.25" customHeight="1">
      <c r="A30" s="3228" t="s">
        <v>296</v>
      </c>
      <c r="B30" s="3219" t="s">
        <v>2857</v>
      </c>
      <c r="C30" s="3219">
        <v>26890</v>
      </c>
      <c r="D30" s="3219">
        <v>26770</v>
      </c>
      <c r="E30" s="3219">
        <v>25700</v>
      </c>
      <c r="F30" s="3219">
        <v>8180</v>
      </c>
      <c r="G30" s="3235">
        <v>18740</v>
      </c>
      <c r="L30" s="3223" t="s">
        <v>2964</v>
      </c>
      <c r="M30" s="3223" t="s">
        <v>2965</v>
      </c>
      <c r="N30" s="3223" t="s">
        <v>2966</v>
      </c>
      <c r="O30" s="3223" t="s">
        <v>2967</v>
      </c>
      <c r="P30" s="3223" t="s">
        <v>2968</v>
      </c>
      <c r="Q30" s="3223" t="s">
        <v>2969</v>
      </c>
      <c r="R30" s="3223" t="s">
        <v>2970</v>
      </c>
    </row>
    <row r="31" spans="1:19" ht="14.25" customHeight="1">
      <c r="A31" s="3223" t="s">
        <v>296</v>
      </c>
      <c r="B31" s="3224" t="s">
        <v>129</v>
      </c>
      <c r="C31" s="3223">
        <v>24550</v>
      </c>
      <c r="D31" s="3223">
        <v>23990</v>
      </c>
      <c r="E31" s="3223">
        <v>22930</v>
      </c>
      <c r="F31" s="3223">
        <v>7470</v>
      </c>
      <c r="G31" s="3236">
        <v>16790</v>
      </c>
      <c r="L31" s="3223" t="s">
        <v>2971</v>
      </c>
      <c r="M31" s="3223" t="s">
        <v>2972</v>
      </c>
      <c r="N31" s="3223" t="s">
        <v>2973</v>
      </c>
      <c r="O31" s="3223" t="s">
        <v>2974</v>
      </c>
      <c r="P31" s="3223" t="s">
        <v>2975</v>
      </c>
      <c r="Q31" s="3223" t="s">
        <v>2976</v>
      </c>
      <c r="R31" s="3223" t="s">
        <v>2977</v>
      </c>
    </row>
    <row r="32" spans="1:19" ht="14.25" customHeight="1" thickBot="1">
      <c r="A32" s="3223" t="s">
        <v>296</v>
      </c>
      <c r="B32" s="3224" t="s">
        <v>138</v>
      </c>
      <c r="C32" s="3223">
        <v>27210</v>
      </c>
      <c r="D32" s="3223">
        <v>23240</v>
      </c>
      <c r="E32" s="3223">
        <v>23260</v>
      </c>
      <c r="F32" s="3223">
        <v>7130</v>
      </c>
      <c r="G32" s="3236">
        <v>16270</v>
      </c>
      <c r="L32" s="3223" t="s">
        <v>2978</v>
      </c>
      <c r="M32" s="3223" t="s">
        <v>2979</v>
      </c>
      <c r="N32" s="3223" t="s">
        <v>300</v>
      </c>
      <c r="O32" s="3223" t="s">
        <v>2980</v>
      </c>
      <c r="P32" s="3223" t="s">
        <v>299</v>
      </c>
      <c r="Q32" s="3223" t="s">
        <v>2981</v>
      </c>
      <c r="R32" s="3230" t="s">
        <v>2982</v>
      </c>
    </row>
    <row r="33" spans="1:17" ht="14.25" customHeight="1" thickBot="1">
      <c r="A33" s="3223" t="s">
        <v>296</v>
      </c>
      <c r="B33" s="3224" t="s">
        <v>147</v>
      </c>
      <c r="C33" s="3223">
        <v>27300</v>
      </c>
      <c r="D33" s="3223">
        <v>22980</v>
      </c>
      <c r="E33" s="3223">
        <v>24260</v>
      </c>
      <c r="F33" s="3223">
        <v>5860</v>
      </c>
      <c r="G33" s="3236">
        <v>16090</v>
      </c>
      <c r="L33" s="3230" t="s">
        <v>2983</v>
      </c>
      <c r="M33" s="3223" t="s">
        <v>2984</v>
      </c>
      <c r="N33" s="3223" t="s">
        <v>301</v>
      </c>
      <c r="O33" s="3223" t="s">
        <v>2985</v>
      </c>
      <c r="P33" s="3223" t="s">
        <v>2986</v>
      </c>
      <c r="Q33" s="3223" t="s">
        <v>2987</v>
      </c>
    </row>
    <row r="34" spans="1:17" ht="14.25" customHeight="1">
      <c r="A34" s="3223" t="s">
        <v>296</v>
      </c>
      <c r="B34" s="3224" t="s">
        <v>156</v>
      </c>
      <c r="C34" s="3223">
        <v>23090</v>
      </c>
      <c r="D34" s="3223">
        <v>23390</v>
      </c>
      <c r="E34" s="3223">
        <v>23510</v>
      </c>
      <c r="F34" s="3223">
        <v>6700</v>
      </c>
      <c r="G34" s="3236">
        <v>16370</v>
      </c>
      <c r="M34" s="3223" t="s">
        <v>2988</v>
      </c>
      <c r="N34" s="3223" t="s">
        <v>302</v>
      </c>
      <c r="O34" s="3223" t="s">
        <v>2989</v>
      </c>
      <c r="P34" s="3223" t="s">
        <v>2990</v>
      </c>
      <c r="Q34" s="3223" t="s">
        <v>2991</v>
      </c>
    </row>
    <row r="35" spans="1:17" ht="14.25" customHeight="1">
      <c r="A35" s="3223" t="s">
        <v>296</v>
      </c>
      <c r="B35" s="3224" t="s">
        <v>163</v>
      </c>
      <c r="C35" s="3223">
        <v>27270</v>
      </c>
      <c r="D35" s="3223">
        <v>24270</v>
      </c>
      <c r="E35" s="3223">
        <v>24950</v>
      </c>
      <c r="F35" s="3223">
        <v>6600</v>
      </c>
      <c r="G35" s="3236">
        <v>16990</v>
      </c>
      <c r="M35" s="3223" t="s">
        <v>2992</v>
      </c>
      <c r="N35" s="3223" t="s">
        <v>2993</v>
      </c>
      <c r="O35" s="3223" t="s">
        <v>2994</v>
      </c>
      <c r="P35" s="3223" t="s">
        <v>2995</v>
      </c>
      <c r="Q35" s="3223" t="s">
        <v>2996</v>
      </c>
    </row>
    <row r="36" spans="1:17" ht="14.25" customHeight="1">
      <c r="A36" s="3223" t="s">
        <v>296</v>
      </c>
      <c r="B36" s="3224" t="s">
        <v>169</v>
      </c>
      <c r="C36" s="3223">
        <v>23490</v>
      </c>
      <c r="D36" s="3223">
        <v>23020</v>
      </c>
      <c r="E36" s="3223">
        <v>25230</v>
      </c>
      <c r="F36" s="3223">
        <v>6780</v>
      </c>
      <c r="G36" s="3236">
        <v>16120</v>
      </c>
      <c r="M36" s="3223" t="s">
        <v>2997</v>
      </c>
      <c r="N36" s="3223" t="s">
        <v>2998</v>
      </c>
      <c r="O36" s="3223" t="s">
        <v>2999</v>
      </c>
      <c r="P36" s="3223" t="s">
        <v>3000</v>
      </c>
      <c r="Q36" s="3223" t="s">
        <v>3001</v>
      </c>
    </row>
    <row r="37" spans="1:17" ht="14.25" customHeight="1">
      <c r="A37" s="3223" t="s">
        <v>296</v>
      </c>
      <c r="B37" s="3224" t="s">
        <v>176</v>
      </c>
      <c r="C37" s="3223">
        <v>24380</v>
      </c>
      <c r="D37" s="3223">
        <v>22240</v>
      </c>
      <c r="E37" s="3223">
        <v>25980</v>
      </c>
      <c r="F37" s="3223">
        <v>8160</v>
      </c>
      <c r="G37" s="3236">
        <v>15570</v>
      </c>
      <c r="M37" s="3223" t="s">
        <v>3002</v>
      </c>
      <c r="N37" s="3223" t="s">
        <v>3003</v>
      </c>
      <c r="O37" s="3223" t="s">
        <v>3004</v>
      </c>
      <c r="P37" s="3223" t="s">
        <v>3005</v>
      </c>
      <c r="Q37" s="3223" t="s">
        <v>3006</v>
      </c>
    </row>
    <row r="38" spans="1:17" ht="14.25" customHeight="1">
      <c r="A38" s="3223" t="s">
        <v>296</v>
      </c>
      <c r="B38" s="3224" t="s">
        <v>186</v>
      </c>
      <c r="C38" s="3223">
        <v>23120</v>
      </c>
      <c r="D38" s="3223">
        <v>24630</v>
      </c>
      <c r="E38" s="3223">
        <v>25030</v>
      </c>
      <c r="F38" s="3223">
        <v>7710</v>
      </c>
      <c r="G38" s="3236">
        <v>17240</v>
      </c>
      <c r="M38" s="3223" t="s">
        <v>3007</v>
      </c>
      <c r="N38" s="3223" t="s">
        <v>3008</v>
      </c>
      <c r="O38" s="3223" t="s">
        <v>3009</v>
      </c>
      <c r="P38" s="3223" t="s">
        <v>3010</v>
      </c>
      <c r="Q38" s="3223" t="s">
        <v>3011</v>
      </c>
    </row>
    <row r="39" spans="1:17" ht="14.25" customHeight="1">
      <c r="A39" s="3223" t="s">
        <v>296</v>
      </c>
      <c r="B39" s="3224" t="s">
        <v>195</v>
      </c>
      <c r="C39" s="3223">
        <v>22330</v>
      </c>
      <c r="D39" s="3223">
        <v>21140</v>
      </c>
      <c r="E39" s="3223">
        <v>23970</v>
      </c>
      <c r="F39" s="3223">
        <v>7940</v>
      </c>
      <c r="G39" s="3236">
        <v>14790</v>
      </c>
      <c r="M39" s="3223" t="s">
        <v>3012</v>
      </c>
      <c r="N39" s="3223" t="s">
        <v>3013</v>
      </c>
      <c r="O39" s="3223" t="s">
        <v>3014</v>
      </c>
      <c r="P39" s="3223" t="s">
        <v>3015</v>
      </c>
      <c r="Q39" s="3223" t="s">
        <v>3016</v>
      </c>
    </row>
    <row r="40" spans="1:17" ht="14.25" customHeight="1">
      <c r="A40" s="3223" t="s">
        <v>296</v>
      </c>
      <c r="B40" s="3224" t="s">
        <v>202</v>
      </c>
      <c r="C40" s="3223">
        <v>24740</v>
      </c>
      <c r="D40" s="3223">
        <v>24690</v>
      </c>
      <c r="E40" s="3223">
        <v>22610</v>
      </c>
      <c r="F40" s="3223"/>
      <c r="G40" s="3236">
        <v>17280</v>
      </c>
      <c r="M40" s="3223" t="s">
        <v>3017</v>
      </c>
      <c r="N40" s="3223" t="s">
        <v>3018</v>
      </c>
      <c r="O40" s="3223" t="s">
        <v>3019</v>
      </c>
      <c r="P40" s="3223" t="s">
        <v>3020</v>
      </c>
      <c r="Q40" s="3223" t="s">
        <v>3021</v>
      </c>
    </row>
    <row r="41" spans="1:17" ht="14.25" customHeight="1" thickBot="1">
      <c r="A41" s="3223" t="s">
        <v>296</v>
      </c>
      <c r="B41" s="3224" t="s">
        <v>209</v>
      </c>
      <c r="C41" s="3223">
        <v>21220</v>
      </c>
      <c r="D41" s="3223">
        <v>21120</v>
      </c>
      <c r="E41" s="3223">
        <v>22590</v>
      </c>
      <c r="F41" s="3223"/>
      <c r="G41" s="3236">
        <v>14780</v>
      </c>
      <c r="M41" s="3230" t="s">
        <v>3022</v>
      </c>
      <c r="N41" s="3223" t="s">
        <v>3023</v>
      </c>
      <c r="O41" s="3223" t="s">
        <v>3024</v>
      </c>
      <c r="P41" s="3223" t="s">
        <v>3025</v>
      </c>
      <c r="Q41" s="3223" t="s">
        <v>3026</v>
      </c>
    </row>
    <row r="42" spans="1:17" ht="14.25" customHeight="1">
      <c r="A42" s="3223" t="s">
        <v>296</v>
      </c>
      <c r="B42" s="3224" t="s">
        <v>215</v>
      </c>
      <c r="C42" s="3223">
        <v>24800</v>
      </c>
      <c r="D42" s="3223">
        <v>22280</v>
      </c>
      <c r="E42" s="3223">
        <v>24350</v>
      </c>
      <c r="F42" s="3223"/>
      <c r="G42" s="3236">
        <v>15590</v>
      </c>
      <c r="N42" s="3223" t="s">
        <v>3027</v>
      </c>
      <c r="O42" s="3223" t="s">
        <v>3028</v>
      </c>
      <c r="P42" s="3223" t="s">
        <v>3029</v>
      </c>
      <c r="Q42" s="3223" t="s">
        <v>3030</v>
      </c>
    </row>
    <row r="43" spans="1:17" ht="14.25" customHeight="1">
      <c r="A43" s="3223" t="s">
        <v>3031</v>
      </c>
      <c r="B43" s="3224" t="s">
        <v>223</v>
      </c>
      <c r="C43" s="3223">
        <v>21210</v>
      </c>
      <c r="D43" s="3223">
        <v>21160</v>
      </c>
      <c r="E43" s="3223">
        <v>22650</v>
      </c>
      <c r="F43" s="3223"/>
      <c r="G43" s="3236">
        <v>14800</v>
      </c>
      <c r="N43" s="3223" t="s">
        <v>3032</v>
      </c>
      <c r="O43" s="3223" t="s">
        <v>3033</v>
      </c>
      <c r="P43" s="3223" t="s">
        <v>3034</v>
      </c>
      <c r="Q43" s="3223" t="s">
        <v>3035</v>
      </c>
    </row>
    <row r="44" spans="1:17" ht="14.25" customHeight="1" thickBot="1">
      <c r="A44" s="3223" t="s">
        <v>296</v>
      </c>
      <c r="B44" s="3224" t="s">
        <v>231</v>
      </c>
      <c r="C44" s="3223">
        <v>22370</v>
      </c>
      <c r="D44" s="3223">
        <v>23140</v>
      </c>
      <c r="E44" s="3223">
        <v>25090</v>
      </c>
      <c r="F44" s="3223"/>
      <c r="G44" s="3236">
        <v>16190</v>
      </c>
      <c r="N44" s="3223" t="s">
        <v>3036</v>
      </c>
      <c r="O44" s="3223" t="s">
        <v>3037</v>
      </c>
      <c r="P44" s="3230" t="s">
        <v>3038</v>
      </c>
      <c r="Q44" s="3223" t="s">
        <v>3039</v>
      </c>
    </row>
    <row r="45" spans="1:17" ht="14.25" customHeight="1" thickBot="1">
      <c r="A45" s="3223" t="s">
        <v>296</v>
      </c>
      <c r="B45" s="3224" t="s">
        <v>236</v>
      </c>
      <c r="C45" s="3223">
        <v>21240</v>
      </c>
      <c r="D45" s="3223">
        <v>27050</v>
      </c>
      <c r="E45" s="3223">
        <v>28000</v>
      </c>
      <c r="F45" s="3223"/>
      <c r="G45" s="3236">
        <v>18940</v>
      </c>
      <c r="N45" s="3223" t="s">
        <v>3040</v>
      </c>
      <c r="O45" s="3230" t="s">
        <v>3041</v>
      </c>
      <c r="Q45" s="3223" t="s">
        <v>3042</v>
      </c>
    </row>
    <row r="46" spans="1:17" ht="14.25" customHeight="1">
      <c r="A46" s="3223" t="s">
        <v>296</v>
      </c>
      <c r="B46" s="3224" t="s">
        <v>245</v>
      </c>
      <c r="C46" s="3223">
        <v>23240</v>
      </c>
      <c r="D46" s="3223">
        <v>23000</v>
      </c>
      <c r="E46" s="3223">
        <v>24980</v>
      </c>
      <c r="F46" s="3223"/>
      <c r="G46" s="3236">
        <v>16100</v>
      </c>
      <c r="N46" s="3223" t="s">
        <v>3043</v>
      </c>
      <c r="Q46" s="3223" t="s">
        <v>3044</v>
      </c>
    </row>
    <row r="47" spans="1:17" ht="14.25" customHeight="1">
      <c r="A47" s="3223" t="s">
        <v>296</v>
      </c>
      <c r="B47" s="3224" t="s">
        <v>252</v>
      </c>
      <c r="C47" s="3223">
        <v>27150</v>
      </c>
      <c r="D47" s="3223">
        <v>23310</v>
      </c>
      <c r="E47" s="3223">
        <v>25150</v>
      </c>
      <c r="F47" s="3223"/>
      <c r="G47" s="3236">
        <v>16310</v>
      </c>
      <c r="N47" s="3223" t="s">
        <v>3045</v>
      </c>
      <c r="Q47" s="3223" t="s">
        <v>3046</v>
      </c>
    </row>
    <row r="48" spans="1:17" ht="14.25" customHeight="1">
      <c r="A48" s="3223" t="s">
        <v>296</v>
      </c>
      <c r="B48" s="3224" t="s">
        <v>260</v>
      </c>
      <c r="C48" s="3223">
        <v>23100</v>
      </c>
      <c r="D48" s="3223">
        <v>21110</v>
      </c>
      <c r="E48" s="3223">
        <v>23080</v>
      </c>
      <c r="F48" s="3223"/>
      <c r="G48" s="3236">
        <v>14780</v>
      </c>
      <c r="N48" s="3223" t="s">
        <v>3047</v>
      </c>
      <c r="Q48" s="3223" t="s">
        <v>3048</v>
      </c>
    </row>
    <row r="49" spans="1:17" ht="14.25" customHeight="1">
      <c r="A49" s="3223" t="s">
        <v>296</v>
      </c>
      <c r="B49" s="3224" t="s">
        <v>267</v>
      </c>
      <c r="C49" s="3223">
        <v>23400</v>
      </c>
      <c r="D49" s="3223">
        <v>22920</v>
      </c>
      <c r="E49" s="3223">
        <v>24900</v>
      </c>
      <c r="F49" s="3223"/>
      <c r="G49" s="3236">
        <v>16040</v>
      </c>
      <c r="N49" s="3223" t="s">
        <v>3049</v>
      </c>
      <c r="Q49" s="3223" t="s">
        <v>3050</v>
      </c>
    </row>
    <row r="50" spans="1:17" ht="14.25" customHeight="1">
      <c r="A50" s="3223" t="s">
        <v>296</v>
      </c>
      <c r="B50" s="3224" t="s">
        <v>2927</v>
      </c>
      <c r="C50" s="3223">
        <v>21200</v>
      </c>
      <c r="D50" s="3223">
        <v>26540</v>
      </c>
      <c r="E50" s="3223">
        <v>23200</v>
      </c>
      <c r="F50" s="3223"/>
      <c r="G50" s="3236">
        <v>18580</v>
      </c>
      <c r="N50" s="3223" t="s">
        <v>3051</v>
      </c>
      <c r="Q50" s="3224" t="s">
        <v>3052</v>
      </c>
    </row>
    <row r="51" spans="1:17" ht="14.25" customHeight="1" thickBot="1">
      <c r="A51" s="3223" t="s">
        <v>296</v>
      </c>
      <c r="B51" s="3224" t="s">
        <v>2929</v>
      </c>
      <c r="C51" s="3223">
        <v>23000</v>
      </c>
      <c r="D51" s="3223">
        <v>23460</v>
      </c>
      <c r="E51" s="3223">
        <v>25290</v>
      </c>
      <c r="F51" s="3223"/>
      <c r="G51" s="3236">
        <v>16420</v>
      </c>
      <c r="N51" s="3223" t="s">
        <v>3053</v>
      </c>
      <c r="Q51" s="3230" t="s">
        <v>3054</v>
      </c>
    </row>
    <row r="52" spans="1:17" ht="14.25" customHeight="1">
      <c r="A52" s="3223" t="s">
        <v>296</v>
      </c>
      <c r="B52" s="3224" t="s">
        <v>2933</v>
      </c>
      <c r="C52" s="3223">
        <v>26660</v>
      </c>
      <c r="D52" s="3223">
        <v>22350</v>
      </c>
      <c r="E52" s="3223">
        <v>22920</v>
      </c>
      <c r="F52" s="3223"/>
      <c r="G52" s="3236">
        <v>15640</v>
      </c>
      <c r="N52" s="3223" t="s">
        <v>3055</v>
      </c>
    </row>
    <row r="53" spans="1:17" ht="14.25" customHeight="1">
      <c r="A53" s="3223" t="s">
        <v>296</v>
      </c>
      <c r="B53" s="3224" t="s">
        <v>2938</v>
      </c>
      <c r="C53" s="3223">
        <v>23580</v>
      </c>
      <c r="D53" s="3223"/>
      <c r="E53" s="3223">
        <v>24280</v>
      </c>
      <c r="F53" s="3223"/>
      <c r="G53" s="3236"/>
      <c r="N53" s="3223" t="s">
        <v>3056</v>
      </c>
    </row>
    <row r="54" spans="1:17" ht="14.25" customHeight="1" thickBot="1">
      <c r="A54" s="3237" t="s">
        <v>296</v>
      </c>
      <c r="B54" s="3229" t="s">
        <v>2941</v>
      </c>
      <c r="C54" s="3230">
        <v>22460</v>
      </c>
      <c r="D54" s="3230"/>
      <c r="E54" s="3230"/>
      <c r="F54" s="3230"/>
      <c r="G54" s="3238"/>
      <c r="N54" s="3223" t="s">
        <v>3057</v>
      </c>
    </row>
    <row r="55" spans="1:17" ht="14.25" customHeight="1">
      <c r="A55" s="3228" t="s">
        <v>110</v>
      </c>
      <c r="B55" s="3219" t="s">
        <v>3058</v>
      </c>
      <c r="C55" s="3223">
        <v>21970</v>
      </c>
      <c r="D55" s="3223">
        <v>20370</v>
      </c>
      <c r="E55" s="3223">
        <v>20180</v>
      </c>
      <c r="F55" s="3223">
        <v>5730</v>
      </c>
      <c r="G55" s="3223">
        <v>13820</v>
      </c>
      <c r="N55" s="3223" t="s">
        <v>3059</v>
      </c>
    </row>
    <row r="56" spans="1:17" ht="14.25" customHeight="1">
      <c r="A56" s="3223" t="s">
        <v>110</v>
      </c>
      <c r="B56" s="3223" t="s">
        <v>130</v>
      </c>
      <c r="C56" s="3223">
        <v>20470</v>
      </c>
      <c r="D56" s="3223">
        <v>20700</v>
      </c>
      <c r="E56" s="3223">
        <v>20380</v>
      </c>
      <c r="F56" s="3223">
        <v>4760</v>
      </c>
      <c r="G56" s="3223">
        <v>14050</v>
      </c>
      <c r="N56" s="3223" t="s">
        <v>3060</v>
      </c>
    </row>
    <row r="57" spans="1:17" ht="14.25" customHeight="1">
      <c r="A57" s="3223" t="s">
        <v>110</v>
      </c>
      <c r="B57" s="3223" t="s">
        <v>139</v>
      </c>
      <c r="C57" s="3223">
        <v>20790</v>
      </c>
      <c r="D57" s="3223">
        <v>21370</v>
      </c>
      <c r="E57" s="3223">
        <v>20890</v>
      </c>
      <c r="F57" s="3223">
        <v>4910</v>
      </c>
      <c r="G57" s="3223">
        <v>14510</v>
      </c>
      <c r="N57" s="3223" t="s">
        <v>3061</v>
      </c>
    </row>
    <row r="58" spans="1:17" ht="14.25" customHeight="1">
      <c r="A58" s="3223" t="s">
        <v>110</v>
      </c>
      <c r="B58" s="3223" t="s">
        <v>148</v>
      </c>
      <c r="C58" s="3223">
        <v>21460</v>
      </c>
      <c r="D58" s="3223">
        <v>20920</v>
      </c>
      <c r="E58" s="3223">
        <v>23410</v>
      </c>
      <c r="F58" s="3223">
        <v>5100</v>
      </c>
      <c r="G58" s="3223">
        <v>14200</v>
      </c>
      <c r="N58" s="3223" t="s">
        <v>3062</v>
      </c>
    </row>
    <row r="59" spans="1:17" ht="14.25" customHeight="1">
      <c r="A59" s="3223" t="s">
        <v>110</v>
      </c>
      <c r="B59" s="3223" t="s">
        <v>157</v>
      </c>
      <c r="C59" s="3223">
        <v>21000</v>
      </c>
      <c r="D59" s="3223">
        <v>21550</v>
      </c>
      <c r="E59" s="3223">
        <v>21150</v>
      </c>
      <c r="F59" s="3223">
        <v>5250</v>
      </c>
      <c r="G59" s="3223">
        <v>14630</v>
      </c>
      <c r="N59" s="3223" t="s">
        <v>3063</v>
      </c>
    </row>
    <row r="60" spans="1:17" ht="14.25" customHeight="1">
      <c r="A60" s="3223" t="s">
        <v>110</v>
      </c>
      <c r="B60" s="3223" t="s">
        <v>164</v>
      </c>
      <c r="C60" s="3223">
        <v>21640</v>
      </c>
      <c r="D60" s="3223">
        <v>21260</v>
      </c>
      <c r="E60" s="3223">
        <v>24040</v>
      </c>
      <c r="F60" s="3223">
        <v>4470</v>
      </c>
      <c r="G60" s="3223">
        <v>14430</v>
      </c>
      <c r="N60" s="3223" t="s">
        <v>3064</v>
      </c>
    </row>
    <row r="61" spans="1:17" ht="14.25" customHeight="1">
      <c r="A61" s="3223" t="s">
        <v>110</v>
      </c>
      <c r="B61" s="3223" t="s">
        <v>170</v>
      </c>
      <c r="C61" s="3223">
        <v>21330</v>
      </c>
      <c r="D61" s="3223">
        <v>18640</v>
      </c>
      <c r="E61" s="3223">
        <v>21190</v>
      </c>
      <c r="F61" s="3223">
        <v>4180</v>
      </c>
      <c r="G61" s="3223">
        <v>12650</v>
      </c>
      <c r="N61" s="3223" t="s">
        <v>3065</v>
      </c>
    </row>
    <row r="62" spans="1:17" ht="14.25" customHeight="1">
      <c r="A62" s="3223" t="s">
        <v>110</v>
      </c>
      <c r="B62" s="3223" t="s">
        <v>177</v>
      </c>
      <c r="C62" s="3223">
        <v>18710</v>
      </c>
      <c r="D62" s="3223">
        <v>19400</v>
      </c>
      <c r="E62" s="3223">
        <v>23750</v>
      </c>
      <c r="F62" s="3223">
        <v>4860</v>
      </c>
      <c r="G62" s="3223">
        <v>13170</v>
      </c>
      <c r="N62" s="3223" t="s">
        <v>3066</v>
      </c>
    </row>
    <row r="63" spans="1:17" ht="14.25" customHeight="1">
      <c r="A63" s="3223" t="s">
        <v>110</v>
      </c>
      <c r="B63" s="3223" t="s">
        <v>187</v>
      </c>
      <c r="C63" s="3223">
        <v>19480</v>
      </c>
      <c r="D63" s="3223">
        <v>16830</v>
      </c>
      <c r="E63" s="3223">
        <v>21590</v>
      </c>
      <c r="F63" s="3223">
        <v>4560</v>
      </c>
      <c r="G63" s="3223">
        <v>11420</v>
      </c>
      <c r="N63" s="3223" t="s">
        <v>3067</v>
      </c>
    </row>
    <row r="64" spans="1:17" ht="14.25" customHeight="1" thickBot="1">
      <c r="A64" s="3223" t="s">
        <v>110</v>
      </c>
      <c r="B64" s="3223" t="s">
        <v>196</v>
      </c>
      <c r="C64" s="3223">
        <v>16920</v>
      </c>
      <c r="D64" s="3223">
        <v>19190</v>
      </c>
      <c r="E64" s="3223">
        <v>22200</v>
      </c>
      <c r="F64" s="3223">
        <v>4390</v>
      </c>
      <c r="G64" s="3223">
        <v>13030</v>
      </c>
      <c r="N64" s="3230" t="s">
        <v>3068</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2939</v>
      </c>
      <c r="C78" s="3223">
        <v>19820</v>
      </c>
      <c r="D78" s="3223">
        <v>19780</v>
      </c>
      <c r="E78" s="3223">
        <v>18560</v>
      </c>
      <c r="F78" s="3223"/>
      <c r="G78" s="3223">
        <v>13430</v>
      </c>
    </row>
    <row r="79" spans="1:7" s="3212" customFormat="1" ht="14.25" customHeight="1">
      <c r="A79" s="3223" t="s">
        <v>110</v>
      </c>
      <c r="B79" s="3223" t="s">
        <v>2942</v>
      </c>
      <c r="C79" s="3223">
        <v>21660</v>
      </c>
      <c r="D79" s="3223">
        <v>18000</v>
      </c>
      <c r="E79" s="3223">
        <v>22570</v>
      </c>
      <c r="F79" s="3223"/>
      <c r="G79" s="3223">
        <v>12220</v>
      </c>
    </row>
    <row r="80" spans="1:7" s="3212" customFormat="1" ht="14.25" customHeight="1">
      <c r="A80" s="3223" t="s">
        <v>110</v>
      </c>
      <c r="B80" s="3223" t="s">
        <v>2946</v>
      </c>
      <c r="C80" s="3223">
        <v>19850</v>
      </c>
      <c r="D80" s="3223"/>
      <c r="E80" s="3223">
        <v>21700</v>
      </c>
      <c r="F80" s="3223"/>
      <c r="G80" s="3223"/>
    </row>
    <row r="81" spans="1:7" s="3212" customFormat="1" ht="14.25" customHeight="1">
      <c r="A81" s="3223" t="s">
        <v>110</v>
      </c>
      <c r="B81" s="3223" t="s">
        <v>2951</v>
      </c>
      <c r="C81" s="3223">
        <v>18080</v>
      </c>
      <c r="D81" s="3223"/>
      <c r="E81" s="3223">
        <v>20900</v>
      </c>
      <c r="F81" s="3223"/>
      <c r="G81" s="3223"/>
    </row>
    <row r="82" spans="1:7" s="3212" customFormat="1" ht="14.25" customHeight="1">
      <c r="A82" s="3223" t="s">
        <v>110</v>
      </c>
      <c r="B82" s="3223" t="s">
        <v>2958</v>
      </c>
      <c r="C82" s="3223"/>
      <c r="D82" s="3223"/>
      <c r="E82" s="3223">
        <v>20840</v>
      </c>
      <c r="F82" s="3223"/>
      <c r="G82" s="3223"/>
    </row>
    <row r="83" spans="1:7" s="3212" customFormat="1" ht="14.25" customHeight="1">
      <c r="A83" s="3223" t="s">
        <v>110</v>
      </c>
      <c r="B83" s="3223" t="s">
        <v>3069</v>
      </c>
      <c r="C83" s="3223"/>
      <c r="D83" s="3223"/>
      <c r="E83" s="3223"/>
      <c r="F83" s="3223">
        <v>4770</v>
      </c>
      <c r="G83" s="3223"/>
    </row>
    <row r="84" spans="1:7" s="3212" customFormat="1" ht="14.25" customHeight="1">
      <c r="A84" s="3223" t="s">
        <v>110</v>
      </c>
      <c r="B84" s="3223" t="s">
        <v>3070</v>
      </c>
      <c r="C84" s="3223"/>
      <c r="D84" s="3223"/>
      <c r="E84" s="3223"/>
      <c r="F84" s="3223">
        <v>4600</v>
      </c>
      <c r="G84" s="3223"/>
    </row>
    <row r="85" spans="1:7" s="3212" customFormat="1" ht="14.25" customHeight="1">
      <c r="A85" s="3223" t="s">
        <v>110</v>
      </c>
      <c r="B85" s="3223" t="s">
        <v>3071</v>
      </c>
      <c r="C85" s="3223"/>
      <c r="D85" s="3223"/>
      <c r="E85" s="3223"/>
      <c r="F85" s="3223">
        <v>4680</v>
      </c>
      <c r="G85" s="3223"/>
    </row>
    <row r="86" spans="1:7" s="3212" customFormat="1" ht="14.25" customHeight="1" thickBot="1">
      <c r="A86" s="3231" t="s">
        <v>110</v>
      </c>
      <c r="B86" s="3233" t="s">
        <v>3072</v>
      </c>
      <c r="C86" s="3234">
        <v>16610</v>
      </c>
      <c r="D86" s="3234">
        <v>16540</v>
      </c>
      <c r="E86" s="3234">
        <v>18850</v>
      </c>
      <c r="F86" s="3234"/>
      <c r="G86" s="3234">
        <v>11220</v>
      </c>
    </row>
    <row r="87" spans="1:7" s="3212" customFormat="1" ht="14.25" customHeight="1">
      <c r="A87" s="3228" t="s">
        <v>303</v>
      </c>
      <c r="B87" s="3219" t="s">
        <v>3073</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2952</v>
      </c>
      <c r="C113" s="3223">
        <v>15520</v>
      </c>
      <c r="D113" s="3223">
        <v>15450</v>
      </c>
      <c r="E113" s="3223"/>
      <c r="F113" s="3223"/>
      <c r="G113" s="3236">
        <v>10210</v>
      </c>
    </row>
    <row r="114" spans="1:7" s="3212" customFormat="1" ht="14.25" customHeight="1">
      <c r="A114" s="3223" t="s">
        <v>303</v>
      </c>
      <c r="B114" s="3223" t="s">
        <v>2959</v>
      </c>
      <c r="C114" s="3223">
        <v>13110</v>
      </c>
      <c r="D114" s="3223">
        <v>13050</v>
      </c>
      <c r="E114" s="3223"/>
      <c r="F114" s="3223"/>
      <c r="G114" s="3236">
        <v>8620</v>
      </c>
    </row>
    <row r="115" spans="1:7" s="3212" customFormat="1" ht="14.25" customHeight="1">
      <c r="A115" s="3223" t="s">
        <v>303</v>
      </c>
      <c r="B115" s="3223" t="s">
        <v>2965</v>
      </c>
      <c r="C115" s="3223">
        <v>12460</v>
      </c>
      <c r="D115" s="3223">
        <v>12390</v>
      </c>
      <c r="E115" s="3223"/>
      <c r="F115" s="3223"/>
      <c r="G115" s="3236">
        <v>8190</v>
      </c>
    </row>
    <row r="116" spans="1:7" s="3212" customFormat="1" ht="14.25" customHeight="1">
      <c r="A116" s="3223" t="s">
        <v>303</v>
      </c>
      <c r="B116" s="3223" t="s">
        <v>2972</v>
      </c>
      <c r="C116" s="3223">
        <v>13580</v>
      </c>
      <c r="D116" s="3223">
        <v>13520</v>
      </c>
      <c r="E116" s="3223"/>
      <c r="F116" s="3223"/>
      <c r="G116" s="3236">
        <v>8930</v>
      </c>
    </row>
    <row r="117" spans="1:7" s="3212" customFormat="1" ht="14.25" customHeight="1">
      <c r="A117" s="3223" t="s">
        <v>303</v>
      </c>
      <c r="B117" s="3223" t="s">
        <v>2979</v>
      </c>
      <c r="C117" s="3223">
        <v>17120</v>
      </c>
      <c r="D117" s="3223">
        <v>17040</v>
      </c>
      <c r="E117" s="3223"/>
      <c r="F117" s="3223"/>
      <c r="G117" s="3236">
        <v>11260</v>
      </c>
    </row>
    <row r="118" spans="1:7" s="3212" customFormat="1" ht="14.25" customHeight="1">
      <c r="A118" s="3223" t="s">
        <v>303</v>
      </c>
      <c r="B118" s="3223" t="s">
        <v>2984</v>
      </c>
      <c r="C118" s="3223">
        <v>14860</v>
      </c>
      <c r="D118" s="3223">
        <v>14790</v>
      </c>
      <c r="E118" s="3223"/>
      <c r="F118" s="3223"/>
      <c r="G118" s="3236">
        <v>9780</v>
      </c>
    </row>
    <row r="119" spans="1:7" s="3212" customFormat="1" ht="14.25" customHeight="1">
      <c r="A119" s="3223" t="s">
        <v>303</v>
      </c>
      <c r="B119" s="3223" t="s">
        <v>2988</v>
      </c>
      <c r="C119" s="3223">
        <v>16470</v>
      </c>
      <c r="D119" s="3223">
        <v>16400</v>
      </c>
      <c r="E119" s="3223"/>
      <c r="F119" s="3223"/>
      <c r="G119" s="3236">
        <v>10840</v>
      </c>
    </row>
    <row r="120" spans="1:7" s="3212" customFormat="1" ht="14.25" customHeight="1">
      <c r="A120" s="3223" t="s">
        <v>303</v>
      </c>
      <c r="B120" s="3223" t="s">
        <v>3074</v>
      </c>
      <c r="C120" s="3223"/>
      <c r="D120" s="3223"/>
      <c r="E120" s="3223"/>
      <c r="F120" s="3223">
        <v>4160</v>
      </c>
      <c r="G120" s="3236"/>
    </row>
    <row r="121" spans="1:7" s="3212" customFormat="1" ht="14.25" customHeight="1">
      <c r="A121" s="3223" t="s">
        <v>303</v>
      </c>
      <c r="B121" s="3223" t="s">
        <v>3075</v>
      </c>
      <c r="C121" s="3223"/>
      <c r="D121" s="3223"/>
      <c r="E121" s="3223"/>
      <c r="F121" s="3223">
        <v>3880</v>
      </c>
      <c r="G121" s="3236"/>
    </row>
    <row r="122" spans="1:7" s="3212" customFormat="1" ht="14.25" customHeight="1">
      <c r="A122" s="3223" t="s">
        <v>303</v>
      </c>
      <c r="B122" s="3223" t="s">
        <v>3076</v>
      </c>
      <c r="C122" s="3223">
        <v>13750</v>
      </c>
      <c r="D122" s="3223">
        <v>13680</v>
      </c>
      <c r="E122" s="3223">
        <v>16460</v>
      </c>
      <c r="F122" s="3223">
        <v>2880</v>
      </c>
      <c r="G122" s="3236">
        <v>9040</v>
      </c>
    </row>
    <row r="123" spans="1:7" s="3212" customFormat="1" ht="14.25" customHeight="1">
      <c r="A123" s="3223" t="s">
        <v>303</v>
      </c>
      <c r="B123" s="3223" t="s">
        <v>3007</v>
      </c>
      <c r="C123" s="3223">
        <v>13590</v>
      </c>
      <c r="D123" s="3223">
        <v>13520</v>
      </c>
      <c r="E123" s="3223">
        <v>16290</v>
      </c>
      <c r="F123" s="3223">
        <v>2790</v>
      </c>
      <c r="G123" s="3236">
        <v>8930</v>
      </c>
    </row>
    <row r="124" spans="1:7" s="3212" customFormat="1" ht="14.25" customHeight="1">
      <c r="A124" s="3223" t="s">
        <v>303</v>
      </c>
      <c r="B124" s="3223" t="s">
        <v>3012</v>
      </c>
      <c r="C124" s="3223">
        <v>13400</v>
      </c>
      <c r="D124" s="3223">
        <v>13320</v>
      </c>
      <c r="E124" s="3223">
        <v>16100</v>
      </c>
      <c r="F124" s="3223">
        <v>2320</v>
      </c>
      <c r="G124" s="3236">
        <v>8800</v>
      </c>
    </row>
    <row r="125" spans="1:7" s="3212" customFormat="1" ht="14.25" customHeight="1">
      <c r="A125" s="3223" t="s">
        <v>303</v>
      </c>
      <c r="B125" s="3223" t="s">
        <v>3017</v>
      </c>
      <c r="C125" s="3223">
        <v>12860</v>
      </c>
      <c r="D125" s="3223">
        <v>12790</v>
      </c>
      <c r="E125" s="3223">
        <v>15370</v>
      </c>
      <c r="F125" s="3223">
        <v>2280</v>
      </c>
      <c r="G125" s="3236">
        <v>8450</v>
      </c>
    </row>
    <row r="126" spans="1:7" s="3212" customFormat="1" ht="14.25" customHeight="1" thickBot="1">
      <c r="A126" s="3237" t="s">
        <v>303</v>
      </c>
      <c r="B126" s="3230" t="s">
        <v>3022</v>
      </c>
      <c r="C126" s="3230">
        <v>12960</v>
      </c>
      <c r="D126" s="3230">
        <v>12890</v>
      </c>
      <c r="E126" s="3230">
        <v>15530</v>
      </c>
      <c r="F126" s="3230">
        <v>2910</v>
      </c>
      <c r="G126" s="3238">
        <v>8520</v>
      </c>
    </row>
    <row r="127" spans="1:7" s="3212" customFormat="1" ht="14.25" customHeight="1">
      <c r="A127" s="3228" t="s">
        <v>29</v>
      </c>
      <c r="B127" s="3219" t="s">
        <v>3077</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3078</v>
      </c>
      <c r="C148" s="3223">
        <v>10370</v>
      </c>
      <c r="D148" s="3223">
        <v>10310</v>
      </c>
      <c r="E148" s="3223">
        <v>12970</v>
      </c>
      <c r="F148" s="3223"/>
      <c r="G148" s="3223">
        <v>6630</v>
      </c>
    </row>
    <row r="149" spans="1:7" s="3212" customFormat="1" ht="14.25" customHeight="1">
      <c r="A149" s="3223" t="s">
        <v>29</v>
      </c>
      <c r="B149" s="3223" t="s">
        <v>3079</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2953</v>
      </c>
      <c r="C153" s="3223">
        <v>10880</v>
      </c>
      <c r="D153" s="3223">
        <v>10820</v>
      </c>
      <c r="E153" s="3223">
        <v>13660</v>
      </c>
      <c r="F153" s="3223">
        <v>2260</v>
      </c>
      <c r="G153" s="3223">
        <v>6970</v>
      </c>
    </row>
    <row r="154" spans="1:7" s="3212" customFormat="1" ht="14.25" customHeight="1">
      <c r="A154" s="3223" t="s">
        <v>29</v>
      </c>
      <c r="B154" s="3223" t="s">
        <v>3080</v>
      </c>
      <c r="C154" s="3223">
        <v>11220</v>
      </c>
      <c r="D154" s="3223">
        <v>11160</v>
      </c>
      <c r="E154" s="3223">
        <v>14130</v>
      </c>
      <c r="F154" s="3223">
        <v>2230</v>
      </c>
      <c r="G154" s="3223">
        <v>7180</v>
      </c>
    </row>
    <row r="155" spans="1:7" s="3212" customFormat="1" ht="14.25" customHeight="1">
      <c r="A155" s="3223" t="s">
        <v>29</v>
      </c>
      <c r="B155" s="3223" t="s">
        <v>2966</v>
      </c>
      <c r="C155" s="3223">
        <v>10430</v>
      </c>
      <c r="D155" s="3223">
        <v>10380</v>
      </c>
      <c r="E155" s="3223">
        <v>13140</v>
      </c>
      <c r="F155" s="3223">
        <v>2080</v>
      </c>
      <c r="G155" s="3223">
        <v>6650</v>
      </c>
    </row>
    <row r="156" spans="1:7" s="3212" customFormat="1" ht="14.25" customHeight="1">
      <c r="A156" s="3223" t="s">
        <v>29</v>
      </c>
      <c r="B156" s="3223" t="s">
        <v>3081</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3082</v>
      </c>
      <c r="C160" s="3223">
        <v>11180</v>
      </c>
      <c r="D160" s="3223">
        <v>11140</v>
      </c>
      <c r="E160" s="3223">
        <v>14050</v>
      </c>
      <c r="F160" s="3223">
        <v>2270</v>
      </c>
      <c r="G160" s="3223">
        <v>7170</v>
      </c>
    </row>
    <row r="161" spans="1:7" s="3212" customFormat="1" ht="14.25" customHeight="1">
      <c r="A161" s="3223" t="s">
        <v>29</v>
      </c>
      <c r="B161" s="3223" t="s">
        <v>2998</v>
      </c>
      <c r="C161" s="3223">
        <v>11160</v>
      </c>
      <c r="D161" s="3223">
        <v>11120</v>
      </c>
      <c r="E161" s="3223">
        <v>14020</v>
      </c>
      <c r="F161" s="3223">
        <v>2150</v>
      </c>
      <c r="G161" s="3223">
        <v>7160</v>
      </c>
    </row>
    <row r="162" spans="1:7" s="3212" customFormat="1" ht="14.25" customHeight="1">
      <c r="A162" s="3223" t="s">
        <v>29</v>
      </c>
      <c r="B162" s="3223" t="s">
        <v>3003</v>
      </c>
      <c r="C162" s="3223">
        <v>9620</v>
      </c>
      <c r="D162" s="3223">
        <v>9570</v>
      </c>
      <c r="E162" s="3223">
        <v>12320</v>
      </c>
      <c r="F162" s="3223">
        <v>2010</v>
      </c>
      <c r="G162" s="3223">
        <v>6160</v>
      </c>
    </row>
    <row r="163" spans="1:7" s="3212" customFormat="1" ht="14.25" customHeight="1">
      <c r="A163" s="3223" t="s">
        <v>29</v>
      </c>
      <c r="B163" s="3223" t="s">
        <v>3008</v>
      </c>
      <c r="C163" s="3223">
        <v>9320</v>
      </c>
      <c r="D163" s="3223">
        <v>9270</v>
      </c>
      <c r="E163" s="3223">
        <v>11790</v>
      </c>
      <c r="F163" s="3223">
        <v>1920</v>
      </c>
      <c r="G163" s="3223">
        <v>5960</v>
      </c>
    </row>
    <row r="164" spans="1:7" s="3212" customFormat="1" ht="14.25" customHeight="1">
      <c r="A164" s="3223" t="s">
        <v>29</v>
      </c>
      <c r="B164" s="3223" t="s">
        <v>3013</v>
      </c>
      <c r="C164" s="3223"/>
      <c r="D164" s="3223"/>
      <c r="E164" s="3223"/>
      <c r="F164" s="3223">
        <v>1980</v>
      </c>
      <c r="G164" s="3223"/>
    </row>
    <row r="165" spans="1:7" s="3212" customFormat="1" ht="14.25" customHeight="1">
      <c r="A165" s="3223" t="s">
        <v>29</v>
      </c>
      <c r="B165" s="3223" t="s">
        <v>3083</v>
      </c>
      <c r="C165" s="3223">
        <v>11060</v>
      </c>
      <c r="D165" s="3223">
        <v>11030</v>
      </c>
      <c r="E165" s="3223">
        <v>13850</v>
      </c>
      <c r="F165" s="3223">
        <v>2170</v>
      </c>
      <c r="G165" s="3223">
        <v>7090</v>
      </c>
    </row>
    <row r="166" spans="1:7" s="3212" customFormat="1" ht="14.25" customHeight="1">
      <c r="A166" s="3223" t="s">
        <v>29</v>
      </c>
      <c r="B166" s="3223" t="s">
        <v>3023</v>
      </c>
      <c r="C166" s="3223">
        <v>11050</v>
      </c>
      <c r="D166" s="3223">
        <v>11010</v>
      </c>
      <c r="E166" s="3223">
        <v>13920</v>
      </c>
      <c r="F166" s="3223">
        <v>2140</v>
      </c>
      <c r="G166" s="3223">
        <v>7080</v>
      </c>
    </row>
    <row r="167" spans="1:7" s="3212" customFormat="1" ht="14.25" customHeight="1">
      <c r="A167" s="3223" t="s">
        <v>29</v>
      </c>
      <c r="B167" s="3223" t="s">
        <v>3027</v>
      </c>
      <c r="C167" s="3223">
        <v>10930</v>
      </c>
      <c r="D167" s="3223">
        <v>10890</v>
      </c>
      <c r="E167" s="3223">
        <v>13790</v>
      </c>
      <c r="F167" s="3223">
        <v>2010</v>
      </c>
      <c r="G167" s="3223">
        <v>7000</v>
      </c>
    </row>
    <row r="168" spans="1:7" s="3212" customFormat="1" ht="14.25" customHeight="1">
      <c r="A168" s="3223" t="s">
        <v>29</v>
      </c>
      <c r="B168" s="3223" t="s">
        <v>3032</v>
      </c>
      <c r="C168" s="3223">
        <v>9420</v>
      </c>
      <c r="D168" s="3223">
        <v>9380</v>
      </c>
      <c r="E168" s="3223">
        <v>11970</v>
      </c>
      <c r="F168" s="3223"/>
      <c r="G168" s="3223">
        <v>6040</v>
      </c>
    </row>
    <row r="169" spans="1:7" s="3212" customFormat="1" ht="14.25" customHeight="1">
      <c r="A169" s="3223" t="s">
        <v>29</v>
      </c>
      <c r="B169" s="3223" t="s">
        <v>3084</v>
      </c>
      <c r="C169" s="3223"/>
      <c r="D169" s="3223"/>
      <c r="E169" s="3223"/>
      <c r="F169" s="3223">
        <v>2880</v>
      </c>
      <c r="G169" s="3223"/>
    </row>
    <row r="170" spans="1:7" s="3212" customFormat="1" ht="14.25" customHeight="1">
      <c r="A170" s="3223" t="s">
        <v>29</v>
      </c>
      <c r="B170" s="3223" t="s">
        <v>3040</v>
      </c>
      <c r="C170" s="3223"/>
      <c r="D170" s="3223"/>
      <c r="E170" s="3223"/>
      <c r="F170" s="3223">
        <v>2880</v>
      </c>
      <c r="G170" s="3223"/>
    </row>
    <row r="171" spans="1:7" s="3212" customFormat="1" ht="14.25" customHeight="1">
      <c r="A171" s="3223" t="s">
        <v>29</v>
      </c>
      <c r="B171" s="3223" t="s">
        <v>3043</v>
      </c>
      <c r="C171" s="3223"/>
      <c r="D171" s="3223"/>
      <c r="E171" s="3223"/>
      <c r="F171" s="3223">
        <v>2880</v>
      </c>
      <c r="G171" s="3223"/>
    </row>
    <row r="172" spans="1:7" s="3212" customFormat="1" ht="14.25" customHeight="1">
      <c r="A172" s="3223" t="s">
        <v>29</v>
      </c>
      <c r="B172" s="3223" t="s">
        <v>3045</v>
      </c>
      <c r="C172" s="3223"/>
      <c r="D172" s="3223"/>
      <c r="E172" s="3223"/>
      <c r="F172" s="3223">
        <v>2880</v>
      </c>
      <c r="G172" s="3223"/>
    </row>
    <row r="173" spans="1:7" s="3212" customFormat="1" ht="14.25" customHeight="1">
      <c r="A173" s="3223" t="s">
        <v>29</v>
      </c>
      <c r="B173" s="3223" t="s">
        <v>3047</v>
      </c>
      <c r="C173" s="3223"/>
      <c r="D173" s="3223"/>
      <c r="E173" s="3223"/>
      <c r="F173" s="3223">
        <v>2150</v>
      </c>
      <c r="G173" s="3223"/>
    </row>
    <row r="174" spans="1:7" s="3212" customFormat="1" ht="14.25" customHeight="1">
      <c r="A174" s="3223" t="s">
        <v>29</v>
      </c>
      <c r="B174" s="3223" t="s">
        <v>3049</v>
      </c>
      <c r="C174" s="3223"/>
      <c r="D174" s="3223"/>
      <c r="E174" s="3223"/>
      <c r="F174" s="3223">
        <v>2030</v>
      </c>
      <c r="G174" s="3223"/>
    </row>
    <row r="175" spans="1:7" s="3212" customFormat="1" ht="14.25" customHeight="1">
      <c r="A175" s="3223" t="s">
        <v>29</v>
      </c>
      <c r="B175" s="3223" t="s">
        <v>3051</v>
      </c>
      <c r="C175" s="3223"/>
      <c r="D175" s="3223"/>
      <c r="E175" s="3223"/>
      <c r="F175" s="3223">
        <v>2780</v>
      </c>
      <c r="G175" s="3223"/>
    </row>
    <row r="176" spans="1:7" s="3212" customFormat="1" ht="14.25" customHeight="1">
      <c r="A176" s="3223" t="s">
        <v>29</v>
      </c>
      <c r="B176" s="3223" t="s">
        <v>3053</v>
      </c>
      <c r="C176" s="3223"/>
      <c r="D176" s="3223"/>
      <c r="E176" s="3223"/>
      <c r="F176" s="3223">
        <v>2780</v>
      </c>
      <c r="G176" s="3223"/>
    </row>
    <row r="177" spans="1:7" s="3212" customFormat="1" ht="14.25" customHeight="1">
      <c r="A177" s="3223" t="s">
        <v>29</v>
      </c>
      <c r="B177" s="3223" t="s">
        <v>3085</v>
      </c>
      <c r="C177" s="3223"/>
      <c r="D177" s="3223"/>
      <c r="E177" s="3223"/>
      <c r="F177" s="3223">
        <v>2780</v>
      </c>
      <c r="G177" s="3223"/>
    </row>
    <row r="178" spans="1:7" s="3212" customFormat="1" ht="14.25" customHeight="1">
      <c r="A178" s="3223" t="s">
        <v>29</v>
      </c>
      <c r="B178" s="3223" t="s">
        <v>3086</v>
      </c>
      <c r="C178" s="3223"/>
      <c r="D178" s="3223"/>
      <c r="E178" s="3223"/>
      <c r="F178" s="3223">
        <v>2060</v>
      </c>
      <c r="G178" s="3223"/>
    </row>
    <row r="179" spans="1:7" s="3212" customFormat="1" ht="14.25" customHeight="1">
      <c r="A179" s="3223" t="s">
        <v>29</v>
      </c>
      <c r="B179" s="3223" t="s">
        <v>3087</v>
      </c>
      <c r="C179" s="3223"/>
      <c r="D179" s="3223"/>
      <c r="E179" s="3223"/>
      <c r="F179" s="3223">
        <v>2120</v>
      </c>
      <c r="G179" s="3223"/>
    </row>
    <row r="180" spans="1:7" s="3212" customFormat="1" ht="14.25" customHeight="1">
      <c r="A180" s="3223" t="s">
        <v>29</v>
      </c>
      <c r="B180" s="3223" t="s">
        <v>3059</v>
      </c>
      <c r="C180" s="3223"/>
      <c r="D180" s="3223"/>
      <c r="E180" s="3223"/>
      <c r="F180" s="3223">
        <v>2340</v>
      </c>
      <c r="G180" s="3223"/>
    </row>
    <row r="181" spans="1:7" s="3212" customFormat="1" ht="14.25" customHeight="1">
      <c r="A181" s="3223" t="s">
        <v>29</v>
      </c>
      <c r="B181" s="3223" t="s">
        <v>3060</v>
      </c>
      <c r="C181" s="3223"/>
      <c r="D181" s="3223"/>
      <c r="E181" s="3223"/>
      <c r="F181" s="3223">
        <v>2340</v>
      </c>
      <c r="G181" s="3223"/>
    </row>
    <row r="182" spans="1:7" s="3212" customFormat="1" ht="14.25" customHeight="1">
      <c r="A182" s="3223" t="s">
        <v>29</v>
      </c>
      <c r="B182" s="3223" t="s">
        <v>3061</v>
      </c>
      <c r="C182" s="3223"/>
      <c r="D182" s="3223"/>
      <c r="E182" s="3223"/>
      <c r="F182" s="3223">
        <v>2340</v>
      </c>
      <c r="G182" s="3223"/>
    </row>
    <row r="183" spans="1:7" s="3212" customFormat="1" ht="14.25" customHeight="1">
      <c r="A183" s="3223" t="s">
        <v>29</v>
      </c>
      <c r="B183" s="3223" t="s">
        <v>3062</v>
      </c>
      <c r="C183" s="3223"/>
      <c r="D183" s="3223"/>
      <c r="E183" s="3223"/>
      <c r="F183" s="3223">
        <v>2340</v>
      </c>
      <c r="G183" s="3223"/>
    </row>
    <row r="184" spans="1:7" s="3212" customFormat="1" ht="14.25" customHeight="1">
      <c r="A184" s="3223" t="s">
        <v>29</v>
      </c>
      <c r="B184" s="3223" t="s">
        <v>3063</v>
      </c>
      <c r="C184" s="3223"/>
      <c r="D184" s="3223"/>
      <c r="E184" s="3223"/>
      <c r="F184" s="3223">
        <v>2340</v>
      </c>
      <c r="G184" s="3223"/>
    </row>
    <row r="185" spans="1:7" s="3212" customFormat="1" ht="14.25" customHeight="1">
      <c r="A185" s="3223" t="s">
        <v>29</v>
      </c>
      <c r="B185" s="3223" t="s">
        <v>3064</v>
      </c>
      <c r="C185" s="3223"/>
      <c r="D185" s="3223"/>
      <c r="E185" s="3223"/>
      <c r="F185" s="3223">
        <v>2530</v>
      </c>
      <c r="G185" s="3223"/>
    </row>
    <row r="186" spans="1:7" s="3212" customFormat="1" ht="14.25" customHeight="1">
      <c r="A186" s="3223" t="s">
        <v>29</v>
      </c>
      <c r="B186" s="3223" t="s">
        <v>3065</v>
      </c>
      <c r="C186" s="3223"/>
      <c r="D186" s="3223"/>
      <c r="E186" s="3223"/>
      <c r="F186" s="3223">
        <v>2550</v>
      </c>
      <c r="G186" s="3223"/>
    </row>
    <row r="187" spans="1:7" s="3212" customFormat="1" ht="14.25" customHeight="1">
      <c r="A187" s="3223" t="s">
        <v>29</v>
      </c>
      <c r="B187" s="3223" t="s">
        <v>3066</v>
      </c>
      <c r="C187" s="3223"/>
      <c r="D187" s="3223"/>
      <c r="E187" s="3223"/>
      <c r="F187" s="3223">
        <v>2070</v>
      </c>
      <c r="G187" s="3223"/>
    </row>
    <row r="188" spans="1:7" s="3212" customFormat="1" ht="14.25" customHeight="1">
      <c r="A188" s="3223" t="s">
        <v>29</v>
      </c>
      <c r="B188" s="3223" t="s">
        <v>3067</v>
      </c>
      <c r="C188" s="3223"/>
      <c r="D188" s="3223"/>
      <c r="E188" s="3223"/>
      <c r="F188" s="3223">
        <v>2340</v>
      </c>
      <c r="G188" s="3223"/>
    </row>
    <row r="189" spans="1:7" s="3212" customFormat="1" ht="14.25" customHeight="1" thickBot="1">
      <c r="A189" s="3231" t="s">
        <v>29</v>
      </c>
      <c r="B189" s="3234" t="s">
        <v>3068</v>
      </c>
      <c r="C189" s="3234"/>
      <c r="D189" s="3234"/>
      <c r="E189" s="3234"/>
      <c r="F189" s="3234">
        <v>2050</v>
      </c>
      <c r="G189" s="3234"/>
    </row>
    <row r="190" spans="1:7" s="3212" customFormat="1" ht="14.25" customHeight="1">
      <c r="A190" s="3228" t="s">
        <v>304</v>
      </c>
      <c r="B190" s="3219" t="s">
        <v>3088</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3089</v>
      </c>
      <c r="C199" s="3223">
        <v>8690</v>
      </c>
      <c r="D199" s="3223">
        <v>8630</v>
      </c>
      <c r="E199" s="3223">
        <v>11350</v>
      </c>
      <c r="F199" s="3223">
        <v>1600</v>
      </c>
      <c r="G199" s="3236">
        <v>5450</v>
      </c>
    </row>
    <row r="200" spans="1:7" s="3212" customFormat="1" ht="14.25" customHeight="1">
      <c r="A200" s="3223" t="s">
        <v>304</v>
      </c>
      <c r="B200" s="3223" t="s">
        <v>2900</v>
      </c>
      <c r="C200" s="3223"/>
      <c r="D200" s="3223"/>
      <c r="E200" s="3223"/>
      <c r="F200" s="3223">
        <v>1510</v>
      </c>
      <c r="G200" s="3236"/>
    </row>
    <row r="201" spans="1:7" s="3212" customFormat="1" ht="14.25" customHeight="1">
      <c r="A201" s="3223" t="s">
        <v>304</v>
      </c>
      <c r="B201" s="3223" t="s">
        <v>3090</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3091</v>
      </c>
      <c r="C203" s="3223">
        <v>8130</v>
      </c>
      <c r="D203" s="3223">
        <v>8070</v>
      </c>
      <c r="E203" s="3223">
        <v>10820</v>
      </c>
      <c r="F203" s="3223">
        <v>1690</v>
      </c>
      <c r="G203" s="3236">
        <v>5100</v>
      </c>
    </row>
    <row r="204" spans="1:7" s="3212" customFormat="1" ht="14.25" customHeight="1">
      <c r="A204" s="3223" t="s">
        <v>304</v>
      </c>
      <c r="B204" s="3223" t="s">
        <v>2911</v>
      </c>
      <c r="C204" s="3223">
        <v>8350</v>
      </c>
      <c r="D204" s="3223">
        <v>8290</v>
      </c>
      <c r="E204" s="3223">
        <v>11080</v>
      </c>
      <c r="F204" s="3223">
        <v>1450</v>
      </c>
      <c r="G204" s="3236">
        <v>5240</v>
      </c>
    </row>
    <row r="205" spans="1:7" s="3212" customFormat="1" ht="14.25" customHeight="1">
      <c r="A205" s="3223" t="s">
        <v>304</v>
      </c>
      <c r="B205" s="3223" t="s">
        <v>2913</v>
      </c>
      <c r="C205" s="3223">
        <v>7190</v>
      </c>
      <c r="D205" s="3223">
        <v>7130</v>
      </c>
      <c r="E205" s="3223">
        <v>9490</v>
      </c>
      <c r="F205" s="3223">
        <v>1470</v>
      </c>
      <c r="G205" s="3236">
        <v>4510</v>
      </c>
    </row>
    <row r="206" spans="1:7" s="3212" customFormat="1" ht="14.25" customHeight="1">
      <c r="A206" s="3223" t="s">
        <v>304</v>
      </c>
      <c r="B206" s="3223" t="s">
        <v>2916</v>
      </c>
      <c r="C206" s="3223">
        <v>7000</v>
      </c>
      <c r="D206" s="3223">
        <v>6950</v>
      </c>
      <c r="E206" s="3223">
        <v>9170</v>
      </c>
      <c r="F206" s="3223">
        <v>1400</v>
      </c>
      <c r="G206" s="3236">
        <v>4380</v>
      </c>
    </row>
    <row r="207" spans="1:7" s="3212" customFormat="1" ht="14.25" customHeight="1">
      <c r="A207" s="3223" t="s">
        <v>304</v>
      </c>
      <c r="B207" s="3223" t="s">
        <v>2918</v>
      </c>
      <c r="C207" s="3223">
        <v>6950</v>
      </c>
      <c r="D207" s="3223">
        <v>6900</v>
      </c>
      <c r="E207" s="3223">
        <v>9110</v>
      </c>
      <c r="F207" s="3223">
        <v>1790</v>
      </c>
      <c r="G207" s="3236">
        <v>4360</v>
      </c>
    </row>
    <row r="208" spans="1:7" s="3212" customFormat="1" ht="14.25" customHeight="1">
      <c r="A208" s="3223" t="s">
        <v>304</v>
      </c>
      <c r="B208" s="3223" t="s">
        <v>3092</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2928</v>
      </c>
      <c r="C210" s="3223">
        <v>8710</v>
      </c>
      <c r="D210" s="3223">
        <v>8660</v>
      </c>
      <c r="E210" s="3223">
        <v>11440</v>
      </c>
      <c r="F210" s="3223">
        <v>1740</v>
      </c>
      <c r="G210" s="3236">
        <v>5470</v>
      </c>
    </row>
    <row r="211" spans="1:7" s="3212" customFormat="1" ht="14.25" customHeight="1">
      <c r="A211" s="3223" t="s">
        <v>304</v>
      </c>
      <c r="B211" s="3223" t="s">
        <v>3093</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3094</v>
      </c>
      <c r="C214" s="3223">
        <v>8090</v>
      </c>
      <c r="D214" s="3223">
        <v>8030</v>
      </c>
      <c r="E214" s="3223">
        <v>10780</v>
      </c>
      <c r="F214" s="3223">
        <v>1570</v>
      </c>
      <c r="G214" s="3236">
        <v>5070</v>
      </c>
    </row>
    <row r="215" spans="1:7" s="3212" customFormat="1" ht="14.25" customHeight="1">
      <c r="A215" s="3223" t="s">
        <v>304</v>
      </c>
      <c r="B215" s="3223" t="s">
        <v>3095</v>
      </c>
      <c r="C215" s="3223">
        <v>7950</v>
      </c>
      <c r="D215" s="3223">
        <v>7900</v>
      </c>
      <c r="E215" s="3223">
        <v>10560</v>
      </c>
      <c r="F215" s="3223">
        <v>1630</v>
      </c>
      <c r="G215" s="3236">
        <v>4990</v>
      </c>
    </row>
    <row r="216" spans="1:7" s="3212" customFormat="1" ht="14.25" customHeight="1">
      <c r="A216" s="3223" t="s">
        <v>304</v>
      </c>
      <c r="B216" s="3223" t="s">
        <v>3096</v>
      </c>
      <c r="C216" s="3223">
        <v>8490</v>
      </c>
      <c r="D216" s="3223">
        <v>8440</v>
      </c>
      <c r="E216" s="3223">
        <v>11260</v>
      </c>
      <c r="F216" s="3223">
        <v>1690</v>
      </c>
      <c r="G216" s="3236">
        <v>5330</v>
      </c>
    </row>
    <row r="217" spans="1:7" s="3212" customFormat="1" ht="14.25" customHeight="1">
      <c r="A217" s="3223" t="s">
        <v>304</v>
      </c>
      <c r="B217" s="3223" t="s">
        <v>2961</v>
      </c>
      <c r="C217" s="3223">
        <v>8200</v>
      </c>
      <c r="D217" s="3223">
        <v>8150</v>
      </c>
      <c r="E217" s="3223">
        <v>10910</v>
      </c>
      <c r="F217" s="3223">
        <v>1670</v>
      </c>
      <c r="G217" s="3236">
        <v>5150</v>
      </c>
    </row>
    <row r="218" spans="1:7" s="3212" customFormat="1" ht="14.25" customHeight="1">
      <c r="A218" s="3223" t="s">
        <v>304</v>
      </c>
      <c r="B218" s="3223" t="s">
        <v>3097</v>
      </c>
      <c r="C218" s="3223"/>
      <c r="D218" s="3223"/>
      <c r="E218" s="3223"/>
      <c r="F218" s="3223">
        <v>2040</v>
      </c>
      <c r="G218" s="3236"/>
    </row>
    <row r="219" spans="1:7" s="3212" customFormat="1" ht="14.25" customHeight="1">
      <c r="A219" s="3223" t="s">
        <v>304</v>
      </c>
      <c r="B219" s="3223" t="s">
        <v>3098</v>
      </c>
      <c r="C219" s="3223"/>
      <c r="D219" s="3223"/>
      <c r="E219" s="3223"/>
      <c r="F219" s="3223">
        <v>2040</v>
      </c>
      <c r="G219" s="3236"/>
    </row>
    <row r="220" spans="1:7" s="3212" customFormat="1" ht="14.25" customHeight="1">
      <c r="A220" s="3223" t="s">
        <v>304</v>
      </c>
      <c r="B220" s="3223" t="s">
        <v>3099</v>
      </c>
      <c r="C220" s="3223"/>
      <c r="D220" s="3223"/>
      <c r="E220" s="3223"/>
      <c r="F220" s="3223">
        <v>2040</v>
      </c>
      <c r="G220" s="3236"/>
    </row>
    <row r="221" spans="1:7" s="3212" customFormat="1" ht="14.25" customHeight="1">
      <c r="A221" s="3223" t="s">
        <v>304</v>
      </c>
      <c r="B221" s="3223" t="s">
        <v>3100</v>
      </c>
      <c r="C221" s="3223"/>
      <c r="D221" s="3223"/>
      <c r="E221" s="3223"/>
      <c r="F221" s="3223">
        <v>2040</v>
      </c>
      <c r="G221" s="3236"/>
    </row>
    <row r="222" spans="1:7" s="3212" customFormat="1" ht="14.25" customHeight="1">
      <c r="A222" s="3223" t="s">
        <v>304</v>
      </c>
      <c r="B222" s="3223" t="s">
        <v>3101</v>
      </c>
      <c r="C222" s="3223"/>
      <c r="D222" s="3223"/>
      <c r="E222" s="3223"/>
      <c r="F222" s="3223">
        <v>2040</v>
      </c>
      <c r="G222" s="3236"/>
    </row>
    <row r="223" spans="1:7" s="3212" customFormat="1" ht="14.25" customHeight="1">
      <c r="A223" s="3223" t="s">
        <v>304</v>
      </c>
      <c r="B223" s="3223" t="s">
        <v>3102</v>
      </c>
      <c r="C223" s="3223"/>
      <c r="D223" s="3223"/>
      <c r="E223" s="3223"/>
      <c r="F223" s="3223">
        <v>1930</v>
      </c>
      <c r="G223" s="3236"/>
    </row>
    <row r="224" spans="1:7" s="3212" customFormat="1" ht="14.25" customHeight="1">
      <c r="A224" s="3223" t="s">
        <v>304</v>
      </c>
      <c r="B224" s="3223" t="s">
        <v>3103</v>
      </c>
      <c r="C224" s="3223"/>
      <c r="D224" s="3223"/>
      <c r="E224" s="3223"/>
      <c r="F224" s="3223">
        <v>1930</v>
      </c>
      <c r="G224" s="3236"/>
    </row>
    <row r="225" spans="1:7" s="3212" customFormat="1" ht="14.25" customHeight="1">
      <c r="A225" s="3223" t="s">
        <v>304</v>
      </c>
      <c r="B225" s="3223" t="s">
        <v>3104</v>
      </c>
      <c r="C225" s="3223"/>
      <c r="D225" s="3223"/>
      <c r="E225" s="3223"/>
      <c r="F225" s="3223">
        <v>1930</v>
      </c>
      <c r="G225" s="3236"/>
    </row>
    <row r="226" spans="1:7" s="3212" customFormat="1" ht="14.25" customHeight="1">
      <c r="A226" s="3223" t="s">
        <v>304</v>
      </c>
      <c r="B226" s="3223" t="s">
        <v>3105</v>
      </c>
      <c r="C226" s="3223"/>
      <c r="D226" s="3223"/>
      <c r="E226" s="3223"/>
      <c r="F226" s="3223">
        <v>1700</v>
      </c>
      <c r="G226" s="3236"/>
    </row>
    <row r="227" spans="1:7" s="3212" customFormat="1" ht="14.25" customHeight="1">
      <c r="A227" s="3223" t="s">
        <v>304</v>
      </c>
      <c r="B227" s="3223" t="s">
        <v>3106</v>
      </c>
      <c r="C227" s="3223"/>
      <c r="D227" s="3223"/>
      <c r="E227" s="3223"/>
      <c r="F227" s="3223">
        <v>1520</v>
      </c>
      <c r="G227" s="3236"/>
    </row>
    <row r="228" spans="1:7" s="3212" customFormat="1" ht="14.25" customHeight="1">
      <c r="A228" s="3223" t="s">
        <v>304</v>
      </c>
      <c r="B228" s="3223" t="s">
        <v>3107</v>
      </c>
      <c r="C228" s="3223"/>
      <c r="D228" s="3223"/>
      <c r="E228" s="3223"/>
      <c r="F228" s="3223">
        <v>1520</v>
      </c>
      <c r="G228" s="3236"/>
    </row>
    <row r="229" spans="1:7" s="3212" customFormat="1" ht="14.25" customHeight="1">
      <c r="A229" s="3223" t="s">
        <v>304</v>
      </c>
      <c r="B229" s="3223" t="s">
        <v>3024</v>
      </c>
      <c r="C229" s="3223"/>
      <c r="D229" s="3223"/>
      <c r="E229" s="3223"/>
      <c r="F229" s="3223">
        <v>1520</v>
      </c>
      <c r="G229" s="3236"/>
    </row>
    <row r="230" spans="1:7" s="3212" customFormat="1" ht="14.25" customHeight="1">
      <c r="A230" s="3223" t="s">
        <v>304</v>
      </c>
      <c r="B230" s="3223" t="s">
        <v>3108</v>
      </c>
      <c r="C230" s="3223"/>
      <c r="D230" s="3223"/>
      <c r="E230" s="3223"/>
      <c r="F230" s="3223">
        <v>1820</v>
      </c>
      <c r="G230" s="3236"/>
    </row>
    <row r="231" spans="1:7" s="3212" customFormat="1" ht="14.25" customHeight="1">
      <c r="A231" s="3223" t="s">
        <v>304</v>
      </c>
      <c r="B231" s="3223" t="s">
        <v>3109</v>
      </c>
      <c r="C231" s="3223"/>
      <c r="D231" s="3223"/>
      <c r="E231" s="3223"/>
      <c r="F231" s="3223">
        <v>1760</v>
      </c>
      <c r="G231" s="3236"/>
    </row>
    <row r="232" spans="1:7" s="3212" customFormat="1" ht="14.25" customHeight="1">
      <c r="A232" s="3223" t="s">
        <v>304</v>
      </c>
      <c r="B232" s="3223" t="s">
        <v>3110</v>
      </c>
      <c r="C232" s="3223"/>
      <c r="D232" s="3223"/>
      <c r="E232" s="3223"/>
      <c r="F232" s="3223">
        <v>1840</v>
      </c>
      <c r="G232" s="3236"/>
    </row>
    <row r="233" spans="1:7" s="3212" customFormat="1" ht="14.25" customHeight="1" thickBot="1">
      <c r="A233" s="3237" t="s">
        <v>304</v>
      </c>
      <c r="B233" s="3230" t="s">
        <v>3041</v>
      </c>
      <c r="C233" s="3230"/>
      <c r="D233" s="3230"/>
      <c r="E233" s="3230"/>
      <c r="F233" s="3230">
        <v>1770</v>
      </c>
      <c r="G233" s="3238"/>
    </row>
    <row r="234" spans="1:7" s="3212" customFormat="1" ht="14.25" customHeight="1">
      <c r="A234" s="3228" t="s">
        <v>305</v>
      </c>
      <c r="B234" s="3219" t="s">
        <v>3111</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2882</v>
      </c>
      <c r="C238" s="3223">
        <v>6920</v>
      </c>
      <c r="D238" s="3223">
        <v>6890</v>
      </c>
      <c r="E238" s="3223">
        <v>8640</v>
      </c>
      <c r="F238" s="3223">
        <v>1310</v>
      </c>
      <c r="G238" s="3223">
        <v>4230</v>
      </c>
    </row>
    <row r="239" spans="1:7" s="3212" customFormat="1" ht="14.25" customHeight="1">
      <c r="A239" s="3223" t="s">
        <v>305</v>
      </c>
      <c r="B239" s="3223" t="s">
        <v>3112</v>
      </c>
      <c r="C239" s="3223">
        <v>6780</v>
      </c>
      <c r="D239" s="3223">
        <v>6750</v>
      </c>
      <c r="E239" s="3223">
        <v>8440</v>
      </c>
      <c r="F239" s="3223">
        <v>1160</v>
      </c>
      <c r="G239" s="3223">
        <v>4140</v>
      </c>
    </row>
    <row r="240" spans="1:7" s="3212" customFormat="1" ht="14.25" customHeight="1">
      <c r="A240" s="3223" t="s">
        <v>305</v>
      </c>
      <c r="B240" s="3223" t="s">
        <v>3113</v>
      </c>
      <c r="C240" s="3223">
        <v>5420</v>
      </c>
      <c r="D240" s="3223">
        <v>5380</v>
      </c>
      <c r="E240" s="3223">
        <v>6640</v>
      </c>
      <c r="F240" s="3223">
        <v>1020</v>
      </c>
      <c r="G240" s="3223">
        <v>3300</v>
      </c>
    </row>
    <row r="241" spans="1:7" s="3212" customFormat="1" ht="14.25" customHeight="1">
      <c r="A241" s="3223" t="s">
        <v>305</v>
      </c>
      <c r="B241" s="3223" t="s">
        <v>3114</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3115</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3116</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3117</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3118</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3119</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2944</v>
      </c>
      <c r="C258" s="3223">
        <v>6190</v>
      </c>
      <c r="D258" s="3223">
        <v>6160</v>
      </c>
      <c r="E258" s="3223">
        <v>7680</v>
      </c>
      <c r="F258" s="3223">
        <v>1170</v>
      </c>
      <c r="G258" s="3223">
        <v>3780</v>
      </c>
    </row>
    <row r="259" spans="1:7" s="3212" customFormat="1" ht="14.25" customHeight="1">
      <c r="A259" s="3223" t="s">
        <v>305</v>
      </c>
      <c r="B259" s="3223" t="s">
        <v>3120</v>
      </c>
      <c r="C259" s="3223">
        <v>7610</v>
      </c>
      <c r="D259" s="3223">
        <v>7570</v>
      </c>
      <c r="E259" s="3223">
        <v>9350</v>
      </c>
      <c r="F259" s="3223">
        <v>1350</v>
      </c>
      <c r="G259" s="3223">
        <v>4650</v>
      </c>
    </row>
    <row r="260" spans="1:7" s="3212" customFormat="1" ht="14.25" customHeight="1">
      <c r="A260" s="3223" t="s">
        <v>305</v>
      </c>
      <c r="B260" s="3223" t="s">
        <v>3121</v>
      </c>
      <c r="C260" s="3223">
        <v>6920</v>
      </c>
      <c r="D260" s="3223">
        <v>6880</v>
      </c>
      <c r="E260" s="3223">
        <v>8380</v>
      </c>
      <c r="F260" s="3223">
        <v>1160</v>
      </c>
      <c r="G260" s="3223">
        <v>4220</v>
      </c>
    </row>
    <row r="261" spans="1:7" s="3212" customFormat="1" ht="14.25" customHeight="1">
      <c r="A261" s="3223" t="s">
        <v>305</v>
      </c>
      <c r="B261" s="3223" t="s">
        <v>3122</v>
      </c>
      <c r="C261" s="3223">
        <v>6850</v>
      </c>
      <c r="D261" s="3223">
        <v>6810</v>
      </c>
      <c r="E261" s="3223">
        <v>8290</v>
      </c>
      <c r="F261" s="3223">
        <v>1130</v>
      </c>
      <c r="G261" s="3223">
        <v>4180</v>
      </c>
    </row>
    <row r="262" spans="1:7" s="3212" customFormat="1" ht="14.25" customHeight="1">
      <c r="A262" s="3223" t="s">
        <v>305</v>
      </c>
      <c r="B262" s="3223" t="s">
        <v>3123</v>
      </c>
      <c r="C262" s="3223">
        <v>5860</v>
      </c>
      <c r="D262" s="3223">
        <v>5820</v>
      </c>
      <c r="E262" s="3223">
        <v>7640</v>
      </c>
      <c r="F262" s="3223">
        <v>1070</v>
      </c>
      <c r="G262" s="3223">
        <v>3570</v>
      </c>
    </row>
    <row r="263" spans="1:7" s="3212" customFormat="1" ht="14.25" customHeight="1">
      <c r="A263" s="3223" t="s">
        <v>305</v>
      </c>
      <c r="B263" s="3223" t="s">
        <v>3124</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3125</v>
      </c>
      <c r="C265" s="3223"/>
      <c r="D265" s="3223"/>
      <c r="E265" s="3223"/>
      <c r="F265" s="3223">
        <v>1500</v>
      </c>
      <c r="G265" s="3223"/>
    </row>
    <row r="266" spans="1:7" s="3212" customFormat="1" ht="14.25" customHeight="1">
      <c r="A266" s="3223" t="s">
        <v>305</v>
      </c>
      <c r="B266" s="3223" t="s">
        <v>3126</v>
      </c>
      <c r="C266" s="3223"/>
      <c r="D266" s="3223"/>
      <c r="E266" s="3223"/>
      <c r="F266" s="3223">
        <v>1500</v>
      </c>
      <c r="G266" s="3223"/>
    </row>
    <row r="267" spans="1:7" s="3212" customFormat="1" ht="14.25" customHeight="1">
      <c r="A267" s="3223" t="s">
        <v>305</v>
      </c>
      <c r="B267" s="3223" t="s">
        <v>3127</v>
      </c>
      <c r="C267" s="3223"/>
      <c r="D267" s="3223"/>
      <c r="E267" s="3223"/>
      <c r="F267" s="3223">
        <v>1500</v>
      </c>
      <c r="G267" s="3223"/>
    </row>
    <row r="268" spans="1:7" s="3212" customFormat="1" ht="14.25" customHeight="1">
      <c r="A268" s="3223" t="s">
        <v>305</v>
      </c>
      <c r="B268" s="3223" t="s">
        <v>3128</v>
      </c>
      <c r="C268" s="3223"/>
      <c r="D268" s="3223"/>
      <c r="E268" s="3223"/>
      <c r="F268" s="3223">
        <v>1290</v>
      </c>
      <c r="G268" s="3223"/>
    </row>
    <row r="269" spans="1:7" s="3212" customFormat="1" ht="14.25" customHeight="1">
      <c r="A269" s="3223" t="s">
        <v>305</v>
      </c>
      <c r="B269" s="3223" t="s">
        <v>3129</v>
      </c>
      <c r="C269" s="3223"/>
      <c r="D269" s="3223"/>
      <c r="E269" s="3223"/>
      <c r="F269" s="3223">
        <v>1150</v>
      </c>
      <c r="G269" s="3223"/>
    </row>
    <row r="270" spans="1:7" s="3212" customFormat="1" ht="14.25" customHeight="1">
      <c r="A270" s="3223" t="s">
        <v>305</v>
      </c>
      <c r="B270" s="3223" t="s">
        <v>3130</v>
      </c>
      <c r="C270" s="3223"/>
      <c r="D270" s="3223"/>
      <c r="E270" s="3223"/>
      <c r="F270" s="3223">
        <v>1380</v>
      </c>
      <c r="G270" s="3223"/>
    </row>
    <row r="271" spans="1:7" s="3212" customFormat="1" ht="14.25" customHeight="1">
      <c r="A271" s="3223" t="s">
        <v>305</v>
      </c>
      <c r="B271" s="3223" t="s">
        <v>3131</v>
      </c>
      <c r="C271" s="3223"/>
      <c r="D271" s="3223"/>
      <c r="E271" s="3223"/>
      <c r="F271" s="3223">
        <v>1460</v>
      </c>
      <c r="G271" s="3223"/>
    </row>
    <row r="272" spans="1:7" s="3212" customFormat="1" ht="14.25" customHeight="1">
      <c r="A272" s="3223" t="s">
        <v>305</v>
      </c>
      <c r="B272" s="3223" t="s">
        <v>3132</v>
      </c>
      <c r="C272" s="3223"/>
      <c r="D272" s="3223"/>
      <c r="E272" s="3223"/>
      <c r="F272" s="3223">
        <v>1460</v>
      </c>
      <c r="G272" s="3223"/>
    </row>
    <row r="273" spans="1:7" s="3212" customFormat="1" ht="14.25" customHeight="1">
      <c r="A273" s="3223" t="s">
        <v>305</v>
      </c>
      <c r="B273" s="3223" t="s">
        <v>3025</v>
      </c>
      <c r="C273" s="3223"/>
      <c r="D273" s="3223"/>
      <c r="E273" s="3223"/>
      <c r="F273" s="3223">
        <v>1490</v>
      </c>
      <c r="G273" s="3223"/>
    </row>
    <row r="274" spans="1:7" s="3212" customFormat="1" ht="14.25" customHeight="1">
      <c r="A274" s="3223" t="s">
        <v>305</v>
      </c>
      <c r="B274" s="3223" t="s">
        <v>3133</v>
      </c>
      <c r="C274" s="3223"/>
      <c r="D274" s="3223"/>
      <c r="E274" s="3223"/>
      <c r="F274" s="3223">
        <v>1490</v>
      </c>
      <c r="G274" s="3223"/>
    </row>
    <row r="275" spans="1:7" s="3212" customFormat="1" ht="14.25" customHeight="1">
      <c r="A275" s="3223" t="s">
        <v>305</v>
      </c>
      <c r="B275" s="3223" t="s">
        <v>3134</v>
      </c>
      <c r="C275" s="3223"/>
      <c r="D275" s="3223"/>
      <c r="E275" s="3223"/>
      <c r="F275" s="3223">
        <v>1220</v>
      </c>
      <c r="G275" s="3223"/>
    </row>
    <row r="276" spans="1:7" s="3212" customFormat="1" ht="14.25" customHeight="1" thickBot="1">
      <c r="A276" s="3231" t="s">
        <v>305</v>
      </c>
      <c r="B276" s="3233" t="s">
        <v>3135</v>
      </c>
      <c r="C276" s="3234"/>
      <c r="D276" s="3234"/>
      <c r="E276" s="3234"/>
      <c r="F276" s="3234">
        <v>1380</v>
      </c>
      <c r="G276" s="3234"/>
    </row>
    <row r="277" spans="1:7" s="3212" customFormat="1" ht="14.25" customHeight="1">
      <c r="A277" s="3228" t="s">
        <v>306</v>
      </c>
      <c r="B277" s="3219" t="s">
        <v>3136</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3137</v>
      </c>
      <c r="C279" s="3223">
        <v>4760</v>
      </c>
      <c r="D279" s="3223">
        <v>4720</v>
      </c>
      <c r="E279" s="3223">
        <v>5540</v>
      </c>
      <c r="F279" s="3223">
        <v>810</v>
      </c>
      <c r="G279" s="3236">
        <v>2850</v>
      </c>
    </row>
    <row r="280" spans="1:7" s="3212" customFormat="1" ht="14.25" customHeight="1">
      <c r="A280" s="3223" t="s">
        <v>306</v>
      </c>
      <c r="B280" s="3223" t="s">
        <v>3138</v>
      </c>
      <c r="C280" s="3223">
        <v>4010</v>
      </c>
      <c r="D280" s="3223">
        <v>3950</v>
      </c>
      <c r="E280" s="3223">
        <v>4710</v>
      </c>
      <c r="F280" s="3223">
        <v>800</v>
      </c>
      <c r="G280" s="3236">
        <v>2390</v>
      </c>
    </row>
    <row r="281" spans="1:7" s="3212" customFormat="1" ht="14.25" customHeight="1">
      <c r="A281" s="3223" t="s">
        <v>306</v>
      </c>
      <c r="B281" s="3223" t="s">
        <v>3139</v>
      </c>
      <c r="C281" s="3223">
        <v>4480</v>
      </c>
      <c r="D281" s="3223">
        <v>4420</v>
      </c>
      <c r="E281" s="3223">
        <v>5230</v>
      </c>
      <c r="F281" s="3223">
        <v>870</v>
      </c>
      <c r="G281" s="3236">
        <v>2660</v>
      </c>
    </row>
    <row r="282" spans="1:7" s="3212" customFormat="1" ht="14.25" customHeight="1">
      <c r="A282" s="3223" t="s">
        <v>306</v>
      </c>
      <c r="B282" s="3223" t="s">
        <v>3140</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3141</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3142</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2917</v>
      </c>
      <c r="C293" s="3223">
        <v>5320</v>
      </c>
      <c r="D293" s="3223">
        <v>5270</v>
      </c>
      <c r="E293" s="3223">
        <v>6160</v>
      </c>
      <c r="F293" s="3223">
        <v>990</v>
      </c>
      <c r="G293" s="3236">
        <v>3170</v>
      </c>
    </row>
    <row r="294" spans="1:7" s="3212" customFormat="1" ht="14.25" customHeight="1">
      <c r="A294" s="3223" t="s">
        <v>306</v>
      </c>
      <c r="B294" s="3223" t="s">
        <v>3143</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2936</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3144</v>
      </c>
      <c r="C302" s="3223">
        <v>5520</v>
      </c>
      <c r="D302" s="3223">
        <v>5470</v>
      </c>
      <c r="E302" s="3223">
        <v>6410</v>
      </c>
      <c r="F302" s="3223">
        <v>950</v>
      </c>
      <c r="G302" s="3236">
        <v>3300</v>
      </c>
    </row>
    <row r="303" spans="1:7" s="3212" customFormat="1" ht="14.25" customHeight="1">
      <c r="A303" s="3223" t="s">
        <v>306</v>
      </c>
      <c r="B303" s="3223" t="s">
        <v>2956</v>
      </c>
      <c r="C303" s="3223">
        <v>5630</v>
      </c>
      <c r="D303" s="3223">
        <v>5590</v>
      </c>
      <c r="E303" s="3223">
        <v>6550</v>
      </c>
      <c r="F303" s="3223">
        <v>1010</v>
      </c>
      <c r="G303" s="3236">
        <v>3370</v>
      </c>
    </row>
    <row r="304" spans="1:7" s="3212" customFormat="1" ht="14.25" customHeight="1">
      <c r="A304" s="3223" t="s">
        <v>306</v>
      </c>
      <c r="B304" s="3223" t="s">
        <v>2963</v>
      </c>
      <c r="C304" s="3223">
        <v>5680</v>
      </c>
      <c r="D304" s="3223">
        <v>5620</v>
      </c>
      <c r="E304" s="3223">
        <v>6620</v>
      </c>
      <c r="F304" s="3223">
        <v>1050</v>
      </c>
      <c r="G304" s="3236">
        <v>3390</v>
      </c>
    </row>
    <row r="305" spans="1:7" s="3212" customFormat="1" ht="14.25" customHeight="1">
      <c r="A305" s="3223" t="s">
        <v>306</v>
      </c>
      <c r="B305" s="3223" t="s">
        <v>2969</v>
      </c>
      <c r="C305" s="3223">
        <v>5590</v>
      </c>
      <c r="D305" s="3223">
        <v>5530</v>
      </c>
      <c r="E305" s="3223">
        <v>6460</v>
      </c>
      <c r="F305" s="3223">
        <v>900</v>
      </c>
      <c r="G305" s="3236">
        <v>3340</v>
      </c>
    </row>
    <row r="306" spans="1:7" s="3212" customFormat="1" ht="14.25" customHeight="1">
      <c r="A306" s="3223" t="s">
        <v>306</v>
      </c>
      <c r="B306" s="3223" t="s">
        <v>3145</v>
      </c>
      <c r="C306" s="3223">
        <v>5560</v>
      </c>
      <c r="D306" s="3223">
        <v>5510</v>
      </c>
      <c r="E306" s="3223">
        <v>6440</v>
      </c>
      <c r="F306" s="3223">
        <v>900</v>
      </c>
      <c r="G306" s="3236">
        <v>3320</v>
      </c>
    </row>
    <row r="307" spans="1:7" s="3212" customFormat="1" ht="14.25" customHeight="1">
      <c r="A307" s="3223" t="s">
        <v>306</v>
      </c>
      <c r="B307" s="3223" t="s">
        <v>2981</v>
      </c>
      <c r="C307" s="3223">
        <v>5650</v>
      </c>
      <c r="D307" s="3223">
        <v>5600</v>
      </c>
      <c r="E307" s="3223">
        <v>6590</v>
      </c>
      <c r="F307" s="3223">
        <v>930</v>
      </c>
      <c r="G307" s="3236">
        <v>3380</v>
      </c>
    </row>
    <row r="308" spans="1:7" s="3212" customFormat="1" ht="14.25" customHeight="1">
      <c r="A308" s="3223" t="s">
        <v>306</v>
      </c>
      <c r="B308" s="3223" t="s">
        <v>3146</v>
      </c>
      <c r="C308" s="3223">
        <v>5620</v>
      </c>
      <c r="D308" s="3223">
        <v>5580</v>
      </c>
      <c r="E308" s="3223">
        <v>6540</v>
      </c>
      <c r="F308" s="3223">
        <v>910</v>
      </c>
      <c r="G308" s="3236">
        <v>3370</v>
      </c>
    </row>
    <row r="309" spans="1:7" s="3212" customFormat="1" ht="14.25" customHeight="1">
      <c r="A309" s="3223" t="s">
        <v>306</v>
      </c>
      <c r="B309" s="3223" t="s">
        <v>3147</v>
      </c>
      <c r="C309" s="3223">
        <v>5060</v>
      </c>
      <c r="D309" s="3223">
        <v>5020</v>
      </c>
      <c r="E309" s="3223">
        <v>6370</v>
      </c>
      <c r="F309" s="3223">
        <v>800</v>
      </c>
      <c r="G309" s="3236">
        <v>3020</v>
      </c>
    </row>
    <row r="310" spans="1:7" s="3212" customFormat="1" ht="14.25" customHeight="1">
      <c r="A310" s="3223" t="s">
        <v>306</v>
      </c>
      <c r="B310" s="3223" t="s">
        <v>2996</v>
      </c>
      <c r="C310" s="3223">
        <v>5150</v>
      </c>
      <c r="D310" s="3223">
        <v>5110</v>
      </c>
      <c r="E310" s="3223">
        <v>6500</v>
      </c>
      <c r="F310" s="3223">
        <v>880</v>
      </c>
      <c r="G310" s="3236">
        <v>3080</v>
      </c>
    </row>
    <row r="311" spans="1:7" s="3212" customFormat="1" ht="14.25" customHeight="1">
      <c r="A311" s="3223" t="s">
        <v>306</v>
      </c>
      <c r="B311" s="3223" t="s">
        <v>3148</v>
      </c>
      <c r="C311" s="3223">
        <v>4750</v>
      </c>
      <c r="D311" s="3223">
        <v>4710</v>
      </c>
      <c r="E311" s="3223">
        <v>5510</v>
      </c>
      <c r="F311" s="3223">
        <v>880</v>
      </c>
      <c r="G311" s="3236">
        <v>2840</v>
      </c>
    </row>
    <row r="312" spans="1:7" s="3212" customFormat="1" ht="14.25" customHeight="1">
      <c r="A312" s="3223" t="s">
        <v>306</v>
      </c>
      <c r="B312" s="3223" t="s">
        <v>3006</v>
      </c>
      <c r="C312" s="3223">
        <v>4690</v>
      </c>
      <c r="D312" s="3223">
        <v>4640</v>
      </c>
      <c r="E312" s="3223">
        <v>5420</v>
      </c>
      <c r="F312" s="3223">
        <v>800</v>
      </c>
      <c r="G312" s="3236">
        <v>2800</v>
      </c>
    </row>
    <row r="313" spans="1:7" s="3212" customFormat="1" ht="14.25" customHeight="1">
      <c r="A313" s="3223" t="s">
        <v>306</v>
      </c>
      <c r="B313" s="3223" t="s">
        <v>3011</v>
      </c>
      <c r="C313" s="3223">
        <v>4810</v>
      </c>
      <c r="D313" s="3223">
        <v>4760</v>
      </c>
      <c r="E313" s="3223">
        <v>5550</v>
      </c>
      <c r="F313" s="3223">
        <v>920</v>
      </c>
      <c r="G313" s="3236">
        <v>2870</v>
      </c>
    </row>
    <row r="314" spans="1:7" s="3212" customFormat="1" ht="14.25" customHeight="1">
      <c r="A314" s="3223" t="s">
        <v>306</v>
      </c>
      <c r="B314" s="3223" t="s">
        <v>3149</v>
      </c>
      <c r="C314" s="3223"/>
      <c r="D314" s="3223"/>
      <c r="E314" s="3223"/>
      <c r="F314" s="3223">
        <v>1020</v>
      </c>
      <c r="G314" s="3236"/>
    </row>
    <row r="315" spans="1:7" s="3212" customFormat="1" ht="14.25" customHeight="1">
      <c r="A315" s="3223" t="s">
        <v>306</v>
      </c>
      <c r="B315" s="3223" t="s">
        <v>3150</v>
      </c>
      <c r="C315" s="3223"/>
      <c r="D315" s="3223"/>
      <c r="E315" s="3223"/>
      <c r="F315" s="3223">
        <v>1050</v>
      </c>
      <c r="G315" s="3236"/>
    </row>
    <row r="316" spans="1:7" s="3212" customFormat="1" ht="14.25" customHeight="1">
      <c r="A316" s="3223" t="s">
        <v>306</v>
      </c>
      <c r="B316" s="3223" t="s">
        <v>3026</v>
      </c>
      <c r="C316" s="3223"/>
      <c r="D316" s="3223"/>
      <c r="E316" s="3223"/>
      <c r="F316" s="3223">
        <v>900</v>
      </c>
      <c r="G316" s="3236"/>
    </row>
    <row r="317" spans="1:7" s="3212" customFormat="1" ht="14.25" customHeight="1">
      <c r="A317" s="3223" t="s">
        <v>306</v>
      </c>
      <c r="B317" s="3223" t="s">
        <v>3151</v>
      </c>
      <c r="C317" s="3223"/>
      <c r="D317" s="3223"/>
      <c r="E317" s="3223"/>
      <c r="F317" s="3223">
        <v>920</v>
      </c>
      <c r="G317" s="3236"/>
    </row>
    <row r="318" spans="1:7" s="3212" customFormat="1" ht="14.25" customHeight="1">
      <c r="A318" s="3223" t="s">
        <v>306</v>
      </c>
      <c r="B318" s="3223" t="s">
        <v>3152</v>
      </c>
      <c r="C318" s="3223"/>
      <c r="D318" s="3223"/>
      <c r="E318" s="3223"/>
      <c r="F318" s="3223">
        <v>1080</v>
      </c>
      <c r="G318" s="3236"/>
    </row>
    <row r="319" spans="1:7" s="3212" customFormat="1" ht="14.25" customHeight="1">
      <c r="A319" s="3223" t="s">
        <v>306</v>
      </c>
      <c r="B319" s="3223" t="s">
        <v>3039</v>
      </c>
      <c r="C319" s="3223"/>
      <c r="D319" s="3223"/>
      <c r="E319" s="3223"/>
      <c r="F319" s="3223">
        <v>1020</v>
      </c>
      <c r="G319" s="3236"/>
    </row>
    <row r="320" spans="1:7" s="3212" customFormat="1" ht="14.25" customHeight="1">
      <c r="A320" s="3223" t="s">
        <v>306</v>
      </c>
      <c r="B320" s="3223" t="s">
        <v>3042</v>
      </c>
      <c r="C320" s="3223"/>
      <c r="D320" s="3223"/>
      <c r="E320" s="3223"/>
      <c r="F320" s="3223">
        <v>1050</v>
      </c>
      <c r="G320" s="3236"/>
    </row>
    <row r="321" spans="1:7" s="3212" customFormat="1" ht="14.25" customHeight="1">
      <c r="A321" s="3223" t="s">
        <v>306</v>
      </c>
      <c r="B321" s="3223" t="s">
        <v>3044</v>
      </c>
      <c r="C321" s="3223"/>
      <c r="D321" s="3223"/>
      <c r="E321" s="3223"/>
      <c r="F321" s="3223">
        <v>960</v>
      </c>
      <c r="G321" s="3236"/>
    </row>
    <row r="322" spans="1:7" s="3212" customFormat="1" ht="14.25" customHeight="1">
      <c r="A322" s="3223" t="s">
        <v>306</v>
      </c>
      <c r="B322" s="3223" t="s">
        <v>3046</v>
      </c>
      <c r="C322" s="3223"/>
      <c r="D322" s="3223"/>
      <c r="E322" s="3223"/>
      <c r="F322" s="3223">
        <v>960</v>
      </c>
      <c r="G322" s="3236"/>
    </row>
    <row r="323" spans="1:7" s="3212" customFormat="1" ht="14.25" customHeight="1">
      <c r="A323" s="3223" t="s">
        <v>306</v>
      </c>
      <c r="B323" s="3223" t="s">
        <v>3048</v>
      </c>
      <c r="C323" s="3223"/>
      <c r="D323" s="3223"/>
      <c r="E323" s="3223"/>
      <c r="F323" s="3223">
        <v>880</v>
      </c>
      <c r="G323" s="3236"/>
    </row>
    <row r="324" spans="1:7" s="3212" customFormat="1" ht="14.25" customHeight="1">
      <c r="A324" s="3223" t="s">
        <v>306</v>
      </c>
      <c r="B324" s="3223" t="s">
        <v>3050</v>
      </c>
      <c r="C324" s="3223"/>
      <c r="D324" s="3223"/>
      <c r="E324" s="3223"/>
      <c r="F324" s="3223">
        <v>930</v>
      </c>
      <c r="G324" s="3236"/>
    </row>
    <row r="325" spans="1:7" s="3212" customFormat="1" ht="14.25" customHeight="1">
      <c r="A325" s="3223" t="s">
        <v>306</v>
      </c>
      <c r="B325" s="3224" t="s">
        <v>3052</v>
      </c>
      <c r="C325" s="3223"/>
      <c r="D325" s="3223"/>
      <c r="E325" s="3223"/>
      <c r="F325" s="3223">
        <v>900</v>
      </c>
      <c r="G325" s="3236"/>
    </row>
    <row r="326" spans="1:7" s="3212" customFormat="1" ht="14.25" customHeight="1" thickBot="1">
      <c r="A326" s="3237" t="s">
        <v>306</v>
      </c>
      <c r="B326" s="3230" t="s">
        <v>3054</v>
      </c>
      <c r="C326" s="3230"/>
      <c r="D326" s="3230"/>
      <c r="E326" s="3230"/>
      <c r="F326" s="3230">
        <v>790</v>
      </c>
      <c r="G326" s="3238"/>
    </row>
    <row r="327" spans="1:7" s="3212" customFormat="1" ht="14.25" customHeight="1">
      <c r="A327" s="3228" t="s">
        <v>307</v>
      </c>
      <c r="B327" s="3219" t="s">
        <v>3153</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3154</v>
      </c>
      <c r="C329" s="3223">
        <v>2730</v>
      </c>
      <c r="D329" s="3223">
        <v>2690</v>
      </c>
      <c r="E329" s="3223">
        <v>3100</v>
      </c>
      <c r="F329" s="3223">
        <v>660</v>
      </c>
      <c r="G329" s="3223">
        <v>1610</v>
      </c>
    </row>
    <row r="330" spans="1:7" s="3212" customFormat="1" ht="14.25" customHeight="1">
      <c r="A330" s="3223" t="s">
        <v>307</v>
      </c>
      <c r="B330" s="3223" t="s">
        <v>3155</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2888</v>
      </c>
      <c r="C332" s="3223">
        <v>3520</v>
      </c>
      <c r="D332" s="3223">
        <v>3480</v>
      </c>
      <c r="E332" s="3223">
        <v>3830</v>
      </c>
      <c r="F332" s="3223">
        <v>720</v>
      </c>
      <c r="G332" s="3223">
        <v>2090</v>
      </c>
    </row>
    <row r="333" spans="1:7" s="3212" customFormat="1" ht="14.25" customHeight="1">
      <c r="A333" s="3223" t="s">
        <v>307</v>
      </c>
      <c r="B333" s="3223" t="s">
        <v>3156</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2898</v>
      </c>
      <c r="C336" s="3223">
        <v>3570</v>
      </c>
      <c r="D336" s="3223">
        <v>3530</v>
      </c>
      <c r="E336" s="3223">
        <v>3880</v>
      </c>
      <c r="F336" s="3223">
        <v>770</v>
      </c>
      <c r="G336" s="3223">
        <v>2110</v>
      </c>
    </row>
    <row r="337" spans="1:10" s="3212" customFormat="1" ht="14.25" customHeight="1">
      <c r="A337" s="3223" t="s">
        <v>307</v>
      </c>
      <c r="B337" s="3223" t="s">
        <v>3157</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3158</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3159</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2923</v>
      </c>
      <c r="C345" s="3223">
        <v>3190</v>
      </c>
      <c r="D345" s="3223">
        <v>3140</v>
      </c>
      <c r="E345" s="3223">
        <v>3450</v>
      </c>
      <c r="F345" s="3223">
        <v>720</v>
      </c>
      <c r="G345" s="3223">
        <v>1880</v>
      </c>
      <c r="J345" s="3212"/>
    </row>
    <row r="346" spans="1:10">
      <c r="A346" s="3223" t="s">
        <v>307</v>
      </c>
      <c r="B346" s="3223" t="s">
        <v>3160</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2932</v>
      </c>
      <c r="C348" s="3223">
        <v>4000</v>
      </c>
      <c r="D348" s="3223">
        <v>3950</v>
      </c>
      <c r="E348" s="3223">
        <v>4430</v>
      </c>
      <c r="F348" s="3223">
        <v>760</v>
      </c>
      <c r="G348" s="3223">
        <v>2360</v>
      </c>
      <c r="J348" s="3212"/>
    </row>
    <row r="349" spans="1:10">
      <c r="A349" s="3223" t="s">
        <v>307</v>
      </c>
      <c r="B349" s="3223" t="s">
        <v>2937</v>
      </c>
      <c r="C349" s="3223">
        <v>3820</v>
      </c>
      <c r="D349" s="3223">
        <v>3780</v>
      </c>
      <c r="E349" s="3223">
        <v>4170</v>
      </c>
      <c r="F349" s="3223">
        <v>710</v>
      </c>
      <c r="G349" s="3223">
        <v>2260</v>
      </c>
      <c r="J349" s="3212"/>
    </row>
    <row r="350" spans="1:10">
      <c r="A350" s="3223" t="s">
        <v>307</v>
      </c>
      <c r="B350" s="3223" t="s">
        <v>3161</v>
      </c>
      <c r="C350" s="3223">
        <v>3760</v>
      </c>
      <c r="D350" s="3223">
        <v>3730</v>
      </c>
      <c r="E350" s="3223">
        <v>4100</v>
      </c>
      <c r="F350" s="3223">
        <v>800</v>
      </c>
      <c r="G350" s="3223">
        <v>2230</v>
      </c>
      <c r="J350" s="3212"/>
    </row>
    <row r="351" spans="1:10">
      <c r="A351" s="3223" t="s">
        <v>307</v>
      </c>
      <c r="B351" s="3223" t="s">
        <v>2945</v>
      </c>
      <c r="C351" s="3223">
        <v>3610</v>
      </c>
      <c r="D351" s="3223">
        <v>3580</v>
      </c>
      <c r="E351" s="3223">
        <v>3930</v>
      </c>
      <c r="F351" s="3223">
        <v>700</v>
      </c>
      <c r="G351" s="3223">
        <v>2140</v>
      </c>
      <c r="J351" s="3212"/>
    </row>
    <row r="352" spans="1:10">
      <c r="A352" s="3223" t="s">
        <v>307</v>
      </c>
      <c r="B352" s="3223" t="s">
        <v>2950</v>
      </c>
      <c r="C352" s="3223">
        <v>3670</v>
      </c>
      <c r="D352" s="3223">
        <v>3630</v>
      </c>
      <c r="E352" s="3223">
        <v>4000</v>
      </c>
      <c r="F352" s="3223">
        <v>750</v>
      </c>
      <c r="G352" s="3223">
        <v>2180</v>
      </c>
    </row>
    <row r="353" spans="1:7" s="3216" customFormat="1">
      <c r="A353" s="3223" t="s">
        <v>307</v>
      </c>
      <c r="B353" s="3223" t="s">
        <v>3162</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2970</v>
      </c>
      <c r="C355" s="3223">
        <v>3650</v>
      </c>
      <c r="D355" s="3223">
        <v>3610</v>
      </c>
      <c r="E355" s="3223">
        <v>4200</v>
      </c>
      <c r="F355" s="3223">
        <v>640</v>
      </c>
      <c r="G355" s="3223">
        <v>2160</v>
      </c>
    </row>
    <row r="356" spans="1:7" s="3216" customFormat="1">
      <c r="A356" s="3223" t="s">
        <v>307</v>
      </c>
      <c r="B356" s="3223" t="s">
        <v>2977</v>
      </c>
      <c r="C356" s="3223">
        <v>3260</v>
      </c>
      <c r="D356" s="3223">
        <v>3230</v>
      </c>
      <c r="E356" s="3223">
        <v>3740</v>
      </c>
      <c r="F356" s="3223">
        <v>600</v>
      </c>
      <c r="G356" s="3223">
        <v>1930</v>
      </c>
    </row>
    <row r="357" spans="1:7" s="3216" customFormat="1" ht="12" thickBot="1">
      <c r="A357" s="3231" t="s">
        <v>307</v>
      </c>
      <c r="B357" s="3234" t="s">
        <v>3163</v>
      </c>
      <c r="C357" s="3234">
        <v>3690</v>
      </c>
      <c r="D357" s="3234">
        <v>3650</v>
      </c>
      <c r="E357" s="3234">
        <v>4020</v>
      </c>
      <c r="F357" s="3234">
        <v>700</v>
      </c>
      <c r="G357" s="3234">
        <v>2190</v>
      </c>
    </row>
    <row r="358" spans="1:7" s="3216" customFormat="1">
      <c r="A358" s="3228" t="s">
        <v>3164</v>
      </c>
      <c r="B358" s="3219" t="s">
        <v>3165</v>
      </c>
      <c r="C358" s="3219">
        <v>2080</v>
      </c>
      <c r="D358" s="3219">
        <v>2040</v>
      </c>
      <c r="E358" s="3219">
        <v>2010</v>
      </c>
      <c r="F358" s="3219">
        <v>530</v>
      </c>
      <c r="G358" s="3235">
        <v>1230</v>
      </c>
    </row>
    <row r="359" spans="1:7" s="3216" customFormat="1">
      <c r="A359" s="3223" t="s">
        <v>3164</v>
      </c>
      <c r="B359" s="3223" t="s">
        <v>3166</v>
      </c>
      <c r="C359" s="3223">
        <v>1850</v>
      </c>
      <c r="D359" s="3223">
        <v>1820</v>
      </c>
      <c r="E359" s="3223">
        <v>1780</v>
      </c>
      <c r="F359" s="3223">
        <v>520</v>
      </c>
      <c r="G359" s="3236">
        <v>1100</v>
      </c>
    </row>
    <row r="360" spans="1:7" s="3216" customFormat="1">
      <c r="A360" s="3223" t="s">
        <v>3164</v>
      </c>
      <c r="B360" s="3223" t="s">
        <v>3167</v>
      </c>
      <c r="C360" s="3223">
        <v>2020</v>
      </c>
      <c r="D360" s="3223">
        <v>1990</v>
      </c>
      <c r="E360" s="3223">
        <v>1950</v>
      </c>
      <c r="F360" s="3223">
        <v>500</v>
      </c>
      <c r="G360" s="3236">
        <v>1200</v>
      </c>
    </row>
    <row r="361" spans="1:7" s="3216" customFormat="1">
      <c r="A361" s="3223" t="s">
        <v>3164</v>
      </c>
      <c r="B361" s="3223" t="s">
        <v>153</v>
      </c>
      <c r="C361" s="3223">
        <v>2260</v>
      </c>
      <c r="D361" s="3223">
        <v>2220</v>
      </c>
      <c r="E361" s="3223">
        <v>2180</v>
      </c>
      <c r="F361" s="3223">
        <v>580</v>
      </c>
      <c r="G361" s="3236">
        <v>1340</v>
      </c>
    </row>
    <row r="362" spans="1:7" s="3216" customFormat="1">
      <c r="A362" s="3223" t="s">
        <v>3164</v>
      </c>
      <c r="B362" s="3223" t="s">
        <v>3168</v>
      </c>
      <c r="C362" s="3223">
        <v>2650</v>
      </c>
      <c r="D362" s="3223">
        <v>2610</v>
      </c>
      <c r="E362" s="3223">
        <v>2570</v>
      </c>
      <c r="F362" s="3223">
        <v>630</v>
      </c>
      <c r="G362" s="3236">
        <v>1570</v>
      </c>
    </row>
    <row r="363" spans="1:7" s="3216" customFormat="1">
      <c r="A363" s="3223" t="s">
        <v>3164</v>
      </c>
      <c r="B363" s="3223" t="s">
        <v>2889</v>
      </c>
      <c r="C363" s="3223">
        <v>2390</v>
      </c>
      <c r="D363" s="3223">
        <v>2360</v>
      </c>
      <c r="E363" s="3223">
        <v>2320</v>
      </c>
      <c r="F363" s="3223">
        <v>600</v>
      </c>
      <c r="G363" s="3236">
        <v>1420</v>
      </c>
    </row>
    <row r="364" spans="1:7" s="3216" customFormat="1">
      <c r="A364" s="3223" t="s">
        <v>3164</v>
      </c>
      <c r="B364" s="3223" t="s">
        <v>3169</v>
      </c>
      <c r="C364" s="3223">
        <v>2050</v>
      </c>
      <c r="D364" s="3223">
        <v>2030</v>
      </c>
      <c r="E364" s="3223">
        <v>1990</v>
      </c>
      <c r="F364" s="3223">
        <v>550</v>
      </c>
      <c r="G364" s="3236">
        <v>1220</v>
      </c>
    </row>
    <row r="365" spans="1:7" s="3216" customFormat="1">
      <c r="A365" s="3223" t="s">
        <v>3164</v>
      </c>
      <c r="B365" s="3223" t="s">
        <v>200</v>
      </c>
      <c r="C365" s="3223">
        <v>2140</v>
      </c>
      <c r="D365" s="3223">
        <v>2100</v>
      </c>
      <c r="E365" s="3223">
        <v>2060</v>
      </c>
      <c r="F365" s="3223">
        <v>540</v>
      </c>
      <c r="G365" s="3236">
        <v>1270</v>
      </c>
    </row>
    <row r="366" spans="1:7" s="3216" customFormat="1">
      <c r="A366" s="3223" t="s">
        <v>3164</v>
      </c>
      <c r="B366" s="3223" t="s">
        <v>2896</v>
      </c>
      <c r="C366" s="3223">
        <v>2410</v>
      </c>
      <c r="D366" s="3223">
        <v>2370</v>
      </c>
      <c r="E366" s="3223">
        <v>2330</v>
      </c>
      <c r="F366" s="3223">
        <v>570</v>
      </c>
      <c r="G366" s="3236">
        <v>1440</v>
      </c>
    </row>
    <row r="367" spans="1:7" s="3216" customFormat="1">
      <c r="A367" s="3223" t="s">
        <v>3164</v>
      </c>
      <c r="B367" s="3223" t="s">
        <v>3170</v>
      </c>
      <c r="C367" s="3223">
        <v>2300</v>
      </c>
      <c r="D367" s="3223">
        <v>2260</v>
      </c>
      <c r="E367" s="3223">
        <v>2220</v>
      </c>
      <c r="F367" s="3223">
        <v>560</v>
      </c>
      <c r="G367" s="3236">
        <v>1370</v>
      </c>
    </row>
    <row r="368" spans="1:7" s="3216" customFormat="1">
      <c r="A368" s="3223" t="s">
        <v>3164</v>
      </c>
      <c r="B368" s="3223" t="s">
        <v>3171</v>
      </c>
      <c r="C368" s="3223">
        <v>2430</v>
      </c>
      <c r="D368" s="3223">
        <v>2390</v>
      </c>
      <c r="E368" s="3223">
        <v>2350</v>
      </c>
      <c r="F368" s="3223">
        <v>570</v>
      </c>
      <c r="G368" s="3236">
        <v>1450</v>
      </c>
    </row>
    <row r="369" spans="1:7" s="3216" customFormat="1">
      <c r="A369" s="3223" t="s">
        <v>3164</v>
      </c>
      <c r="B369" s="3223" t="s">
        <v>214</v>
      </c>
      <c r="C369" s="3223">
        <v>2320</v>
      </c>
      <c r="D369" s="3223">
        <v>2290</v>
      </c>
      <c r="E369" s="3223">
        <v>2250</v>
      </c>
      <c r="F369" s="3223">
        <v>550</v>
      </c>
      <c r="G369" s="3236">
        <v>1380</v>
      </c>
    </row>
    <row r="370" spans="1:7" s="3216" customFormat="1">
      <c r="A370" s="3223" t="s">
        <v>3164</v>
      </c>
      <c r="B370" s="3223" t="s">
        <v>221</v>
      </c>
      <c r="C370" s="3223">
        <v>2190</v>
      </c>
      <c r="D370" s="3223">
        <v>2170</v>
      </c>
      <c r="E370" s="3223">
        <v>2130</v>
      </c>
      <c r="F370" s="3223">
        <v>530</v>
      </c>
      <c r="G370" s="3236">
        <v>1310</v>
      </c>
    </row>
    <row r="371" spans="1:7" s="3216" customFormat="1">
      <c r="A371" s="3223" t="s">
        <v>3164</v>
      </c>
      <c r="B371" s="3223" t="s">
        <v>229</v>
      </c>
      <c r="C371" s="3223">
        <v>2460</v>
      </c>
      <c r="D371" s="3223">
        <v>2420</v>
      </c>
      <c r="E371" s="3223">
        <v>2370</v>
      </c>
      <c r="F371" s="3223">
        <v>560</v>
      </c>
      <c r="G371" s="3236">
        <v>1470</v>
      </c>
    </row>
    <row r="372" spans="1:7" s="3216" customFormat="1">
      <c r="A372" s="3223" t="s">
        <v>3164</v>
      </c>
      <c r="B372" s="3223" t="s">
        <v>3172</v>
      </c>
      <c r="C372" s="3223">
        <v>2250</v>
      </c>
      <c r="D372" s="3223">
        <v>2210</v>
      </c>
      <c r="E372" s="3223">
        <v>2180</v>
      </c>
      <c r="F372" s="3223">
        <v>550</v>
      </c>
      <c r="G372" s="3236">
        <v>1340</v>
      </c>
    </row>
    <row r="373" spans="1:7" s="3216" customFormat="1">
      <c r="A373" s="3223" t="s">
        <v>3164</v>
      </c>
      <c r="B373" s="3223" t="s">
        <v>258</v>
      </c>
      <c r="C373" s="3223">
        <v>2210</v>
      </c>
      <c r="D373" s="3223">
        <v>2190</v>
      </c>
      <c r="E373" s="3223">
        <v>2150</v>
      </c>
      <c r="F373" s="3223">
        <v>530</v>
      </c>
      <c r="G373" s="3236">
        <v>1320</v>
      </c>
    </row>
    <row r="374" spans="1:7" s="3216" customFormat="1">
      <c r="A374" s="3223" t="s">
        <v>3164</v>
      </c>
      <c r="B374" s="3223" t="s">
        <v>266</v>
      </c>
      <c r="C374" s="3223">
        <v>2320</v>
      </c>
      <c r="D374" s="3223">
        <v>2280</v>
      </c>
      <c r="E374" s="3223">
        <v>2230</v>
      </c>
      <c r="F374" s="3223">
        <v>580</v>
      </c>
      <c r="G374" s="3236">
        <v>1380</v>
      </c>
    </row>
    <row r="375" spans="1:7" s="3216" customFormat="1">
      <c r="A375" s="3223" t="s">
        <v>3164</v>
      </c>
      <c r="B375" s="3223" t="s">
        <v>3173</v>
      </c>
      <c r="C375" s="3223">
        <v>2090</v>
      </c>
      <c r="D375" s="3223">
        <v>2050</v>
      </c>
      <c r="E375" s="3223">
        <v>2020</v>
      </c>
      <c r="F375" s="3223">
        <v>520</v>
      </c>
      <c r="G375" s="3236">
        <v>1240</v>
      </c>
    </row>
    <row r="376" spans="1:7" s="3216" customFormat="1">
      <c r="A376" s="3223" t="s">
        <v>3164</v>
      </c>
      <c r="B376" s="3223" t="s">
        <v>277</v>
      </c>
      <c r="C376" s="3223">
        <v>2010</v>
      </c>
      <c r="D376" s="3223">
        <v>1980</v>
      </c>
      <c r="E376" s="3223">
        <v>1940</v>
      </c>
      <c r="F376" s="3223">
        <v>540</v>
      </c>
      <c r="G376" s="3236">
        <v>1190</v>
      </c>
    </row>
    <row r="377" spans="1:7" s="3216" customFormat="1" ht="12" thickBot="1">
      <c r="A377" s="3231" t="s">
        <v>3164</v>
      </c>
      <c r="B377" s="3234" t="s">
        <v>2926</v>
      </c>
      <c r="C377" s="3234">
        <v>1930</v>
      </c>
      <c r="D377" s="3234">
        <v>1890</v>
      </c>
      <c r="E377" s="3234">
        <v>1860</v>
      </c>
      <c r="F377" s="3234">
        <v>530</v>
      </c>
      <c r="G377" s="3239">
        <v>1150</v>
      </c>
    </row>
    <row r="378" spans="1:7" s="3216" customFormat="1">
      <c r="A378" s="3240" t="s">
        <v>3174</v>
      </c>
      <c r="B378" s="3219" t="s">
        <v>3175</v>
      </c>
      <c r="C378" s="3219">
        <v>1520</v>
      </c>
      <c r="D378" s="3219">
        <v>1490</v>
      </c>
      <c r="E378" s="3219">
        <v>1460</v>
      </c>
      <c r="F378" s="3219">
        <v>460</v>
      </c>
      <c r="G378" s="3235">
        <v>940</v>
      </c>
    </row>
    <row r="379" spans="1:7" s="3216" customFormat="1">
      <c r="A379" s="3241" t="s">
        <v>3174</v>
      </c>
      <c r="B379" s="3223" t="s">
        <v>3176</v>
      </c>
      <c r="C379" s="3223">
        <v>1500</v>
      </c>
      <c r="D379" s="3223">
        <v>1470</v>
      </c>
      <c r="E379" s="3223">
        <v>1430</v>
      </c>
      <c r="F379" s="3223">
        <v>460</v>
      </c>
      <c r="G379" s="3236">
        <v>920</v>
      </c>
    </row>
    <row r="380" spans="1:7" s="3216" customFormat="1">
      <c r="A380" s="3241" t="s">
        <v>3174</v>
      </c>
      <c r="B380" s="3223" t="s">
        <v>3177</v>
      </c>
      <c r="C380" s="3223">
        <v>1620</v>
      </c>
      <c r="D380" s="3223">
        <v>1590</v>
      </c>
      <c r="E380" s="3223">
        <v>1560</v>
      </c>
      <c r="F380" s="3223">
        <v>480</v>
      </c>
      <c r="G380" s="3236">
        <v>1000</v>
      </c>
    </row>
    <row r="381" spans="1:7" s="3216" customFormat="1">
      <c r="A381" s="3241" t="s">
        <v>3174</v>
      </c>
      <c r="B381" s="3223" t="s">
        <v>3178</v>
      </c>
      <c r="C381" s="3223">
        <v>1460</v>
      </c>
      <c r="D381" s="3223">
        <v>1430</v>
      </c>
      <c r="E381" s="3223">
        <v>1390</v>
      </c>
      <c r="F381" s="3223">
        <v>450</v>
      </c>
      <c r="G381" s="3236">
        <v>900</v>
      </c>
    </row>
    <row r="382" spans="1:7" s="3216" customFormat="1">
      <c r="A382" s="3241" t="s">
        <v>3174</v>
      </c>
      <c r="B382" s="3223" t="s">
        <v>3179</v>
      </c>
      <c r="C382" s="3223">
        <v>1310</v>
      </c>
      <c r="D382" s="3223">
        <v>1280</v>
      </c>
      <c r="E382" s="3223">
        <v>1250</v>
      </c>
      <c r="F382" s="3223">
        <v>440</v>
      </c>
      <c r="G382" s="3236">
        <v>800</v>
      </c>
    </row>
    <row r="383" spans="1:7" s="3216" customFormat="1">
      <c r="A383" s="3241" t="s">
        <v>3174</v>
      </c>
      <c r="B383" s="3223" t="s">
        <v>3180</v>
      </c>
      <c r="C383" s="3223">
        <v>1260</v>
      </c>
      <c r="D383" s="3223">
        <v>1230</v>
      </c>
      <c r="E383" s="3223">
        <v>1200</v>
      </c>
      <c r="F383" s="3223">
        <v>420</v>
      </c>
      <c r="G383" s="3236">
        <v>770</v>
      </c>
    </row>
    <row r="384" spans="1:7" s="3216" customFormat="1" ht="12" thickBot="1">
      <c r="A384" s="3242" t="s">
        <v>3174</v>
      </c>
      <c r="B384" s="3230" t="s">
        <v>3181</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847" t="s">
        <v>3182</v>
      </c>
      <c r="B1" s="3847"/>
    </row>
    <row r="2" spans="1:7" ht="14.25" thickBot="1">
      <c r="A2" s="3245"/>
      <c r="B2" s="3245"/>
    </row>
    <row r="3" spans="1:7" ht="14.25" thickBot="1">
      <c r="A3" s="3245"/>
      <c r="B3" s="3245"/>
      <c r="C3" s="3246" t="s">
        <v>2808</v>
      </c>
      <c r="D3" s="3246" t="s">
        <v>2868</v>
      </c>
      <c r="E3" s="3246" t="s">
        <v>2810</v>
      </c>
      <c r="F3" s="3246" t="s">
        <v>2869</v>
      </c>
      <c r="G3" s="3246" t="s">
        <v>2628</v>
      </c>
    </row>
    <row r="4" spans="1:7" ht="14.25" thickBot="1">
      <c r="A4" s="3247" t="s">
        <v>2867</v>
      </c>
      <c r="B4" s="3248" t="s">
        <v>2873</v>
      </c>
      <c r="C4" s="3246"/>
      <c r="D4" s="3246"/>
      <c r="E4" s="3246"/>
      <c r="F4" s="3246"/>
      <c r="G4" s="3246"/>
    </row>
    <row r="5" spans="1:7">
      <c r="A5" s="3249" t="s">
        <v>2841</v>
      </c>
      <c r="B5" s="3250" t="s">
        <v>2855</v>
      </c>
      <c r="C5" s="3251">
        <v>9.8000000000000004E-2</v>
      </c>
      <c r="D5" s="3251">
        <v>8.6999999999999994E-2</v>
      </c>
      <c r="E5" s="3251">
        <v>8.6999999999999994E-2</v>
      </c>
      <c r="F5" s="3251">
        <v>9.8000000000000004E-2</v>
      </c>
      <c r="G5" s="3252">
        <v>9.5000000000000001E-2</v>
      </c>
    </row>
    <row r="6" spans="1:7">
      <c r="A6" s="3253" t="s">
        <v>144</v>
      </c>
      <c r="B6" s="3254" t="s">
        <v>2870</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2856</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2906</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2924</v>
      </c>
      <c r="C29" s="3263"/>
      <c r="D29" s="3259">
        <v>5.1999999999999998E-2</v>
      </c>
      <c r="E29" s="3259">
        <v>7.0000000000000007E-2</v>
      </c>
      <c r="F29" s="3263"/>
      <c r="G29" s="3261">
        <v>7.0999999999999994E-2</v>
      </c>
    </row>
    <row r="30" spans="1:7">
      <c r="A30" s="3264" t="s">
        <v>296</v>
      </c>
      <c r="B30" s="3250" t="s">
        <v>2857</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2843</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2927</v>
      </c>
      <c r="C50" s="3255">
        <v>9.8000000000000004E-2</v>
      </c>
      <c r="D50" s="3255">
        <v>7.2999999999999995E-2</v>
      </c>
      <c r="E50" s="3255">
        <v>7.0999999999999994E-2</v>
      </c>
      <c r="F50" s="3266"/>
      <c r="G50" s="3256">
        <v>7.2999999999999995E-2</v>
      </c>
    </row>
    <row r="51" spans="1:7">
      <c r="A51" s="3265" t="s">
        <v>296</v>
      </c>
      <c r="B51" s="3254" t="s">
        <v>2929</v>
      </c>
      <c r="C51" s="3255">
        <v>9.9000000000000005E-2</v>
      </c>
      <c r="D51" s="3255">
        <v>8.5000000000000006E-2</v>
      </c>
      <c r="E51" s="3255">
        <v>6.3E-2</v>
      </c>
      <c r="F51" s="3266"/>
      <c r="G51" s="3256">
        <v>9.6000000000000002E-2</v>
      </c>
    </row>
    <row r="52" spans="1:7">
      <c r="A52" s="3265" t="s">
        <v>296</v>
      </c>
      <c r="B52" s="3254" t="s">
        <v>2933</v>
      </c>
      <c r="C52" s="3255">
        <v>7.3999999999999996E-2</v>
      </c>
      <c r="D52" s="3255">
        <v>9.6000000000000002E-2</v>
      </c>
      <c r="E52" s="3255">
        <v>0.05</v>
      </c>
      <c r="F52" s="3266"/>
      <c r="G52" s="3256">
        <v>9.8000000000000004E-2</v>
      </c>
    </row>
    <row r="53" spans="1:7">
      <c r="A53" s="3265" t="s">
        <v>296</v>
      </c>
      <c r="B53" s="3254" t="s">
        <v>2938</v>
      </c>
      <c r="C53" s="3255">
        <v>8.5999999999999993E-2</v>
      </c>
      <c r="D53" s="3266"/>
      <c r="E53" s="3255">
        <v>9.1999999999999998E-2</v>
      </c>
      <c r="F53" s="3266"/>
      <c r="G53" s="3267"/>
    </row>
    <row r="54" spans="1:7" ht="14.25" thickBot="1">
      <c r="A54" s="3268" t="s">
        <v>296</v>
      </c>
      <c r="B54" s="3258" t="s">
        <v>2941</v>
      </c>
      <c r="C54" s="3259">
        <v>9.6000000000000002E-2</v>
      </c>
      <c r="D54" s="3260"/>
      <c r="E54" s="3269"/>
      <c r="F54" s="3260"/>
      <c r="G54" s="3270"/>
    </row>
    <row r="55" spans="1:7">
      <c r="A55" s="3264" t="s">
        <v>110</v>
      </c>
      <c r="B55" s="3250" t="s">
        <v>2858</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2939</v>
      </c>
      <c r="C78" s="3255">
        <v>0.1</v>
      </c>
      <c r="D78" s="3255">
        <v>8.5000000000000006E-2</v>
      </c>
      <c r="E78" s="3255">
        <v>9.6000000000000002E-2</v>
      </c>
      <c r="F78" s="3266"/>
      <c r="G78" s="3256">
        <v>9.6000000000000002E-2</v>
      </c>
    </row>
    <row r="79" spans="1:7">
      <c r="A79" s="3265" t="s">
        <v>110</v>
      </c>
      <c r="B79" s="3254" t="s">
        <v>2942</v>
      </c>
      <c r="C79" s="3255">
        <v>0.05</v>
      </c>
      <c r="D79" s="3255">
        <v>9.6000000000000002E-2</v>
      </c>
      <c r="E79" s="3255">
        <v>9.5000000000000001E-2</v>
      </c>
      <c r="F79" s="3266"/>
      <c r="G79" s="3256">
        <v>9.8000000000000004E-2</v>
      </c>
    </row>
    <row r="80" spans="1:7">
      <c r="A80" s="3265" t="s">
        <v>110</v>
      </c>
      <c r="B80" s="3254" t="s">
        <v>2946</v>
      </c>
      <c r="C80" s="3255">
        <v>8.5999999999999993E-2</v>
      </c>
      <c r="D80" s="3271"/>
      <c r="E80" s="3255">
        <v>0.1</v>
      </c>
      <c r="F80" s="3266"/>
      <c r="G80" s="3267"/>
    </row>
    <row r="81" spans="1:7">
      <c r="A81" s="3265" t="s">
        <v>110</v>
      </c>
      <c r="B81" s="3254" t="s">
        <v>2951</v>
      </c>
      <c r="C81" s="3255">
        <v>9.6000000000000002E-2</v>
      </c>
      <c r="D81" s="3266"/>
      <c r="E81" s="3255">
        <v>9.8000000000000004E-2</v>
      </c>
      <c r="F81" s="3266"/>
      <c r="G81" s="3267"/>
    </row>
    <row r="82" spans="1:7">
      <c r="A82" s="3265" t="s">
        <v>110</v>
      </c>
      <c r="B82" s="3254" t="s">
        <v>2958</v>
      </c>
      <c r="C82" s="3271"/>
      <c r="D82" s="3266"/>
      <c r="E82" s="3255">
        <v>7.6999999999999999E-2</v>
      </c>
      <c r="F82" s="3266"/>
      <c r="G82" s="3267"/>
    </row>
    <row r="83" spans="1:7">
      <c r="A83" s="3265" t="s">
        <v>110</v>
      </c>
      <c r="B83" s="3254" t="s">
        <v>2964</v>
      </c>
      <c r="C83" s="3266"/>
      <c r="D83" s="3266"/>
      <c r="E83" s="3266"/>
      <c r="F83" s="3255">
        <v>0.1</v>
      </c>
      <c r="G83" s="3272"/>
    </row>
    <row r="84" spans="1:7">
      <c r="A84" s="3265" t="s">
        <v>110</v>
      </c>
      <c r="B84" s="3254" t="s">
        <v>2971</v>
      </c>
      <c r="C84" s="3266"/>
      <c r="D84" s="3266"/>
      <c r="E84" s="3266"/>
      <c r="F84" s="3255">
        <v>0.1</v>
      </c>
      <c r="G84" s="3272"/>
    </row>
    <row r="85" spans="1:7">
      <c r="A85" s="3265" t="s">
        <v>110</v>
      </c>
      <c r="B85" s="3254" t="s">
        <v>2978</v>
      </c>
      <c r="C85" s="3266"/>
      <c r="D85" s="3266"/>
      <c r="E85" s="3266"/>
      <c r="F85" s="3255">
        <v>0.1</v>
      </c>
      <c r="G85" s="3272"/>
    </row>
    <row r="86" spans="1:7" ht="14.25" thickBot="1">
      <c r="A86" s="3268" t="s">
        <v>110</v>
      </c>
      <c r="B86" s="3258" t="s">
        <v>2983</v>
      </c>
      <c r="C86" s="3259">
        <v>9.8000000000000004E-2</v>
      </c>
      <c r="D86" s="3259">
        <v>9.8000000000000004E-2</v>
      </c>
      <c r="E86" s="3259">
        <v>9.6000000000000002E-2</v>
      </c>
      <c r="F86" s="3269"/>
      <c r="G86" s="3261">
        <v>0.1</v>
      </c>
    </row>
    <row r="87" spans="1:7">
      <c r="A87" s="3264" t="s">
        <v>303</v>
      </c>
      <c r="B87" s="3250" t="s">
        <v>2859</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2952</v>
      </c>
      <c r="C113" s="3255">
        <v>0.1</v>
      </c>
      <c r="D113" s="3255">
        <v>0.1</v>
      </c>
      <c r="E113" s="3266"/>
      <c r="F113" s="3266"/>
      <c r="G113" s="3256">
        <v>0.1</v>
      </c>
    </row>
    <row r="114" spans="1:7">
      <c r="A114" s="3265" t="s">
        <v>303</v>
      </c>
      <c r="B114" s="3254" t="s">
        <v>2959</v>
      </c>
      <c r="C114" s="3255">
        <v>9.7000000000000003E-2</v>
      </c>
      <c r="D114" s="3255">
        <v>9.7000000000000003E-2</v>
      </c>
      <c r="E114" s="3266"/>
      <c r="F114" s="3266"/>
      <c r="G114" s="3256">
        <v>9.9000000000000005E-2</v>
      </c>
    </row>
    <row r="115" spans="1:7">
      <c r="A115" s="3265" t="s">
        <v>303</v>
      </c>
      <c r="B115" s="3254" t="s">
        <v>2965</v>
      </c>
      <c r="C115" s="3255">
        <v>0.1</v>
      </c>
      <c r="D115" s="3255">
        <v>0.1</v>
      </c>
      <c r="E115" s="3266"/>
      <c r="F115" s="3266"/>
      <c r="G115" s="3256">
        <v>0.1</v>
      </c>
    </row>
    <row r="116" spans="1:7">
      <c r="A116" s="3265" t="s">
        <v>303</v>
      </c>
      <c r="B116" s="3254" t="s">
        <v>2972</v>
      </c>
      <c r="C116" s="3255">
        <v>0.1</v>
      </c>
      <c r="D116" s="3255">
        <v>0.1</v>
      </c>
      <c r="E116" s="3266"/>
      <c r="F116" s="3266"/>
      <c r="G116" s="3256">
        <v>0.1</v>
      </c>
    </row>
    <row r="117" spans="1:7">
      <c r="A117" s="3265" t="s">
        <v>303</v>
      </c>
      <c r="B117" s="3254" t="s">
        <v>2979</v>
      </c>
      <c r="C117" s="3255">
        <v>9.7000000000000003E-2</v>
      </c>
      <c r="D117" s="3255">
        <v>9.7000000000000003E-2</v>
      </c>
      <c r="E117" s="3266"/>
      <c r="F117" s="3266"/>
      <c r="G117" s="3256">
        <v>9.7000000000000003E-2</v>
      </c>
    </row>
    <row r="118" spans="1:7">
      <c r="A118" s="3265" t="s">
        <v>303</v>
      </c>
      <c r="B118" s="3254" t="s">
        <v>2984</v>
      </c>
      <c r="C118" s="3255">
        <v>0.1</v>
      </c>
      <c r="D118" s="3255">
        <v>0.1</v>
      </c>
      <c r="E118" s="3266"/>
      <c r="F118" s="3266"/>
      <c r="G118" s="3256">
        <v>0.1</v>
      </c>
    </row>
    <row r="119" spans="1:7">
      <c r="A119" s="3265" t="s">
        <v>303</v>
      </c>
      <c r="B119" s="3254" t="s">
        <v>2988</v>
      </c>
      <c r="C119" s="3255">
        <v>5.0999999999999997E-2</v>
      </c>
      <c r="D119" s="3255">
        <v>5.1999999999999998E-2</v>
      </c>
      <c r="E119" s="3266"/>
      <c r="F119" s="3271"/>
      <c r="G119" s="3256">
        <v>0.06</v>
      </c>
    </row>
    <row r="120" spans="1:7">
      <c r="A120" s="3265" t="s">
        <v>303</v>
      </c>
      <c r="B120" s="3254" t="s">
        <v>2992</v>
      </c>
      <c r="C120" s="3266"/>
      <c r="D120" s="3266"/>
      <c r="E120" s="3266"/>
      <c r="F120" s="3255">
        <v>0.1</v>
      </c>
      <c r="G120" s="3272"/>
    </row>
    <row r="121" spans="1:7">
      <c r="A121" s="3265" t="s">
        <v>303</v>
      </c>
      <c r="B121" s="3254" t="s">
        <v>2997</v>
      </c>
      <c r="C121" s="3266"/>
      <c r="D121" s="3266"/>
      <c r="E121" s="3266"/>
      <c r="F121" s="3255">
        <v>0.1</v>
      </c>
      <c r="G121" s="3272"/>
    </row>
    <row r="122" spans="1:7">
      <c r="A122" s="3265" t="s">
        <v>303</v>
      </c>
      <c r="B122" s="3254" t="s">
        <v>3002</v>
      </c>
      <c r="C122" s="3255">
        <v>0.1</v>
      </c>
      <c r="D122" s="3255">
        <v>0.1</v>
      </c>
      <c r="E122" s="3255">
        <v>9.8000000000000004E-2</v>
      </c>
      <c r="F122" s="3255">
        <v>0.1</v>
      </c>
      <c r="G122" s="3256">
        <v>0.1</v>
      </c>
    </row>
    <row r="123" spans="1:7">
      <c r="A123" s="3265" t="s">
        <v>303</v>
      </c>
      <c r="B123" s="3254" t="s">
        <v>3007</v>
      </c>
      <c r="C123" s="3255">
        <v>0.1</v>
      </c>
      <c r="D123" s="3255">
        <v>0.1</v>
      </c>
      <c r="E123" s="3255">
        <v>9.8000000000000004E-2</v>
      </c>
      <c r="F123" s="3255">
        <v>0.1</v>
      </c>
      <c r="G123" s="3256">
        <v>0.1</v>
      </c>
    </row>
    <row r="124" spans="1:7">
      <c r="A124" s="3265" t="s">
        <v>303</v>
      </c>
      <c r="B124" s="3254" t="s">
        <v>3012</v>
      </c>
      <c r="C124" s="3255">
        <v>0.1</v>
      </c>
      <c r="D124" s="3255">
        <v>0.1</v>
      </c>
      <c r="E124" s="3255">
        <v>9.8000000000000004E-2</v>
      </c>
      <c r="F124" s="3271"/>
      <c r="G124" s="3256">
        <v>0.1</v>
      </c>
    </row>
    <row r="125" spans="1:7">
      <c r="A125" s="3265" t="s">
        <v>303</v>
      </c>
      <c r="B125" s="3254" t="s">
        <v>3017</v>
      </c>
      <c r="C125" s="3255">
        <v>9.8000000000000004E-2</v>
      </c>
      <c r="D125" s="3255">
        <v>9.8000000000000004E-2</v>
      </c>
      <c r="E125" s="3255">
        <v>9.6000000000000002E-2</v>
      </c>
      <c r="F125" s="3271"/>
      <c r="G125" s="3256">
        <v>0.1</v>
      </c>
    </row>
    <row r="126" spans="1:7" ht="14.25" thickBot="1">
      <c r="A126" s="3268" t="s">
        <v>303</v>
      </c>
      <c r="B126" s="3258" t="s">
        <v>3183</v>
      </c>
      <c r="C126" s="3259">
        <v>0.1</v>
      </c>
      <c r="D126" s="3259">
        <v>0.1</v>
      </c>
      <c r="E126" s="3259">
        <v>9.8000000000000004E-2</v>
      </c>
      <c r="F126" s="3259">
        <v>0.1</v>
      </c>
      <c r="G126" s="3261">
        <v>0.1</v>
      </c>
    </row>
    <row r="127" spans="1:7">
      <c r="A127" s="3264" t="s">
        <v>29</v>
      </c>
      <c r="B127" s="3250" t="s">
        <v>2860</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2930</v>
      </c>
      <c r="C148" s="3255">
        <v>0.13</v>
      </c>
      <c r="D148" s="3255">
        <v>0.13</v>
      </c>
      <c r="E148" s="3255">
        <v>0.13</v>
      </c>
      <c r="F148" s="3266"/>
      <c r="G148" s="3256">
        <v>0.13</v>
      </c>
    </row>
    <row r="149" spans="1:7">
      <c r="A149" s="3265" t="s">
        <v>29</v>
      </c>
      <c r="B149" s="3254" t="s">
        <v>2934</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2953</v>
      </c>
      <c r="C153" s="3255">
        <v>0.13</v>
      </c>
      <c r="D153" s="3255">
        <v>0.13</v>
      </c>
      <c r="E153" s="3255">
        <v>0.13</v>
      </c>
      <c r="F153" s="3255">
        <v>0.13</v>
      </c>
      <c r="G153" s="3256">
        <v>0.13</v>
      </c>
    </row>
    <row r="154" spans="1:7">
      <c r="A154" s="3265" t="s">
        <v>29</v>
      </c>
      <c r="B154" s="3254" t="s">
        <v>2960</v>
      </c>
      <c r="C154" s="3255">
        <v>0.121</v>
      </c>
      <c r="D154" s="3255">
        <v>0.121</v>
      </c>
      <c r="E154" s="3255">
        <v>0.105</v>
      </c>
      <c r="F154" s="3255">
        <v>0.121</v>
      </c>
      <c r="G154" s="3256">
        <v>0.123</v>
      </c>
    </row>
    <row r="155" spans="1:7">
      <c r="A155" s="3265" t="s">
        <v>29</v>
      </c>
      <c r="B155" s="3254" t="s">
        <v>2966</v>
      </c>
      <c r="C155" s="3255">
        <v>0.1</v>
      </c>
      <c r="D155" s="3255">
        <v>0.1</v>
      </c>
      <c r="E155" s="3255">
        <v>0.1</v>
      </c>
      <c r="F155" s="3255">
        <v>0.1</v>
      </c>
      <c r="G155" s="3256">
        <v>0.1</v>
      </c>
    </row>
    <row r="156" spans="1:7">
      <c r="A156" s="3265" t="s">
        <v>29</v>
      </c>
      <c r="B156" s="3254" t="s">
        <v>2973</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2993</v>
      </c>
      <c r="C160" s="3255">
        <v>0.13</v>
      </c>
      <c r="D160" s="3255">
        <v>0.13</v>
      </c>
      <c r="E160" s="3255">
        <v>0.124</v>
      </c>
      <c r="F160" s="3255">
        <v>0.126</v>
      </c>
      <c r="G160" s="3256">
        <v>0.13</v>
      </c>
    </row>
    <row r="161" spans="1:7">
      <c r="A161" s="3265" t="s">
        <v>29</v>
      </c>
      <c r="B161" s="3254" t="s">
        <v>2998</v>
      </c>
      <c r="C161" s="3255">
        <v>0.13</v>
      </c>
      <c r="D161" s="3255">
        <v>0.13</v>
      </c>
      <c r="E161" s="3255">
        <v>0.124</v>
      </c>
      <c r="F161" s="3255">
        <v>0.127</v>
      </c>
      <c r="G161" s="3256">
        <v>0.13</v>
      </c>
    </row>
    <row r="162" spans="1:7">
      <c r="A162" s="3265" t="s">
        <v>29</v>
      </c>
      <c r="B162" s="3254" t="s">
        <v>3003</v>
      </c>
      <c r="C162" s="3255">
        <v>0.1</v>
      </c>
      <c r="D162" s="3255">
        <v>0.1</v>
      </c>
      <c r="E162" s="3255">
        <v>0.1</v>
      </c>
      <c r="F162" s="3255">
        <v>0.121</v>
      </c>
      <c r="G162" s="3256">
        <v>0.105</v>
      </c>
    </row>
    <row r="163" spans="1:7">
      <c r="A163" s="3265" t="s">
        <v>29</v>
      </c>
      <c r="B163" s="3254" t="s">
        <v>3008</v>
      </c>
      <c r="C163" s="3255">
        <v>0.1</v>
      </c>
      <c r="D163" s="3255">
        <v>0.1</v>
      </c>
      <c r="E163" s="3255">
        <v>0.1</v>
      </c>
      <c r="F163" s="3255">
        <v>0.1</v>
      </c>
      <c r="G163" s="3256">
        <v>0.1</v>
      </c>
    </row>
    <row r="164" spans="1:7">
      <c r="A164" s="3265" t="s">
        <v>29</v>
      </c>
      <c r="B164" s="3254" t="s">
        <v>3013</v>
      </c>
      <c r="C164" s="3271"/>
      <c r="D164" s="3271"/>
      <c r="E164" s="3271"/>
      <c r="F164" s="3255">
        <v>0.1</v>
      </c>
      <c r="G164" s="3267"/>
    </row>
    <row r="165" spans="1:7">
      <c r="A165" s="3265" t="s">
        <v>29</v>
      </c>
      <c r="B165" s="3254" t="s">
        <v>3184</v>
      </c>
      <c r="C165" s="3255">
        <v>0.126</v>
      </c>
      <c r="D165" s="3255">
        <v>0.126</v>
      </c>
      <c r="E165" s="3255">
        <v>0.11899999999999999</v>
      </c>
      <c r="F165" s="3255">
        <v>0.13</v>
      </c>
      <c r="G165" s="3256">
        <v>0.128</v>
      </c>
    </row>
    <row r="166" spans="1:7">
      <c r="A166" s="3265" t="s">
        <v>29</v>
      </c>
      <c r="B166" s="3254" t="s">
        <v>3023</v>
      </c>
      <c r="C166" s="3255">
        <v>0.129</v>
      </c>
      <c r="D166" s="3255">
        <v>0.129</v>
      </c>
      <c r="E166" s="3255">
        <v>0.123</v>
      </c>
      <c r="F166" s="3255">
        <v>0.128</v>
      </c>
      <c r="G166" s="3256">
        <v>0.13</v>
      </c>
    </row>
    <row r="167" spans="1:7">
      <c r="A167" s="3265" t="s">
        <v>29</v>
      </c>
      <c r="B167" s="3254" t="s">
        <v>3027</v>
      </c>
      <c r="C167" s="3255">
        <v>0.125</v>
      </c>
      <c r="D167" s="3255">
        <v>0.125</v>
      </c>
      <c r="E167" s="3255">
        <v>0.11700000000000001</v>
      </c>
      <c r="F167" s="3255">
        <v>0.13</v>
      </c>
      <c r="G167" s="3256">
        <v>0.126</v>
      </c>
    </row>
    <row r="168" spans="1:7">
      <c r="A168" s="3265" t="s">
        <v>29</v>
      </c>
      <c r="B168" s="3254" t="s">
        <v>3032</v>
      </c>
      <c r="C168" s="3255">
        <v>0.128</v>
      </c>
      <c r="D168" s="3255">
        <v>0.128</v>
      </c>
      <c r="E168" s="3255">
        <v>0.123</v>
      </c>
      <c r="F168" s="3266"/>
      <c r="G168" s="3256">
        <v>0.13</v>
      </c>
    </row>
    <row r="169" spans="1:7">
      <c r="A169" s="3265" t="s">
        <v>29</v>
      </c>
      <c r="B169" s="3254" t="s">
        <v>3185</v>
      </c>
      <c r="C169" s="3271"/>
      <c r="D169" s="3271"/>
      <c r="E169" s="3271"/>
      <c r="F169" s="3255">
        <v>0.05</v>
      </c>
      <c r="G169" s="3267"/>
    </row>
    <row r="170" spans="1:7">
      <c r="A170" s="3265" t="s">
        <v>29</v>
      </c>
      <c r="B170" s="3254" t="s">
        <v>3186</v>
      </c>
      <c r="C170" s="3271"/>
      <c r="D170" s="3271"/>
      <c r="E170" s="3271"/>
      <c r="F170" s="3255">
        <v>0.05</v>
      </c>
      <c r="G170" s="3267"/>
    </row>
    <row r="171" spans="1:7">
      <c r="A171" s="3265" t="s">
        <v>29</v>
      </c>
      <c r="B171" s="3254" t="s">
        <v>3187</v>
      </c>
      <c r="C171" s="3271"/>
      <c r="D171" s="3271"/>
      <c r="E171" s="3271"/>
      <c r="F171" s="3255">
        <v>0.05</v>
      </c>
      <c r="G171" s="3272"/>
    </row>
    <row r="172" spans="1:7">
      <c r="A172" s="3265" t="s">
        <v>29</v>
      </c>
      <c r="B172" s="3254" t="s">
        <v>3188</v>
      </c>
      <c r="C172" s="3271"/>
      <c r="D172" s="3271"/>
      <c r="E172" s="3271"/>
      <c r="F172" s="3255">
        <v>0.05</v>
      </c>
      <c r="G172" s="3272"/>
    </row>
    <row r="173" spans="1:7">
      <c r="A173" s="3265" t="s">
        <v>29</v>
      </c>
      <c r="B173" s="3254" t="s">
        <v>3189</v>
      </c>
      <c r="C173" s="3271"/>
      <c r="D173" s="3271"/>
      <c r="E173" s="3271"/>
      <c r="F173" s="3255">
        <v>0.05</v>
      </c>
      <c r="G173" s="3267"/>
    </row>
    <row r="174" spans="1:7">
      <c r="A174" s="3265" t="s">
        <v>29</v>
      </c>
      <c r="B174" s="3254" t="s">
        <v>3190</v>
      </c>
      <c r="C174" s="3271"/>
      <c r="D174" s="3271"/>
      <c r="E174" s="3271"/>
      <c r="F174" s="3255">
        <v>0.05</v>
      </c>
      <c r="G174" s="3267"/>
    </row>
    <row r="175" spans="1:7">
      <c r="A175" s="3265" t="s">
        <v>29</v>
      </c>
      <c r="B175" s="3254" t="s">
        <v>3191</v>
      </c>
      <c r="C175" s="3271"/>
      <c r="D175" s="3271"/>
      <c r="E175" s="3271"/>
      <c r="F175" s="3255">
        <v>0.05</v>
      </c>
      <c r="G175" s="3267"/>
    </row>
    <row r="176" spans="1:7">
      <c r="A176" s="3265" t="s">
        <v>29</v>
      </c>
      <c r="B176" s="3254" t="s">
        <v>3192</v>
      </c>
      <c r="C176" s="3271"/>
      <c r="D176" s="3271"/>
      <c r="E176" s="3271"/>
      <c r="F176" s="3255">
        <v>0.05</v>
      </c>
      <c r="G176" s="3267"/>
    </row>
    <row r="177" spans="1:7">
      <c r="A177" s="3265" t="s">
        <v>29</v>
      </c>
      <c r="B177" s="3254" t="s">
        <v>3193</v>
      </c>
      <c r="C177" s="3266"/>
      <c r="D177" s="3266"/>
      <c r="E177" s="3266"/>
      <c r="F177" s="3255">
        <v>0.05</v>
      </c>
      <c r="G177" s="3272"/>
    </row>
    <row r="178" spans="1:7">
      <c r="A178" s="3265" t="s">
        <v>29</v>
      </c>
      <c r="B178" s="3254" t="s">
        <v>3194</v>
      </c>
      <c r="C178" s="3266"/>
      <c r="D178" s="3266"/>
      <c r="E178" s="3266"/>
      <c r="F178" s="3255">
        <v>0.05</v>
      </c>
      <c r="G178" s="3272"/>
    </row>
    <row r="179" spans="1:7">
      <c r="A179" s="3265" t="s">
        <v>29</v>
      </c>
      <c r="B179" s="3254" t="s">
        <v>3195</v>
      </c>
      <c r="C179" s="3266"/>
      <c r="D179" s="3266"/>
      <c r="E179" s="3266"/>
      <c r="F179" s="3255">
        <v>0.05</v>
      </c>
      <c r="G179" s="3272"/>
    </row>
    <row r="180" spans="1:7">
      <c r="A180" s="3265" t="s">
        <v>29</v>
      </c>
      <c r="B180" s="3254" t="s">
        <v>3196</v>
      </c>
      <c r="C180" s="3266"/>
      <c r="D180" s="3266"/>
      <c r="E180" s="3266"/>
      <c r="F180" s="3255">
        <v>0.05</v>
      </c>
      <c r="G180" s="3272"/>
    </row>
    <row r="181" spans="1:7">
      <c r="A181" s="3265" t="s">
        <v>29</v>
      </c>
      <c r="B181" s="3254" t="s">
        <v>3197</v>
      </c>
      <c r="C181" s="3266"/>
      <c r="D181" s="3266"/>
      <c r="E181" s="3266"/>
      <c r="F181" s="3255">
        <v>0.05</v>
      </c>
      <c r="G181" s="3272"/>
    </row>
    <row r="182" spans="1:7">
      <c r="A182" s="3265" t="s">
        <v>29</v>
      </c>
      <c r="B182" s="3254" t="s">
        <v>3198</v>
      </c>
      <c r="C182" s="3266"/>
      <c r="D182" s="3266"/>
      <c r="E182" s="3266"/>
      <c r="F182" s="3255">
        <v>0.05</v>
      </c>
      <c r="G182" s="3272"/>
    </row>
    <row r="183" spans="1:7">
      <c r="A183" s="3265" t="s">
        <v>29</v>
      </c>
      <c r="B183" s="3254" t="s">
        <v>3199</v>
      </c>
      <c r="C183" s="3266"/>
      <c r="D183" s="3266"/>
      <c r="E183" s="3266"/>
      <c r="F183" s="3255">
        <v>0.05</v>
      </c>
      <c r="G183" s="3272"/>
    </row>
    <row r="184" spans="1:7">
      <c r="A184" s="3265" t="s">
        <v>29</v>
      </c>
      <c r="B184" s="3254" t="s">
        <v>3200</v>
      </c>
      <c r="C184" s="3266"/>
      <c r="D184" s="3266"/>
      <c r="E184" s="3266"/>
      <c r="F184" s="3255">
        <v>0.05</v>
      </c>
      <c r="G184" s="3272"/>
    </row>
    <row r="185" spans="1:7">
      <c r="A185" s="3265" t="s">
        <v>29</v>
      </c>
      <c r="B185" s="3254" t="s">
        <v>3201</v>
      </c>
      <c r="C185" s="3266"/>
      <c r="D185" s="3266"/>
      <c r="E185" s="3266"/>
      <c r="F185" s="3255">
        <v>0.05</v>
      </c>
      <c r="G185" s="3272"/>
    </row>
    <row r="186" spans="1:7">
      <c r="A186" s="3265" t="s">
        <v>29</v>
      </c>
      <c r="B186" s="3254" t="s">
        <v>3202</v>
      </c>
      <c r="C186" s="3266"/>
      <c r="D186" s="3266"/>
      <c r="E186" s="3266"/>
      <c r="F186" s="3255">
        <v>0.05</v>
      </c>
      <c r="G186" s="3272"/>
    </row>
    <row r="187" spans="1:7">
      <c r="A187" s="3265" t="s">
        <v>29</v>
      </c>
      <c r="B187" s="3254" t="s">
        <v>3203</v>
      </c>
      <c r="C187" s="3266"/>
      <c r="D187" s="3266"/>
      <c r="E187" s="3266"/>
      <c r="F187" s="3255">
        <v>0.05</v>
      </c>
      <c r="G187" s="3272"/>
    </row>
    <row r="188" spans="1:7">
      <c r="A188" s="3265" t="s">
        <v>29</v>
      </c>
      <c r="B188" s="3254" t="s">
        <v>3204</v>
      </c>
      <c r="C188" s="3266"/>
      <c r="D188" s="3266"/>
      <c r="E188" s="3266"/>
      <c r="F188" s="3255">
        <v>0.05</v>
      </c>
      <c r="G188" s="3272"/>
    </row>
    <row r="189" spans="1:7" ht="14.25" thickBot="1">
      <c r="A189" s="3268" t="s">
        <v>29</v>
      </c>
      <c r="B189" s="3258" t="s">
        <v>3205</v>
      </c>
      <c r="C189" s="3260"/>
      <c r="D189" s="3260"/>
      <c r="E189" s="3260"/>
      <c r="F189" s="3259">
        <v>0.05</v>
      </c>
      <c r="G189" s="3273"/>
    </row>
    <row r="190" spans="1:7">
      <c r="A190" s="3264" t="s">
        <v>304</v>
      </c>
      <c r="B190" s="3250" t="s">
        <v>2861</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2897</v>
      </c>
      <c r="C199" s="3255">
        <v>0.13</v>
      </c>
      <c r="D199" s="3255">
        <v>0.13</v>
      </c>
      <c r="E199" s="3255">
        <v>0.13</v>
      </c>
      <c r="F199" s="3255">
        <v>0.13</v>
      </c>
      <c r="G199" s="3256">
        <v>0.13</v>
      </c>
    </row>
    <row r="200" spans="1:7">
      <c r="A200" s="3265" t="s">
        <v>304</v>
      </c>
      <c r="B200" s="3254" t="s">
        <v>2900</v>
      </c>
      <c r="C200" s="3271"/>
      <c r="D200" s="3271"/>
      <c r="E200" s="3271"/>
      <c r="F200" s="3255">
        <v>0.13</v>
      </c>
      <c r="G200" s="3267"/>
    </row>
    <row r="201" spans="1:7">
      <c r="A201" s="3265" t="s">
        <v>304</v>
      </c>
      <c r="B201" s="3254" t="s">
        <v>2905</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2908</v>
      </c>
      <c r="C203" s="3255">
        <v>0.129</v>
      </c>
      <c r="D203" s="3255">
        <v>0.129</v>
      </c>
      <c r="E203" s="3255">
        <v>0.13</v>
      </c>
      <c r="F203" s="3255">
        <v>0.13</v>
      </c>
      <c r="G203" s="3256">
        <v>0.13</v>
      </c>
    </row>
    <row r="204" spans="1:7">
      <c r="A204" s="3265" t="s">
        <v>304</v>
      </c>
      <c r="B204" s="3254" t="s">
        <v>2911</v>
      </c>
      <c r="C204" s="3255">
        <v>0.129</v>
      </c>
      <c r="D204" s="3255">
        <v>0.129</v>
      </c>
      <c r="E204" s="3255">
        <v>0.123</v>
      </c>
      <c r="F204" s="3255">
        <v>0.13</v>
      </c>
      <c r="G204" s="3256">
        <v>0.13</v>
      </c>
    </row>
    <row r="205" spans="1:7">
      <c r="A205" s="3265" t="s">
        <v>304</v>
      </c>
      <c r="B205" s="3254" t="s">
        <v>2913</v>
      </c>
      <c r="C205" s="3255">
        <v>0.13</v>
      </c>
      <c r="D205" s="3255">
        <v>0.13</v>
      </c>
      <c r="E205" s="3255">
        <v>0.13</v>
      </c>
      <c r="F205" s="3255">
        <v>0.13</v>
      </c>
      <c r="G205" s="3256">
        <v>0.13</v>
      </c>
    </row>
    <row r="206" spans="1:7">
      <c r="A206" s="3265" t="s">
        <v>304</v>
      </c>
      <c r="B206" s="3254" t="s">
        <v>2916</v>
      </c>
      <c r="C206" s="3255">
        <v>0.13</v>
      </c>
      <c r="D206" s="3255">
        <v>0.13</v>
      </c>
      <c r="E206" s="3255">
        <v>0.13</v>
      </c>
      <c r="F206" s="3255">
        <v>0.128</v>
      </c>
      <c r="G206" s="3256">
        <v>0.13</v>
      </c>
    </row>
    <row r="207" spans="1:7">
      <c r="A207" s="3265" t="s">
        <v>304</v>
      </c>
      <c r="B207" s="3254" t="s">
        <v>2918</v>
      </c>
      <c r="C207" s="3255">
        <v>0.13</v>
      </c>
      <c r="D207" s="3255">
        <v>0.13</v>
      </c>
      <c r="E207" s="3255">
        <v>0.13</v>
      </c>
      <c r="F207" s="3255">
        <v>0.13</v>
      </c>
      <c r="G207" s="3256">
        <v>0.13</v>
      </c>
    </row>
    <row r="208" spans="1:7">
      <c r="A208" s="3265" t="s">
        <v>304</v>
      </c>
      <c r="B208" s="3254" t="s">
        <v>2921</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2928</v>
      </c>
      <c r="C210" s="3255">
        <v>0.121</v>
      </c>
      <c r="D210" s="3255">
        <v>0.121</v>
      </c>
      <c r="E210" s="3255">
        <v>0.125</v>
      </c>
      <c r="F210" s="3255">
        <v>0.13</v>
      </c>
      <c r="G210" s="3256">
        <v>0.123</v>
      </c>
    </row>
    <row r="211" spans="1:7">
      <c r="A211" s="3265" t="s">
        <v>304</v>
      </c>
      <c r="B211" s="3254" t="s">
        <v>2931</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2943</v>
      </c>
      <c r="C214" s="3255">
        <v>0.128</v>
      </c>
      <c r="D214" s="3255">
        <v>0.128</v>
      </c>
      <c r="E214" s="3255">
        <v>0.13</v>
      </c>
      <c r="F214" s="3255">
        <v>0.13</v>
      </c>
      <c r="G214" s="3256">
        <v>0.13</v>
      </c>
    </row>
    <row r="215" spans="1:7">
      <c r="A215" s="3265" t="s">
        <v>304</v>
      </c>
      <c r="B215" s="3254" t="s">
        <v>2947</v>
      </c>
      <c r="C215" s="3255">
        <v>0.13</v>
      </c>
      <c r="D215" s="3255">
        <v>0.13</v>
      </c>
      <c r="E215" s="3255">
        <v>0.13</v>
      </c>
      <c r="F215" s="3255">
        <v>0.129</v>
      </c>
      <c r="G215" s="3256">
        <v>0.13</v>
      </c>
    </row>
    <row r="216" spans="1:7">
      <c r="A216" s="3265" t="s">
        <v>304</v>
      </c>
      <c r="B216" s="3254" t="s">
        <v>2954</v>
      </c>
      <c r="C216" s="3255">
        <v>0.13</v>
      </c>
      <c r="D216" s="3255">
        <v>0.13</v>
      </c>
      <c r="E216" s="3255">
        <v>0.13</v>
      </c>
      <c r="F216" s="3255">
        <v>0.13</v>
      </c>
      <c r="G216" s="3256">
        <v>0.13</v>
      </c>
    </row>
    <row r="217" spans="1:7">
      <c r="A217" s="3265" t="s">
        <v>304</v>
      </c>
      <c r="B217" s="3254" t="s">
        <v>2961</v>
      </c>
      <c r="C217" s="3255">
        <v>0.129</v>
      </c>
      <c r="D217" s="3255">
        <v>0.129</v>
      </c>
      <c r="E217" s="3255">
        <v>0.13</v>
      </c>
      <c r="F217" s="3255">
        <v>0.13</v>
      </c>
      <c r="G217" s="3256">
        <v>0.13</v>
      </c>
    </row>
    <row r="218" spans="1:7">
      <c r="A218" s="3265" t="s">
        <v>304</v>
      </c>
      <c r="B218" s="3254" t="s">
        <v>2967</v>
      </c>
      <c r="C218" s="3266"/>
      <c r="D218" s="3266"/>
      <c r="E218" s="3266"/>
      <c r="F218" s="3255">
        <v>0.05</v>
      </c>
      <c r="G218" s="3272"/>
    </row>
    <row r="219" spans="1:7">
      <c r="A219" s="3265" t="s">
        <v>304</v>
      </c>
      <c r="B219" s="3254" t="s">
        <v>2974</v>
      </c>
      <c r="C219" s="3266"/>
      <c r="D219" s="3266"/>
      <c r="E219" s="3266"/>
      <c r="F219" s="3255">
        <v>0.05</v>
      </c>
      <c r="G219" s="3272"/>
    </row>
    <row r="220" spans="1:7">
      <c r="A220" s="3265" t="s">
        <v>304</v>
      </c>
      <c r="B220" s="3254" t="s">
        <v>2980</v>
      </c>
      <c r="C220" s="3266"/>
      <c r="D220" s="3266"/>
      <c r="E220" s="3266"/>
      <c r="F220" s="3255">
        <v>0.05</v>
      </c>
      <c r="G220" s="3272"/>
    </row>
    <row r="221" spans="1:7">
      <c r="A221" s="3265" t="s">
        <v>304</v>
      </c>
      <c r="B221" s="3254" t="s">
        <v>2985</v>
      </c>
      <c r="C221" s="3266"/>
      <c r="D221" s="3266"/>
      <c r="E221" s="3266"/>
      <c r="F221" s="3255">
        <v>0.05</v>
      </c>
      <c r="G221" s="3272"/>
    </row>
    <row r="222" spans="1:7">
      <c r="A222" s="3265" t="s">
        <v>304</v>
      </c>
      <c r="B222" s="3254" t="s">
        <v>2989</v>
      </c>
      <c r="C222" s="3266"/>
      <c r="D222" s="3266"/>
      <c r="E222" s="3266"/>
      <c r="F222" s="3255">
        <v>0.05</v>
      </c>
      <c r="G222" s="3272"/>
    </row>
    <row r="223" spans="1:7">
      <c r="A223" s="3265" t="s">
        <v>304</v>
      </c>
      <c r="B223" s="3254" t="s">
        <v>2994</v>
      </c>
      <c r="C223" s="3266"/>
      <c r="D223" s="3266"/>
      <c r="E223" s="3266"/>
      <c r="F223" s="3255">
        <v>0.05</v>
      </c>
      <c r="G223" s="3272"/>
    </row>
    <row r="224" spans="1:7">
      <c r="A224" s="3265" t="s">
        <v>304</v>
      </c>
      <c r="B224" s="3254" t="s">
        <v>2999</v>
      </c>
      <c r="C224" s="3266"/>
      <c r="D224" s="3266"/>
      <c r="E224" s="3266"/>
      <c r="F224" s="3255">
        <v>0.05</v>
      </c>
      <c r="G224" s="3272"/>
    </row>
    <row r="225" spans="1:7">
      <c r="A225" s="3265" t="s">
        <v>304</v>
      </c>
      <c r="B225" s="3254" t="s">
        <v>3004</v>
      </c>
      <c r="C225" s="3266"/>
      <c r="D225" s="3266"/>
      <c r="E225" s="3266"/>
      <c r="F225" s="3255">
        <v>0.05</v>
      </c>
      <c r="G225" s="3272"/>
    </row>
    <row r="226" spans="1:7">
      <c r="A226" s="3265" t="s">
        <v>304</v>
      </c>
      <c r="B226" s="3254" t="s">
        <v>3206</v>
      </c>
      <c r="C226" s="3266"/>
      <c r="D226" s="3266"/>
      <c r="E226" s="3266"/>
      <c r="F226" s="3255">
        <v>0.05</v>
      </c>
      <c r="G226" s="3272"/>
    </row>
    <row r="227" spans="1:7">
      <c r="A227" s="3265" t="s">
        <v>304</v>
      </c>
      <c r="B227" s="3254" t="s">
        <v>3207</v>
      </c>
      <c r="C227" s="3266"/>
      <c r="D227" s="3266"/>
      <c r="E227" s="3266"/>
      <c r="F227" s="3255">
        <v>0.05</v>
      </c>
      <c r="G227" s="3272"/>
    </row>
    <row r="228" spans="1:7">
      <c r="A228" s="3265" t="s">
        <v>304</v>
      </c>
      <c r="B228" s="3254" t="s">
        <v>3208</v>
      </c>
      <c r="C228" s="3266"/>
      <c r="D228" s="3266"/>
      <c r="E228" s="3266"/>
      <c r="F228" s="3255">
        <v>0.05</v>
      </c>
      <c r="G228" s="3272"/>
    </row>
    <row r="229" spans="1:7">
      <c r="A229" s="3265" t="s">
        <v>304</v>
      </c>
      <c r="B229" s="3254" t="s">
        <v>3209</v>
      </c>
      <c r="C229" s="3266"/>
      <c r="D229" s="3266"/>
      <c r="E229" s="3266"/>
      <c r="F229" s="3255">
        <v>0.05</v>
      </c>
      <c r="G229" s="3272"/>
    </row>
    <row r="230" spans="1:7">
      <c r="A230" s="3265" t="s">
        <v>304</v>
      </c>
      <c r="B230" s="3254" t="s">
        <v>3210</v>
      </c>
      <c r="C230" s="3266"/>
      <c r="D230" s="3266"/>
      <c r="E230" s="3266"/>
      <c r="F230" s="3255">
        <v>0.05</v>
      </c>
      <c r="G230" s="3272"/>
    </row>
    <row r="231" spans="1:7">
      <c r="A231" s="3265" t="s">
        <v>304</v>
      </c>
      <c r="B231" s="3254" t="s">
        <v>3211</v>
      </c>
      <c r="C231" s="3266"/>
      <c r="D231" s="3266"/>
      <c r="E231" s="3266"/>
      <c r="F231" s="3255">
        <v>0.05</v>
      </c>
      <c r="G231" s="3272"/>
    </row>
    <row r="232" spans="1:7">
      <c r="A232" s="3265" t="s">
        <v>304</v>
      </c>
      <c r="B232" s="3254" t="s">
        <v>3212</v>
      </c>
      <c r="C232" s="3266"/>
      <c r="D232" s="3266"/>
      <c r="E232" s="3266"/>
      <c r="F232" s="3255">
        <v>0.05</v>
      </c>
      <c r="G232" s="3272"/>
    </row>
    <row r="233" spans="1:7" ht="14.25" thickBot="1">
      <c r="A233" s="3268" t="s">
        <v>304</v>
      </c>
      <c r="B233" s="3258" t="s">
        <v>3213</v>
      </c>
      <c r="C233" s="3260"/>
      <c r="D233" s="3260"/>
      <c r="E233" s="3260"/>
      <c r="F233" s="3259">
        <v>0.05</v>
      </c>
      <c r="G233" s="3273"/>
    </row>
    <row r="234" spans="1:7">
      <c r="A234" s="3264" t="s">
        <v>305</v>
      </c>
      <c r="B234" s="3250" t="s">
        <v>2862</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2882</v>
      </c>
      <c r="C238" s="3255">
        <v>0.14899999999999999</v>
      </c>
      <c r="D238" s="3255">
        <v>0.14899999999999999</v>
      </c>
      <c r="E238" s="3255">
        <v>0.15</v>
      </c>
      <c r="F238" s="3255">
        <v>0.15</v>
      </c>
      <c r="G238" s="3256">
        <v>0.15</v>
      </c>
    </row>
    <row r="239" spans="1:7">
      <c r="A239" s="3265" t="s">
        <v>305</v>
      </c>
      <c r="B239" s="3254" t="s">
        <v>2886</v>
      </c>
      <c r="C239" s="3255">
        <v>0.15</v>
      </c>
      <c r="D239" s="3255">
        <v>0.15</v>
      </c>
      <c r="E239" s="3255">
        <v>0.15</v>
      </c>
      <c r="F239" s="3255">
        <v>0.15</v>
      </c>
      <c r="G239" s="3256">
        <v>0.15</v>
      </c>
    </row>
    <row r="240" spans="1:7">
      <c r="A240" s="3265" t="s">
        <v>305</v>
      </c>
      <c r="B240" s="3254" t="s">
        <v>2891</v>
      </c>
      <c r="C240" s="3255">
        <v>0.15</v>
      </c>
      <c r="D240" s="3255">
        <v>0.15</v>
      </c>
      <c r="E240" s="3255">
        <v>0.15</v>
      </c>
      <c r="F240" s="3255">
        <v>0.15</v>
      </c>
      <c r="G240" s="3256">
        <v>0.15</v>
      </c>
    </row>
    <row r="241" spans="1:7">
      <c r="A241" s="3265" t="s">
        <v>305</v>
      </c>
      <c r="B241" s="3254" t="s">
        <v>2895</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2901</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2909</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2914</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2922</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2935</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2944</v>
      </c>
      <c r="C258" s="3255">
        <v>0.14299999999999999</v>
      </c>
      <c r="D258" s="3255">
        <v>0.14299999999999999</v>
      </c>
      <c r="E258" s="3255">
        <v>0.15</v>
      </c>
      <c r="F258" s="3255">
        <v>0.14799999999999999</v>
      </c>
      <c r="G258" s="3256">
        <v>0.14599999999999999</v>
      </c>
    </row>
    <row r="259" spans="1:7">
      <c r="A259" s="3265" t="s">
        <v>305</v>
      </c>
      <c r="B259" s="3254" t="s">
        <v>2948</v>
      </c>
      <c r="C259" s="3255">
        <v>0.14399999999999999</v>
      </c>
      <c r="D259" s="3255">
        <v>0.14399999999999999</v>
      </c>
      <c r="E259" s="3255">
        <v>0.14899999999999999</v>
      </c>
      <c r="F259" s="3255">
        <v>0.14699999999999999</v>
      </c>
      <c r="G259" s="3256">
        <v>0.14599999999999999</v>
      </c>
    </row>
    <row r="260" spans="1:7">
      <c r="A260" s="3265" t="s">
        <v>305</v>
      </c>
      <c r="B260" s="3254" t="s">
        <v>2955</v>
      </c>
      <c r="C260" s="3255">
        <v>0.109</v>
      </c>
      <c r="D260" s="3255">
        <v>0.111</v>
      </c>
      <c r="E260" s="3255">
        <v>0.13100000000000001</v>
      </c>
      <c r="F260" s="3255">
        <v>0.126</v>
      </c>
      <c r="G260" s="3256">
        <v>0.11899999999999999</v>
      </c>
    </row>
    <row r="261" spans="1:7">
      <c r="A261" s="3265" t="s">
        <v>305</v>
      </c>
      <c r="B261" s="3254" t="s">
        <v>2962</v>
      </c>
      <c r="C261" s="3255">
        <v>0.1</v>
      </c>
      <c r="D261" s="3255">
        <v>0.1</v>
      </c>
      <c r="E261" s="3255">
        <v>0.11799999999999999</v>
      </c>
      <c r="F261" s="3255">
        <v>0.108</v>
      </c>
      <c r="G261" s="3256">
        <v>0.107</v>
      </c>
    </row>
    <row r="262" spans="1:7">
      <c r="A262" s="3265" t="s">
        <v>305</v>
      </c>
      <c r="B262" s="3254" t="s">
        <v>2968</v>
      </c>
      <c r="C262" s="3255">
        <v>0.1</v>
      </c>
      <c r="D262" s="3255">
        <v>0.1</v>
      </c>
      <c r="E262" s="3255">
        <v>0.1</v>
      </c>
      <c r="F262" s="3255">
        <v>0.14099999999999999</v>
      </c>
      <c r="G262" s="3256">
        <v>0.1</v>
      </c>
    </row>
    <row r="263" spans="1:7">
      <c r="A263" s="3265" t="s">
        <v>305</v>
      </c>
      <c r="B263" s="3254" t="s">
        <v>2975</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2986</v>
      </c>
      <c r="C265" s="3266"/>
      <c r="D265" s="3266"/>
      <c r="E265" s="3266"/>
      <c r="F265" s="3255">
        <v>0.05</v>
      </c>
      <c r="G265" s="3272"/>
    </row>
    <row r="266" spans="1:7">
      <c r="A266" s="3265" t="s">
        <v>305</v>
      </c>
      <c r="B266" s="3254" t="s">
        <v>2990</v>
      </c>
      <c r="C266" s="3266"/>
      <c r="D266" s="3266"/>
      <c r="E266" s="3266"/>
      <c r="F266" s="3255">
        <v>0.05</v>
      </c>
      <c r="G266" s="3272"/>
    </row>
    <row r="267" spans="1:7">
      <c r="A267" s="3265" t="s">
        <v>305</v>
      </c>
      <c r="B267" s="3254" t="s">
        <v>2995</v>
      </c>
      <c r="C267" s="3266"/>
      <c r="D267" s="3266"/>
      <c r="E267" s="3266"/>
      <c r="F267" s="3255">
        <v>0.05</v>
      </c>
      <c r="G267" s="3272"/>
    </row>
    <row r="268" spans="1:7">
      <c r="A268" s="3265" t="s">
        <v>305</v>
      </c>
      <c r="B268" s="3254" t="s">
        <v>3000</v>
      </c>
      <c r="C268" s="3266"/>
      <c r="D268" s="3266"/>
      <c r="E268" s="3266"/>
      <c r="F268" s="3255">
        <v>0.05</v>
      </c>
      <c r="G268" s="3272"/>
    </row>
    <row r="269" spans="1:7">
      <c r="A269" s="3265" t="s">
        <v>305</v>
      </c>
      <c r="B269" s="3254" t="s">
        <v>3005</v>
      </c>
      <c r="C269" s="3266"/>
      <c r="D269" s="3266"/>
      <c r="E269" s="3266"/>
      <c r="F269" s="3255">
        <v>0.05</v>
      </c>
      <c r="G269" s="3272"/>
    </row>
    <row r="270" spans="1:7">
      <c r="A270" s="3265" t="s">
        <v>305</v>
      </c>
      <c r="B270" s="3254" t="s">
        <v>3010</v>
      </c>
      <c r="C270" s="3266"/>
      <c r="D270" s="3266"/>
      <c r="E270" s="3266"/>
      <c r="F270" s="3255">
        <v>0.05</v>
      </c>
      <c r="G270" s="3272"/>
    </row>
    <row r="271" spans="1:7">
      <c r="A271" s="3265" t="s">
        <v>305</v>
      </c>
      <c r="B271" s="3254" t="s">
        <v>3214</v>
      </c>
      <c r="C271" s="3266"/>
      <c r="D271" s="3266"/>
      <c r="E271" s="3266"/>
      <c r="F271" s="3255">
        <v>0.05</v>
      </c>
      <c r="G271" s="3272"/>
    </row>
    <row r="272" spans="1:7">
      <c r="A272" s="3265" t="s">
        <v>305</v>
      </c>
      <c r="B272" s="3254" t="s">
        <v>3215</v>
      </c>
      <c r="C272" s="3266"/>
      <c r="D272" s="3266"/>
      <c r="E272" s="3266"/>
      <c r="F272" s="3255">
        <v>0.05</v>
      </c>
      <c r="G272" s="3272"/>
    </row>
    <row r="273" spans="1:7">
      <c r="A273" s="3265" t="s">
        <v>305</v>
      </c>
      <c r="B273" s="3254" t="s">
        <v>3216</v>
      </c>
      <c r="C273" s="3266"/>
      <c r="D273" s="3266"/>
      <c r="E273" s="3266"/>
      <c r="F273" s="3255">
        <v>0.05</v>
      </c>
      <c r="G273" s="3272"/>
    </row>
    <row r="274" spans="1:7">
      <c r="A274" s="3265" t="s">
        <v>305</v>
      </c>
      <c r="B274" s="3254" t="s">
        <v>3217</v>
      </c>
      <c r="C274" s="3266"/>
      <c r="D274" s="3266"/>
      <c r="E274" s="3266"/>
      <c r="F274" s="3255">
        <v>0.05</v>
      </c>
      <c r="G274" s="3272"/>
    </row>
    <row r="275" spans="1:7">
      <c r="A275" s="3265" t="s">
        <v>305</v>
      </c>
      <c r="B275" s="3254" t="s">
        <v>3218</v>
      </c>
      <c r="C275" s="3266"/>
      <c r="D275" s="3266"/>
      <c r="E275" s="3266"/>
      <c r="F275" s="3255">
        <v>0.05</v>
      </c>
      <c r="G275" s="3272"/>
    </row>
    <row r="276" spans="1:7" ht="14.25" thickBot="1">
      <c r="A276" s="3268" t="s">
        <v>305</v>
      </c>
      <c r="B276" s="3258" t="s">
        <v>3219</v>
      </c>
      <c r="C276" s="3260"/>
      <c r="D276" s="3260"/>
      <c r="E276" s="3260"/>
      <c r="F276" s="3259">
        <v>0.05</v>
      </c>
      <c r="G276" s="3273"/>
    </row>
    <row r="277" spans="1:7">
      <c r="A277" s="3264" t="s">
        <v>306</v>
      </c>
      <c r="B277" s="3250" t="s">
        <v>2863</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2875</v>
      </c>
      <c r="C279" s="3255">
        <v>0.15</v>
      </c>
      <c r="D279" s="3255">
        <v>0.15</v>
      </c>
      <c r="E279" s="3255">
        <v>0.15</v>
      </c>
      <c r="F279" s="3255">
        <v>0.15</v>
      </c>
      <c r="G279" s="3256">
        <v>0.15</v>
      </c>
    </row>
    <row r="280" spans="1:7">
      <c r="A280" s="3265" t="s">
        <v>306</v>
      </c>
      <c r="B280" s="3254" t="s">
        <v>2879</v>
      </c>
      <c r="C280" s="3255">
        <v>0.15</v>
      </c>
      <c r="D280" s="3255">
        <v>0.15</v>
      </c>
      <c r="E280" s="3255">
        <v>0.15</v>
      </c>
      <c r="F280" s="3255">
        <v>0.15</v>
      </c>
      <c r="G280" s="3256">
        <v>0.15</v>
      </c>
    </row>
    <row r="281" spans="1:7">
      <c r="A281" s="3265" t="s">
        <v>306</v>
      </c>
      <c r="B281" s="3254" t="s">
        <v>2883</v>
      </c>
      <c r="C281" s="3255">
        <v>0.15</v>
      </c>
      <c r="D281" s="3255">
        <v>0.15</v>
      </c>
      <c r="E281" s="3255">
        <v>0.15</v>
      </c>
      <c r="F281" s="3255">
        <v>0.15</v>
      </c>
      <c r="G281" s="3256">
        <v>0.15</v>
      </c>
    </row>
    <row r="282" spans="1:7">
      <c r="A282" s="3265" t="s">
        <v>306</v>
      </c>
      <c r="B282" s="3254" t="s">
        <v>2887</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2902</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2907</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2917</v>
      </c>
      <c r="C293" s="3255">
        <v>0.15</v>
      </c>
      <c r="D293" s="3255">
        <v>0.15</v>
      </c>
      <c r="E293" s="3255">
        <v>0.15</v>
      </c>
      <c r="F293" s="3255">
        <v>0.14499999999999999</v>
      </c>
      <c r="G293" s="3256">
        <v>0.15</v>
      </c>
    </row>
    <row r="294" spans="1:7">
      <c r="A294" s="3265" t="s">
        <v>306</v>
      </c>
      <c r="B294" s="3254" t="s">
        <v>2919</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2936</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2949</v>
      </c>
      <c r="C302" s="3255">
        <v>0.15</v>
      </c>
      <c r="D302" s="3255">
        <v>0.15</v>
      </c>
      <c r="E302" s="3255">
        <v>0.15</v>
      </c>
      <c r="F302" s="3255">
        <v>0.14699999999999999</v>
      </c>
      <c r="G302" s="3256">
        <v>0.15</v>
      </c>
    </row>
    <row r="303" spans="1:7">
      <c r="A303" s="3265" t="s">
        <v>306</v>
      </c>
      <c r="B303" s="3254" t="s">
        <v>2956</v>
      </c>
      <c r="C303" s="3255">
        <v>0.15</v>
      </c>
      <c r="D303" s="3255">
        <v>0.15</v>
      </c>
      <c r="E303" s="3255">
        <v>0.15</v>
      </c>
      <c r="F303" s="3255">
        <v>0.14199999999999999</v>
      </c>
      <c r="G303" s="3256">
        <v>0.15</v>
      </c>
    </row>
    <row r="304" spans="1:7">
      <c r="A304" s="3265" t="s">
        <v>306</v>
      </c>
      <c r="B304" s="3254" t="s">
        <v>2963</v>
      </c>
      <c r="C304" s="3255">
        <v>0.15</v>
      </c>
      <c r="D304" s="3255">
        <v>0.15</v>
      </c>
      <c r="E304" s="3255">
        <v>0.15</v>
      </c>
      <c r="F304" s="3255">
        <v>0.14499999999999999</v>
      </c>
      <c r="G304" s="3256">
        <v>0.15</v>
      </c>
    </row>
    <row r="305" spans="1:7">
      <c r="A305" s="3265" t="s">
        <v>306</v>
      </c>
      <c r="B305" s="3254" t="s">
        <v>2969</v>
      </c>
      <c r="C305" s="3255">
        <v>0.15</v>
      </c>
      <c r="D305" s="3255">
        <v>0.15</v>
      </c>
      <c r="E305" s="3255">
        <v>0.15</v>
      </c>
      <c r="F305" s="3255">
        <v>0.111</v>
      </c>
      <c r="G305" s="3256">
        <v>0.15</v>
      </c>
    </row>
    <row r="306" spans="1:7">
      <c r="A306" s="3265" t="s">
        <v>306</v>
      </c>
      <c r="B306" s="3254" t="s">
        <v>2976</v>
      </c>
      <c r="C306" s="3255">
        <v>0.15</v>
      </c>
      <c r="D306" s="3255">
        <v>0.15</v>
      </c>
      <c r="E306" s="3255">
        <v>0.15</v>
      </c>
      <c r="F306" s="3255">
        <v>0.126</v>
      </c>
      <c r="G306" s="3256">
        <v>0.15</v>
      </c>
    </row>
    <row r="307" spans="1:7">
      <c r="A307" s="3265" t="s">
        <v>306</v>
      </c>
      <c r="B307" s="3254" t="s">
        <v>2981</v>
      </c>
      <c r="C307" s="3255">
        <v>0.15</v>
      </c>
      <c r="D307" s="3255">
        <v>0.15</v>
      </c>
      <c r="E307" s="3255">
        <v>0.15</v>
      </c>
      <c r="F307" s="3255">
        <v>0.12</v>
      </c>
      <c r="G307" s="3256">
        <v>0.15</v>
      </c>
    </row>
    <row r="308" spans="1:7">
      <c r="A308" s="3265" t="s">
        <v>306</v>
      </c>
      <c r="B308" s="3254" t="s">
        <v>2987</v>
      </c>
      <c r="C308" s="3255">
        <v>0.15</v>
      </c>
      <c r="D308" s="3255">
        <v>0.15</v>
      </c>
      <c r="E308" s="3255">
        <v>0.15</v>
      </c>
      <c r="F308" s="3255">
        <v>0.13</v>
      </c>
      <c r="G308" s="3256">
        <v>0.15</v>
      </c>
    </row>
    <row r="309" spans="1:7">
      <c r="A309" s="3265" t="s">
        <v>306</v>
      </c>
      <c r="B309" s="3254" t="s">
        <v>2991</v>
      </c>
      <c r="C309" s="3255">
        <v>0.15</v>
      </c>
      <c r="D309" s="3255">
        <v>0.15</v>
      </c>
      <c r="E309" s="3255">
        <v>0.15</v>
      </c>
      <c r="F309" s="3255">
        <v>0.14099999999999999</v>
      </c>
      <c r="G309" s="3256">
        <v>0.15</v>
      </c>
    </row>
    <row r="310" spans="1:7">
      <c r="A310" s="3265" t="s">
        <v>306</v>
      </c>
      <c r="B310" s="3254" t="s">
        <v>2996</v>
      </c>
      <c r="C310" s="3255">
        <v>0.15</v>
      </c>
      <c r="D310" s="3255">
        <v>0.15</v>
      </c>
      <c r="E310" s="3255">
        <v>0.15</v>
      </c>
      <c r="F310" s="3255">
        <v>0.15</v>
      </c>
      <c r="G310" s="3256">
        <v>0.15</v>
      </c>
    </row>
    <row r="311" spans="1:7">
      <c r="A311" s="3265" t="s">
        <v>306</v>
      </c>
      <c r="B311" s="3254" t="s">
        <v>3001</v>
      </c>
      <c r="C311" s="3255">
        <v>0.13200000000000001</v>
      </c>
      <c r="D311" s="3255">
        <v>0.13300000000000001</v>
      </c>
      <c r="E311" s="3255">
        <v>0.14499999999999999</v>
      </c>
      <c r="F311" s="3255">
        <v>0.14199999999999999</v>
      </c>
      <c r="G311" s="3256">
        <v>0.14000000000000001</v>
      </c>
    </row>
    <row r="312" spans="1:7">
      <c r="A312" s="3265" t="s">
        <v>306</v>
      </c>
      <c r="B312" s="3254" t="s">
        <v>3006</v>
      </c>
      <c r="C312" s="3255">
        <v>0.13800000000000001</v>
      </c>
      <c r="D312" s="3255">
        <v>0.14000000000000001</v>
      </c>
      <c r="E312" s="3255">
        <v>0.14599999999999999</v>
      </c>
      <c r="F312" s="3255">
        <v>0.14899999999999999</v>
      </c>
      <c r="G312" s="3256">
        <v>0.14199999999999999</v>
      </c>
    </row>
    <row r="313" spans="1:7">
      <c r="A313" s="3265" t="s">
        <v>306</v>
      </c>
      <c r="B313" s="3254" t="s">
        <v>3011</v>
      </c>
      <c r="C313" s="3255">
        <v>0.125</v>
      </c>
      <c r="D313" s="3255">
        <v>0.127</v>
      </c>
      <c r="E313" s="3255">
        <v>0.14399999999999999</v>
      </c>
      <c r="F313" s="3255">
        <v>0.115</v>
      </c>
      <c r="G313" s="3256">
        <v>0.13600000000000001</v>
      </c>
    </row>
    <row r="314" spans="1:7">
      <c r="A314" s="3265" t="s">
        <v>306</v>
      </c>
      <c r="B314" s="3254" t="s">
        <v>3220</v>
      </c>
      <c r="C314" s="3271"/>
      <c r="D314" s="3271"/>
      <c r="E314" s="3271"/>
      <c r="F314" s="3255">
        <v>0.05</v>
      </c>
      <c r="G314" s="3272"/>
    </row>
    <row r="315" spans="1:7">
      <c r="A315" s="3265" t="s">
        <v>306</v>
      </c>
      <c r="B315" s="3254" t="s">
        <v>3221</v>
      </c>
      <c r="C315" s="3271"/>
      <c r="D315" s="3271"/>
      <c r="E315" s="3271"/>
      <c r="F315" s="3255">
        <v>0.05</v>
      </c>
      <c r="G315" s="3272"/>
    </row>
    <row r="316" spans="1:7">
      <c r="A316" s="3265" t="s">
        <v>306</v>
      </c>
      <c r="B316" s="3254" t="s">
        <v>3222</v>
      </c>
      <c r="C316" s="3266"/>
      <c r="D316" s="3266"/>
      <c r="E316" s="3266"/>
      <c r="F316" s="3255">
        <v>0.05</v>
      </c>
      <c r="G316" s="3272"/>
    </row>
    <row r="317" spans="1:7">
      <c r="A317" s="3265" t="s">
        <v>306</v>
      </c>
      <c r="B317" s="3254" t="s">
        <v>3223</v>
      </c>
      <c r="C317" s="3266"/>
      <c r="D317" s="3266"/>
      <c r="E317" s="3266"/>
      <c r="F317" s="3255">
        <v>0.05</v>
      </c>
      <c r="G317" s="3272"/>
    </row>
    <row r="318" spans="1:7">
      <c r="A318" s="3265" t="s">
        <v>306</v>
      </c>
      <c r="B318" s="3254" t="s">
        <v>3224</v>
      </c>
      <c r="C318" s="3266"/>
      <c r="D318" s="3266"/>
      <c r="E318" s="3266"/>
      <c r="F318" s="3255">
        <v>0.05</v>
      </c>
      <c r="G318" s="3272"/>
    </row>
    <row r="319" spans="1:7">
      <c r="A319" s="3265" t="s">
        <v>306</v>
      </c>
      <c r="B319" s="3254" t="s">
        <v>3225</v>
      </c>
      <c r="C319" s="3266"/>
      <c r="D319" s="3266"/>
      <c r="E319" s="3266"/>
      <c r="F319" s="3255">
        <v>0.05</v>
      </c>
      <c r="G319" s="3272"/>
    </row>
    <row r="320" spans="1:7">
      <c r="A320" s="3265" t="s">
        <v>306</v>
      </c>
      <c r="B320" s="3254" t="s">
        <v>3226</v>
      </c>
      <c r="C320" s="3266"/>
      <c r="D320" s="3266"/>
      <c r="E320" s="3266"/>
      <c r="F320" s="3255">
        <v>0.05</v>
      </c>
      <c r="G320" s="3272"/>
    </row>
    <row r="321" spans="1:7">
      <c r="A321" s="3265" t="s">
        <v>306</v>
      </c>
      <c r="B321" s="3254" t="s">
        <v>3227</v>
      </c>
      <c r="C321" s="3266"/>
      <c r="D321" s="3266"/>
      <c r="E321" s="3266"/>
      <c r="F321" s="3255">
        <v>0.05</v>
      </c>
      <c r="G321" s="3272"/>
    </row>
    <row r="322" spans="1:7">
      <c r="A322" s="3265" t="s">
        <v>306</v>
      </c>
      <c r="B322" s="3254" t="s">
        <v>3228</v>
      </c>
      <c r="C322" s="3266"/>
      <c r="D322" s="3266"/>
      <c r="E322" s="3266"/>
      <c r="F322" s="3255">
        <v>0.05</v>
      </c>
      <c r="G322" s="3272"/>
    </row>
    <row r="323" spans="1:7">
      <c r="A323" s="3265" t="s">
        <v>306</v>
      </c>
      <c r="B323" s="3254" t="s">
        <v>3229</v>
      </c>
      <c r="C323" s="3266"/>
      <c r="D323" s="3266"/>
      <c r="E323" s="3266"/>
      <c r="F323" s="3255">
        <v>0.05</v>
      </c>
      <c r="G323" s="3272"/>
    </row>
    <row r="324" spans="1:7">
      <c r="A324" s="3265" t="s">
        <v>306</v>
      </c>
      <c r="B324" s="3254" t="s">
        <v>3230</v>
      </c>
      <c r="C324" s="3266"/>
      <c r="D324" s="3266"/>
      <c r="E324" s="3266"/>
      <c r="F324" s="3255">
        <v>0.05</v>
      </c>
      <c r="G324" s="3272"/>
    </row>
    <row r="325" spans="1:7">
      <c r="A325" s="3265" t="s">
        <v>306</v>
      </c>
      <c r="B325" s="3254" t="s">
        <v>3231</v>
      </c>
      <c r="C325" s="3266"/>
      <c r="D325" s="3266"/>
      <c r="E325" s="3266"/>
      <c r="F325" s="3255">
        <v>0.05</v>
      </c>
      <c r="G325" s="3272"/>
    </row>
    <row r="326" spans="1:7" ht="14.25" thickBot="1">
      <c r="A326" s="3268" t="s">
        <v>306</v>
      </c>
      <c r="B326" s="3258" t="s">
        <v>3232</v>
      </c>
      <c r="C326" s="3260"/>
      <c r="D326" s="3260"/>
      <c r="E326" s="3260"/>
      <c r="F326" s="3259">
        <v>0.05</v>
      </c>
      <c r="G326" s="3273"/>
    </row>
    <row r="327" spans="1:7">
      <c r="A327" s="3264" t="s">
        <v>307</v>
      </c>
      <c r="B327" s="3250" t="s">
        <v>2864</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2876</v>
      </c>
      <c r="C329" s="3255">
        <v>0.15</v>
      </c>
      <c r="D329" s="3255">
        <v>0.15</v>
      </c>
      <c r="E329" s="3255">
        <v>0.15</v>
      </c>
      <c r="F329" s="3255">
        <v>0.15</v>
      </c>
      <c r="G329" s="3256">
        <v>0.15</v>
      </c>
    </row>
    <row r="330" spans="1:7">
      <c r="A330" s="3265" t="s">
        <v>307</v>
      </c>
      <c r="B330" s="3254" t="s">
        <v>2880</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2888</v>
      </c>
      <c r="C332" s="3255">
        <v>0.15</v>
      </c>
      <c r="D332" s="3255">
        <v>0.15</v>
      </c>
      <c r="E332" s="3255">
        <v>0.15</v>
      </c>
      <c r="F332" s="3255">
        <v>0.15</v>
      </c>
      <c r="G332" s="3256">
        <v>0.15</v>
      </c>
    </row>
    <row r="333" spans="1:7">
      <c r="A333" s="3265" t="s">
        <v>307</v>
      </c>
      <c r="B333" s="3254" t="s">
        <v>2892</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2898</v>
      </c>
      <c r="C336" s="3255">
        <v>0.15</v>
      </c>
      <c r="D336" s="3255">
        <v>0.15</v>
      </c>
      <c r="E336" s="3255">
        <v>0.15</v>
      </c>
      <c r="F336" s="3255">
        <v>0.14199999999999999</v>
      </c>
      <c r="G336" s="3256">
        <v>0.15</v>
      </c>
    </row>
    <row r="337" spans="1:7">
      <c r="A337" s="3265" t="s">
        <v>307</v>
      </c>
      <c r="B337" s="3254" t="s">
        <v>2903</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2910</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2915</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2923</v>
      </c>
      <c r="C345" s="3255">
        <v>0.15</v>
      </c>
      <c r="D345" s="3255">
        <v>0.15</v>
      </c>
      <c r="E345" s="3255">
        <v>0.15</v>
      </c>
      <c r="F345" s="3255">
        <v>0.13800000000000001</v>
      </c>
      <c r="G345" s="3256">
        <v>0.15</v>
      </c>
    </row>
    <row r="346" spans="1:7">
      <c r="A346" s="3265" t="s">
        <v>307</v>
      </c>
      <c r="B346" s="3254" t="s">
        <v>2925</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2932</v>
      </c>
      <c r="C348" s="3255">
        <v>0.15</v>
      </c>
      <c r="D348" s="3255">
        <v>0.15</v>
      </c>
      <c r="E348" s="3255">
        <v>0.15</v>
      </c>
      <c r="F348" s="3255">
        <v>0.14399999999999999</v>
      </c>
      <c r="G348" s="3256">
        <v>0.15</v>
      </c>
    </row>
    <row r="349" spans="1:7">
      <c r="A349" s="3265" t="s">
        <v>307</v>
      </c>
      <c r="B349" s="3254" t="s">
        <v>2937</v>
      </c>
      <c r="C349" s="3255">
        <v>0.15</v>
      </c>
      <c r="D349" s="3255">
        <v>0.15</v>
      </c>
      <c r="E349" s="3255">
        <v>0.15</v>
      </c>
      <c r="F349" s="3255">
        <v>0.15</v>
      </c>
      <c r="G349" s="3256">
        <v>0.15</v>
      </c>
    </row>
    <row r="350" spans="1:7">
      <c r="A350" s="3265" t="s">
        <v>307</v>
      </c>
      <c r="B350" s="3254" t="s">
        <v>2940</v>
      </c>
      <c r="C350" s="3255">
        <v>0.15</v>
      </c>
      <c r="D350" s="3255">
        <v>0.15</v>
      </c>
      <c r="E350" s="3255">
        <v>0.15</v>
      </c>
      <c r="F350" s="3255">
        <v>0.14699999999999999</v>
      </c>
      <c r="G350" s="3256">
        <v>0.15</v>
      </c>
    </row>
    <row r="351" spans="1:7">
      <c r="A351" s="3265" t="s">
        <v>307</v>
      </c>
      <c r="B351" s="3254" t="s">
        <v>2945</v>
      </c>
      <c r="C351" s="3255">
        <v>0.15</v>
      </c>
      <c r="D351" s="3255">
        <v>0.15</v>
      </c>
      <c r="E351" s="3255">
        <v>0.15</v>
      </c>
      <c r="F351" s="3255">
        <v>0.13</v>
      </c>
      <c r="G351" s="3256">
        <v>0.15</v>
      </c>
    </row>
    <row r="352" spans="1:7">
      <c r="A352" s="3265" t="s">
        <v>307</v>
      </c>
      <c r="B352" s="3254" t="s">
        <v>2950</v>
      </c>
      <c r="C352" s="3255">
        <v>0.15</v>
      </c>
      <c r="D352" s="3255">
        <v>0.15</v>
      </c>
      <c r="E352" s="3255">
        <v>0.15</v>
      </c>
      <c r="F352" s="3255">
        <v>0.14599999999999999</v>
      </c>
      <c r="G352" s="3256">
        <v>0.15</v>
      </c>
    </row>
    <row r="353" spans="1:7">
      <c r="A353" s="3265" t="s">
        <v>307</v>
      </c>
      <c r="B353" s="3254" t="s">
        <v>2957</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2970</v>
      </c>
      <c r="C355" s="3255">
        <v>0.15</v>
      </c>
      <c r="D355" s="3255">
        <v>0.15</v>
      </c>
      <c r="E355" s="3255">
        <v>0.15</v>
      </c>
      <c r="F355" s="3255">
        <v>0.15</v>
      </c>
      <c r="G355" s="3256">
        <v>0.15</v>
      </c>
    </row>
    <row r="356" spans="1:7">
      <c r="A356" s="3265" t="s">
        <v>307</v>
      </c>
      <c r="B356" s="3254" t="s">
        <v>2977</v>
      </c>
      <c r="C356" s="3255">
        <v>0.15</v>
      </c>
      <c r="D356" s="3255">
        <v>0.15</v>
      </c>
      <c r="E356" s="3255">
        <v>0.15</v>
      </c>
      <c r="F356" s="3255">
        <v>0.15</v>
      </c>
      <c r="G356" s="3256">
        <v>0.15</v>
      </c>
    </row>
    <row r="357" spans="1:7" ht="14.25" thickBot="1">
      <c r="A357" s="3268" t="s">
        <v>307</v>
      </c>
      <c r="B357" s="3258" t="s">
        <v>2982</v>
      </c>
      <c r="C357" s="3259">
        <v>0.126</v>
      </c>
      <c r="D357" s="3259">
        <v>0.127</v>
      </c>
      <c r="E357" s="3259">
        <v>0.14299999999999999</v>
      </c>
      <c r="F357" s="3259">
        <v>0.125</v>
      </c>
      <c r="G357" s="3261">
        <v>0.129</v>
      </c>
    </row>
    <row r="358" spans="1:7">
      <c r="A358" s="3264" t="s">
        <v>2851</v>
      </c>
      <c r="B358" s="3250" t="s">
        <v>2865</v>
      </c>
      <c r="C358" s="3251">
        <v>0.15</v>
      </c>
      <c r="D358" s="3251">
        <v>0.15</v>
      </c>
      <c r="E358" s="3251">
        <v>0.15</v>
      </c>
      <c r="F358" s="3251">
        <v>0.15</v>
      </c>
      <c r="G358" s="3252">
        <v>0.15</v>
      </c>
    </row>
    <row r="359" spans="1:7">
      <c r="A359" s="3265" t="s">
        <v>2851</v>
      </c>
      <c r="B359" s="3254" t="s">
        <v>2871</v>
      </c>
      <c r="C359" s="3255">
        <v>0.1</v>
      </c>
      <c r="D359" s="3255">
        <v>0.1</v>
      </c>
      <c r="E359" s="3255">
        <v>0.1</v>
      </c>
      <c r="F359" s="3255">
        <v>0.1</v>
      </c>
      <c r="G359" s="3256">
        <v>0.1</v>
      </c>
    </row>
    <row r="360" spans="1:7">
      <c r="A360" s="3265" t="s">
        <v>2851</v>
      </c>
      <c r="B360" s="3254" t="s">
        <v>2877</v>
      </c>
      <c r="C360" s="3255">
        <v>0.15</v>
      </c>
      <c r="D360" s="3255">
        <v>0.15</v>
      </c>
      <c r="E360" s="3255">
        <v>0.15</v>
      </c>
      <c r="F360" s="3255">
        <v>0.14899999999999999</v>
      </c>
      <c r="G360" s="3256">
        <v>0.15</v>
      </c>
    </row>
    <row r="361" spans="1:7">
      <c r="A361" s="3265" t="s">
        <v>2851</v>
      </c>
      <c r="B361" s="3254" t="s">
        <v>153</v>
      </c>
      <c r="C361" s="3255">
        <v>0.15</v>
      </c>
      <c r="D361" s="3255">
        <v>0.15</v>
      </c>
      <c r="E361" s="3255">
        <v>0.15</v>
      </c>
      <c r="F361" s="3255">
        <v>0.115</v>
      </c>
      <c r="G361" s="3256">
        <v>0.15</v>
      </c>
    </row>
    <row r="362" spans="1:7">
      <c r="A362" s="3265" t="s">
        <v>2851</v>
      </c>
      <c r="B362" s="3254" t="s">
        <v>2884</v>
      </c>
      <c r="C362" s="3255">
        <v>0.15</v>
      </c>
      <c r="D362" s="3255">
        <v>0.15</v>
      </c>
      <c r="E362" s="3255">
        <v>0.15</v>
      </c>
      <c r="F362" s="3255">
        <v>0.106</v>
      </c>
      <c r="G362" s="3256">
        <v>0.15</v>
      </c>
    </row>
    <row r="363" spans="1:7">
      <c r="A363" s="3265" t="s">
        <v>2851</v>
      </c>
      <c r="B363" s="3254" t="s">
        <v>2889</v>
      </c>
      <c r="C363" s="3255">
        <v>0.15</v>
      </c>
      <c r="D363" s="3255">
        <v>0.15</v>
      </c>
      <c r="E363" s="3255">
        <v>0.15</v>
      </c>
      <c r="F363" s="3255">
        <v>0.14699999999999999</v>
      </c>
      <c r="G363" s="3256">
        <v>0.15</v>
      </c>
    </row>
    <row r="364" spans="1:7">
      <c r="A364" s="3265" t="s">
        <v>2851</v>
      </c>
      <c r="B364" s="3254" t="s">
        <v>2893</v>
      </c>
      <c r="C364" s="3255">
        <v>0.15</v>
      </c>
      <c r="D364" s="3255">
        <v>0.15</v>
      </c>
      <c r="E364" s="3255">
        <v>0.15</v>
      </c>
      <c r="F364" s="3255">
        <v>0.14799999999999999</v>
      </c>
      <c r="G364" s="3256">
        <v>0.15</v>
      </c>
    </row>
    <row r="365" spans="1:7">
      <c r="A365" s="3265" t="s">
        <v>2851</v>
      </c>
      <c r="B365" s="3254" t="s">
        <v>200</v>
      </c>
      <c r="C365" s="3255">
        <v>0.15</v>
      </c>
      <c r="D365" s="3255">
        <v>0.15</v>
      </c>
      <c r="E365" s="3255">
        <v>0.15</v>
      </c>
      <c r="F365" s="3255">
        <v>0.15</v>
      </c>
      <c r="G365" s="3256">
        <v>0.15</v>
      </c>
    </row>
    <row r="366" spans="1:7">
      <c r="A366" s="3265" t="s">
        <v>2851</v>
      </c>
      <c r="B366" s="3254" t="s">
        <v>2896</v>
      </c>
      <c r="C366" s="3255">
        <v>0.15</v>
      </c>
      <c r="D366" s="3255">
        <v>0.15</v>
      </c>
      <c r="E366" s="3255">
        <v>0.15</v>
      </c>
      <c r="F366" s="3255">
        <v>0.15</v>
      </c>
      <c r="G366" s="3256">
        <v>0.15</v>
      </c>
    </row>
    <row r="367" spans="1:7">
      <c r="A367" s="3265" t="s">
        <v>2851</v>
      </c>
      <c r="B367" s="3254" t="s">
        <v>2899</v>
      </c>
      <c r="C367" s="3255">
        <v>0.15</v>
      </c>
      <c r="D367" s="3255">
        <v>0.15</v>
      </c>
      <c r="E367" s="3255">
        <v>0.15</v>
      </c>
      <c r="F367" s="3255">
        <v>0.14699999999999999</v>
      </c>
      <c r="G367" s="3256">
        <v>0.15</v>
      </c>
    </row>
    <row r="368" spans="1:7">
      <c r="A368" s="3265" t="s">
        <v>2851</v>
      </c>
      <c r="B368" s="3254" t="s">
        <v>2904</v>
      </c>
      <c r="C368" s="3255">
        <v>0.15</v>
      </c>
      <c r="D368" s="3255">
        <v>0.15</v>
      </c>
      <c r="E368" s="3255">
        <v>0.15</v>
      </c>
      <c r="F368" s="3255">
        <v>0.13600000000000001</v>
      </c>
      <c r="G368" s="3256">
        <v>0.15</v>
      </c>
    </row>
    <row r="369" spans="1:7">
      <c r="A369" s="3265" t="s">
        <v>2851</v>
      </c>
      <c r="B369" s="3254" t="s">
        <v>214</v>
      </c>
      <c r="C369" s="3255">
        <v>0.15</v>
      </c>
      <c r="D369" s="3255">
        <v>0.15</v>
      </c>
      <c r="E369" s="3255">
        <v>0.15</v>
      </c>
      <c r="F369" s="3255">
        <v>0.14399999999999999</v>
      </c>
      <c r="G369" s="3256">
        <v>0.15</v>
      </c>
    </row>
    <row r="370" spans="1:7">
      <c r="A370" s="3265" t="s">
        <v>2851</v>
      </c>
      <c r="B370" s="3254" t="s">
        <v>221</v>
      </c>
      <c r="C370" s="3255">
        <v>0.15</v>
      </c>
      <c r="D370" s="3255">
        <v>0.15</v>
      </c>
      <c r="E370" s="3255">
        <v>0.15</v>
      </c>
      <c r="F370" s="3255">
        <v>0.14599999999999999</v>
      </c>
      <c r="G370" s="3256">
        <v>0.15</v>
      </c>
    </row>
    <row r="371" spans="1:7">
      <c r="A371" s="3265" t="s">
        <v>2851</v>
      </c>
      <c r="B371" s="3254" t="s">
        <v>229</v>
      </c>
      <c r="C371" s="3255">
        <v>0.15</v>
      </c>
      <c r="D371" s="3255">
        <v>0.15</v>
      </c>
      <c r="E371" s="3255">
        <v>0.15</v>
      </c>
      <c r="F371" s="3255">
        <v>0.12</v>
      </c>
      <c r="G371" s="3256">
        <v>0.15</v>
      </c>
    </row>
    <row r="372" spans="1:7">
      <c r="A372" s="3265" t="s">
        <v>2851</v>
      </c>
      <c r="B372" s="3254" t="s">
        <v>2912</v>
      </c>
      <c r="C372" s="3255">
        <v>0.15</v>
      </c>
      <c r="D372" s="3255">
        <v>0.15</v>
      </c>
      <c r="E372" s="3255">
        <v>0.15</v>
      </c>
      <c r="F372" s="3255">
        <v>0.14299999999999999</v>
      </c>
      <c r="G372" s="3256">
        <v>0.15</v>
      </c>
    </row>
    <row r="373" spans="1:7">
      <c r="A373" s="3265" t="s">
        <v>2851</v>
      </c>
      <c r="B373" s="3254" t="s">
        <v>258</v>
      </c>
      <c r="C373" s="3255">
        <v>0.15</v>
      </c>
      <c r="D373" s="3255">
        <v>0.15</v>
      </c>
      <c r="E373" s="3255">
        <v>0.15</v>
      </c>
      <c r="F373" s="3255">
        <v>0.14599999999999999</v>
      </c>
      <c r="G373" s="3256">
        <v>0.15</v>
      </c>
    </row>
    <row r="374" spans="1:7">
      <c r="A374" s="3265" t="s">
        <v>2851</v>
      </c>
      <c r="B374" s="3254" t="s">
        <v>266</v>
      </c>
      <c r="C374" s="3255">
        <v>0.15</v>
      </c>
      <c r="D374" s="3255">
        <v>0.15</v>
      </c>
      <c r="E374" s="3255">
        <v>0.15</v>
      </c>
      <c r="F374" s="3255">
        <v>0.14399999999999999</v>
      </c>
      <c r="G374" s="3256">
        <v>0.15</v>
      </c>
    </row>
    <row r="375" spans="1:7">
      <c r="A375" s="3265" t="s">
        <v>2851</v>
      </c>
      <c r="B375" s="3254" t="s">
        <v>2920</v>
      </c>
      <c r="C375" s="3255">
        <v>0.15</v>
      </c>
      <c r="D375" s="3255">
        <v>0.15</v>
      </c>
      <c r="E375" s="3255">
        <v>0.15</v>
      </c>
      <c r="F375" s="3255">
        <v>0.13</v>
      </c>
      <c r="G375" s="3256">
        <v>0.15</v>
      </c>
    </row>
    <row r="376" spans="1:7">
      <c r="A376" s="3265" t="s">
        <v>2851</v>
      </c>
      <c r="B376" s="3254" t="s">
        <v>277</v>
      </c>
      <c r="C376" s="3255">
        <v>0.15</v>
      </c>
      <c r="D376" s="3255">
        <v>0.15</v>
      </c>
      <c r="E376" s="3255">
        <v>0.15</v>
      </c>
      <c r="F376" s="3255">
        <v>0.14199999999999999</v>
      </c>
      <c r="G376" s="3256">
        <v>0.15</v>
      </c>
    </row>
    <row r="377" spans="1:7" ht="14.25" thickBot="1">
      <c r="A377" s="3268" t="s">
        <v>2851</v>
      </c>
      <c r="B377" s="3258" t="s">
        <v>2926</v>
      </c>
      <c r="C377" s="3259">
        <v>0.15</v>
      </c>
      <c r="D377" s="3259">
        <v>0.15</v>
      </c>
      <c r="E377" s="3259">
        <v>0.15</v>
      </c>
      <c r="F377" s="3259">
        <v>0.14000000000000001</v>
      </c>
      <c r="G377" s="3261">
        <v>0.15</v>
      </c>
    </row>
    <row r="378" spans="1:7">
      <c r="A378" s="3264" t="s">
        <v>2852</v>
      </c>
      <c r="B378" s="3250" t="s">
        <v>2866</v>
      </c>
      <c r="C378" s="3251">
        <v>0.15</v>
      </c>
      <c r="D378" s="3251">
        <v>0.15</v>
      </c>
      <c r="E378" s="3251">
        <v>0.15</v>
      </c>
      <c r="F378" s="3251">
        <v>0.107</v>
      </c>
      <c r="G378" s="3252">
        <v>0.15</v>
      </c>
    </row>
    <row r="379" spans="1:7">
      <c r="A379" s="3265" t="s">
        <v>2852</v>
      </c>
      <c r="B379" s="3254" t="s">
        <v>2872</v>
      </c>
      <c r="C379" s="3255">
        <v>0.15</v>
      </c>
      <c r="D379" s="3255">
        <v>0.15</v>
      </c>
      <c r="E379" s="3255">
        <v>0.15</v>
      </c>
      <c r="F379" s="3255">
        <v>0.115</v>
      </c>
      <c r="G379" s="3256">
        <v>0.14899999999999999</v>
      </c>
    </row>
    <row r="380" spans="1:7">
      <c r="A380" s="3265" t="s">
        <v>2852</v>
      </c>
      <c r="B380" s="3254" t="s">
        <v>2878</v>
      </c>
      <c r="C380" s="3255">
        <v>0.15</v>
      </c>
      <c r="D380" s="3255">
        <v>0.15</v>
      </c>
      <c r="E380" s="3255">
        <v>0.15</v>
      </c>
      <c r="F380" s="3255">
        <v>0.1</v>
      </c>
      <c r="G380" s="3256">
        <v>0.14799999999999999</v>
      </c>
    </row>
    <row r="381" spans="1:7">
      <c r="A381" s="3265" t="s">
        <v>2852</v>
      </c>
      <c r="B381" s="3254" t="s">
        <v>2881</v>
      </c>
      <c r="C381" s="3255">
        <v>0.15</v>
      </c>
      <c r="D381" s="3255">
        <v>0.15</v>
      </c>
      <c r="E381" s="3255">
        <v>0.15</v>
      </c>
      <c r="F381" s="3255">
        <v>0.126</v>
      </c>
      <c r="G381" s="3256">
        <v>0.15</v>
      </c>
    </row>
    <row r="382" spans="1:7">
      <c r="A382" s="3265" t="s">
        <v>2852</v>
      </c>
      <c r="B382" s="3254" t="s">
        <v>2885</v>
      </c>
      <c r="C382" s="3255">
        <v>0.15</v>
      </c>
      <c r="D382" s="3255">
        <v>0.15</v>
      </c>
      <c r="E382" s="3255">
        <v>0.15</v>
      </c>
      <c r="F382" s="3255">
        <v>0.15</v>
      </c>
      <c r="G382" s="3256">
        <v>0.15</v>
      </c>
    </row>
    <row r="383" spans="1:7">
      <c r="A383" s="3265" t="s">
        <v>2852</v>
      </c>
      <c r="B383" s="3254" t="s">
        <v>2890</v>
      </c>
      <c r="C383" s="3255">
        <v>0.15</v>
      </c>
      <c r="D383" s="3255">
        <v>0.15</v>
      </c>
      <c r="E383" s="3255">
        <v>0.15</v>
      </c>
      <c r="F383" s="3255">
        <v>0.14699999999999999</v>
      </c>
      <c r="G383" s="3256">
        <v>0.15</v>
      </c>
    </row>
    <row r="384" spans="1:7" ht="14.25" thickBot="1">
      <c r="A384" s="3275" t="s">
        <v>2852</v>
      </c>
      <c r="B384" s="3276" t="s">
        <v>2894</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848" t="s">
        <v>3233</v>
      </c>
      <c r="B1" s="3848"/>
      <c r="C1" s="3848"/>
      <c r="D1" s="3848"/>
      <c r="E1" s="3848"/>
      <c r="F1" s="3849"/>
    </row>
    <row r="2" spans="1:6">
      <c r="A2" s="3281" t="s">
        <v>3234</v>
      </c>
      <c r="B2" s="3282"/>
      <c r="C2" s="3282"/>
      <c r="D2" s="3282"/>
      <c r="E2" s="3282"/>
      <c r="F2" s="3282"/>
    </row>
    <row r="3" spans="1:6">
      <c r="A3" s="3281" t="s">
        <v>3235</v>
      </c>
      <c r="B3" s="3282"/>
      <c r="C3" s="3282"/>
      <c r="D3" s="3282"/>
      <c r="E3" s="3282"/>
      <c r="F3" s="3283" t="s">
        <v>3236</v>
      </c>
    </row>
    <row r="4" spans="1:6">
      <c r="A4" s="3284" t="s">
        <v>672</v>
      </c>
      <c r="B4" s="3284" t="s">
        <v>673</v>
      </c>
      <c r="C4" s="3284" t="s">
        <v>21</v>
      </c>
      <c r="D4" s="3284" t="s">
        <v>674</v>
      </c>
      <c r="E4" s="3284" t="s">
        <v>3</v>
      </c>
      <c r="F4" s="3284" t="s">
        <v>3237</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4" sqref="I44"/>
    </sheetView>
  </sheetViews>
  <sheetFormatPr defaultRowHeight="13.5"/>
  <cols>
    <col min="1" max="1" width="13.875" customWidth="1"/>
    <col min="11" max="17" width="0" hidden="1" customWidth="1"/>
    <col min="25" max="30" width="0" hidden="1" customWidth="1"/>
  </cols>
  <sheetData>
    <row r="1" spans="1:30">
      <c r="A1" s="3211">
        <f>基准地价修正!G23</f>
        <v>44992</v>
      </c>
      <c r="B1" s="3200" t="s">
        <v>2839</v>
      </c>
      <c r="C1" s="3201"/>
      <c r="D1" s="3201"/>
      <c r="E1" s="3201"/>
      <c r="F1" s="3201"/>
      <c r="G1" s="3201"/>
      <c r="H1" s="3201"/>
      <c r="I1" s="3201"/>
      <c r="J1" s="3155"/>
      <c r="K1" s="3201" t="s">
        <v>454</v>
      </c>
      <c r="L1" s="3201"/>
      <c r="M1" s="3201"/>
      <c r="N1" s="3201"/>
      <c r="O1" s="3201"/>
      <c r="P1" s="3201"/>
      <c r="Q1" s="3155"/>
      <c r="R1" s="3850" t="s">
        <v>456</v>
      </c>
      <c r="S1" s="3851"/>
      <c r="T1" s="3851"/>
      <c r="U1" s="3851"/>
      <c r="V1" s="3851"/>
      <c r="W1" s="3851"/>
      <c r="X1" s="3155"/>
      <c r="Y1" s="3850" t="s">
        <v>457</v>
      </c>
      <c r="Z1" s="3851"/>
      <c r="AA1" s="3851"/>
      <c r="AB1" s="3851"/>
      <c r="AC1" s="3851"/>
      <c r="AD1" s="3851"/>
    </row>
    <row r="2" spans="1:30" s="3133" customFormat="1" ht="14.25" thickBot="1">
      <c r="B2" s="3134"/>
      <c r="C2" s="3135"/>
      <c r="D2" s="3136" t="s">
        <v>2807</v>
      </c>
      <c r="E2" s="3137" t="s">
        <v>2808</v>
      </c>
      <c r="F2" s="3137" t="s">
        <v>2809</v>
      </c>
      <c r="G2" s="3137" t="s">
        <v>2810</v>
      </c>
      <c r="H2" s="3137" t="s">
        <v>2811</v>
      </c>
      <c r="I2" s="3137" t="s">
        <v>2628</v>
      </c>
      <c r="J2" s="3138"/>
      <c r="K2" s="3136" t="s">
        <v>2807</v>
      </c>
      <c r="L2" s="3137" t="s">
        <v>2808</v>
      </c>
      <c r="M2" s="3137" t="s">
        <v>2809</v>
      </c>
      <c r="N2" s="3137" t="s">
        <v>2810</v>
      </c>
      <c r="O2" s="3137" t="s">
        <v>2812</v>
      </c>
      <c r="P2" s="3137" t="s">
        <v>2628</v>
      </c>
      <c r="Q2" s="3138"/>
      <c r="R2" s="3136" t="s">
        <v>2807</v>
      </c>
      <c r="S2" s="3137" t="s">
        <v>2808</v>
      </c>
      <c r="T2" s="3137" t="s">
        <v>2809</v>
      </c>
      <c r="U2" s="3137" t="s">
        <v>2813</v>
      </c>
      <c r="V2" s="3137" t="s">
        <v>2814</v>
      </c>
      <c r="W2" s="3137" t="s">
        <v>2628</v>
      </c>
      <c r="X2" s="3138"/>
      <c r="Y2" s="3136" t="s">
        <v>2807</v>
      </c>
      <c r="Z2" s="3137" t="s">
        <v>2808</v>
      </c>
      <c r="AA2" s="3137" t="s">
        <v>2809</v>
      </c>
      <c r="AB2" s="3137" t="s">
        <v>2815</v>
      </c>
      <c r="AC2" s="3137" t="s">
        <v>2814</v>
      </c>
      <c r="AD2" s="3137" t="s">
        <v>2628</v>
      </c>
    </row>
    <row r="3" spans="1:30" s="3151" customFormat="1" ht="12.75">
      <c r="A3" s="3139" t="s">
        <v>2816</v>
      </c>
      <c r="B3" s="3140"/>
      <c r="C3" s="3141"/>
      <c r="D3" s="3141">
        <f>ROUND(AVERAGEIF(D4:D16,"&lt;&gt;0"),2)</f>
        <v>0.81</v>
      </c>
      <c r="E3" s="3141">
        <f t="shared" ref="E3:H3" si="0">ROUND(AVERAGEIF(E4:E16,"&lt;&gt;0"),2)</f>
        <v>0.33</v>
      </c>
      <c r="F3" s="3141">
        <f t="shared" si="0"/>
        <v>0.15</v>
      </c>
      <c r="G3" s="3141">
        <f t="shared" si="0"/>
        <v>0.89</v>
      </c>
      <c r="H3" s="3141">
        <f t="shared" si="0"/>
        <v>0.66</v>
      </c>
      <c r="I3" s="3141">
        <f>F3</f>
        <v>0.15</v>
      </c>
      <c r="J3" s="3142"/>
      <c r="K3" s="3143">
        <f>ROUND(AVERAGEIF(K4:K16,"&lt;&gt;0"),4)</f>
        <v>8.0999999999999996E-3</v>
      </c>
      <c r="L3" s="3144">
        <f t="shared" ref="L3:O3" si="1">ROUND(AVERAGEIF(L4:L16,"&lt;&gt;0"),4)</f>
        <v>3.3E-3</v>
      </c>
      <c r="M3" s="3144">
        <f t="shared" si="1"/>
        <v>1.5E-3</v>
      </c>
      <c r="N3" s="3144">
        <f t="shared" si="1"/>
        <v>8.8999999999999999E-3</v>
      </c>
      <c r="O3" s="3144">
        <f t="shared" si="1"/>
        <v>6.6E-3</v>
      </c>
      <c r="P3" s="3144">
        <f>M3</f>
        <v>1.5E-3</v>
      </c>
      <c r="Q3" s="3142"/>
      <c r="R3" s="3145">
        <f>ROUND(SUMPRODUCT(PRODUCT(1+K4:K16)),4)</f>
        <v>1.0668</v>
      </c>
      <c r="S3" s="3146">
        <f t="shared" ref="S3:V3" si="2">ROUND(SUMPRODUCT(PRODUCT(1+L4:L16)),4)</f>
        <v>1.0266999999999999</v>
      </c>
      <c r="T3" s="3146">
        <f t="shared" si="2"/>
        <v>1.0119</v>
      </c>
      <c r="U3" s="3146">
        <f t="shared" si="2"/>
        <v>1.0734999999999999</v>
      </c>
      <c r="V3" s="3146">
        <f t="shared" si="2"/>
        <v>1.054</v>
      </c>
      <c r="W3" s="3145">
        <f>T3</f>
        <v>1.0119</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3371</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1.0565</v>
      </c>
      <c r="S5" s="3173">
        <f>ROUND(IF(项目基本情况!$B$8="出让",SUMPRODUCT(PRODUCT(1+L5:$L$16)),SUMPRODUCT(PRODUCT(1+L5:$L$15))),4)</f>
        <v>1.0250999999999999</v>
      </c>
      <c r="T5" s="3173">
        <f>ROUND(IF(项目基本情况!$B$8="出让",SUMPRODUCT(PRODUCT(1+M5:$M$16)),SUMPRODUCT(PRODUCT(1+M5:$M$15))),4)</f>
        <v>1.0145</v>
      </c>
      <c r="U5" s="3173">
        <f>ROUND(IF(项目基本情况!$B$8="出让",SUMPRODUCT(PRODUCT(1+N5:$N$16)),SUMPRODUCT(PRODUCT(1+N5:$N$15))),4)</f>
        <v>1.0618000000000001</v>
      </c>
      <c r="V5" s="3173">
        <f>ROUND(IF(项目基本情况!$B$8="出让",SUMPRODUCT(PRODUCT(1+O5:$O$16)),SUMPRODUCT(PRODUCT(1+O5:$O$15))),4)</f>
        <v>1.0502</v>
      </c>
      <c r="W5" s="3173">
        <f>T5</f>
        <v>1.0145</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3372</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1.0565</v>
      </c>
      <c r="S6" s="3173">
        <f>ROUND(IF(项目基本情况!$B$8="出让",SUMPRODUCT(PRODUCT(1+L6:$L$16)),SUMPRODUCT(PRODUCT(1+L6:$L$15))),4)</f>
        <v>1.0250999999999999</v>
      </c>
      <c r="T6" s="3173">
        <f>ROUND(IF(项目基本情况!$B$8="出让",SUMPRODUCT(PRODUCT(1+M6:$M$16)),SUMPRODUCT(PRODUCT(1+M6:$M$15))),4)</f>
        <v>1.0145</v>
      </c>
      <c r="U6" s="3173">
        <f>ROUND(IF(项目基本情况!$B$8="出让",SUMPRODUCT(PRODUCT(1+N6:$N$16)),SUMPRODUCT(PRODUCT(1+N6:$N$15))),4)</f>
        <v>1.0618000000000001</v>
      </c>
      <c r="V6" s="3173">
        <f>ROUND(IF(项目基本情况!$B$8="出让",SUMPRODUCT(PRODUCT(1+O6:$O$16)),SUMPRODUCT(PRODUCT(1+O6:$O$15))),4)</f>
        <v>1.0502</v>
      </c>
      <c r="W6" s="3173">
        <f t="shared" ref="W6:W8" si="14">T6</f>
        <v>1.0145</v>
      </c>
      <c r="X6" s="3171"/>
      <c r="Y6" s="3174"/>
      <c r="Z6" s="3174"/>
      <c r="AA6" s="3174"/>
      <c r="AB6" s="3174"/>
      <c r="AC6" s="3174"/>
      <c r="AD6" s="3174"/>
    </row>
    <row r="7" spans="1:30" s="3175" customFormat="1" ht="12.75">
      <c r="A7" s="3166" t="s">
        <v>3370</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1.0565</v>
      </c>
      <c r="S7" s="3173">
        <f>ROUND(IF(项目基本情况!$B$8="出让",SUMPRODUCT(PRODUCT(1+L7:$L$16)),SUMPRODUCT(PRODUCT(1+L7:$L$15))),4)</f>
        <v>1.0250999999999999</v>
      </c>
      <c r="T7" s="3173">
        <f>ROUND(IF(项目基本情况!$B$8="出让",SUMPRODUCT(PRODUCT(1+M7:$M$16)),SUMPRODUCT(PRODUCT(1+M7:$M$15))),4)</f>
        <v>1.0145</v>
      </c>
      <c r="U7" s="3173">
        <f>ROUND(IF(项目基本情况!$B$8="出让",SUMPRODUCT(PRODUCT(1+N7:$N$16)),SUMPRODUCT(PRODUCT(1+N7:$N$15))),4)</f>
        <v>1.0618000000000001</v>
      </c>
      <c r="V7" s="3173">
        <f>ROUND(IF(项目基本情况!$B$8="出让",SUMPRODUCT(PRODUCT(1+O7:$O$16)),SUMPRODUCT(PRODUCT(1+O7:$O$15))),4)</f>
        <v>1.0502</v>
      </c>
      <c r="W7" s="3173">
        <f t="shared" si="14"/>
        <v>1.0145</v>
      </c>
      <c r="X7" s="3171"/>
      <c r="Y7" s="3174"/>
      <c r="Z7" s="3174"/>
      <c r="AA7" s="3174"/>
      <c r="AB7" s="3174"/>
      <c r="AC7" s="3174"/>
      <c r="AD7" s="3174"/>
    </row>
    <row r="8" spans="1:30" s="3175" customFormat="1" ht="12.75">
      <c r="A8" s="3166" t="s">
        <v>2817</v>
      </c>
      <c r="B8" s="3167">
        <v>2023</v>
      </c>
      <c r="C8" s="3168">
        <v>1</v>
      </c>
      <c r="D8" s="3169">
        <v>0</v>
      </c>
      <c r="E8" s="3169">
        <v>0</v>
      </c>
      <c r="F8" s="3169">
        <v>0</v>
      </c>
      <c r="G8" s="3169">
        <v>0</v>
      </c>
      <c r="H8" s="3169">
        <v>0</v>
      </c>
      <c r="I8" s="3170">
        <f t="shared" si="4"/>
        <v>0</v>
      </c>
      <c r="J8" s="3171"/>
      <c r="K8" s="3172">
        <f t="shared" si="8"/>
        <v>0</v>
      </c>
      <c r="L8" s="3162">
        <f t="shared" si="9"/>
        <v>0</v>
      </c>
      <c r="M8" s="3162">
        <f t="shared" si="10"/>
        <v>0</v>
      </c>
      <c r="N8" s="3162">
        <f t="shared" si="11"/>
        <v>0</v>
      </c>
      <c r="O8" s="3162">
        <f t="shared" si="12"/>
        <v>0</v>
      </c>
      <c r="P8" s="3162">
        <f t="shared" si="13"/>
        <v>0</v>
      </c>
      <c r="Q8" s="3171"/>
      <c r="R8" s="3173">
        <f>ROUND(IF(项目基本情况!$B$8="出让",SUMPRODUCT(PRODUCT(1+K8:$K$16)),SUMPRODUCT(PRODUCT(1+K8:$K$15))),4)</f>
        <v>1.0565</v>
      </c>
      <c r="S8" s="3173">
        <f>ROUND(IF(项目基本情况!$B$8="出让",SUMPRODUCT(PRODUCT(1+L8:$L$16)),SUMPRODUCT(PRODUCT(1+L8:$L$15))),4)</f>
        <v>1.0250999999999999</v>
      </c>
      <c r="T8" s="3173">
        <f>ROUND(IF(项目基本情况!$B$8="出让",SUMPRODUCT(PRODUCT(1+M8:$M$16)),SUMPRODUCT(PRODUCT(1+M8:$M$15))),4)</f>
        <v>1.0145</v>
      </c>
      <c r="U8" s="3173">
        <f>ROUND(IF(项目基本情况!$B$8="出让",SUMPRODUCT(PRODUCT(1+N8:$N$16)),SUMPRODUCT(PRODUCT(1+N8:$N$15))),4)</f>
        <v>1.0618000000000001</v>
      </c>
      <c r="V8" s="3173">
        <f>ROUND(IF(项目基本情况!$B$8="出让",SUMPRODUCT(PRODUCT(1+O8:$O$16)),SUMPRODUCT(PRODUCT(1+O8:$O$15))),4)</f>
        <v>1.0502</v>
      </c>
      <c r="W8" s="3173">
        <f t="shared" si="14"/>
        <v>1.0145</v>
      </c>
      <c r="X8" s="3171"/>
      <c r="Y8" s="3174"/>
      <c r="Z8" s="3174"/>
      <c r="AA8" s="3174"/>
      <c r="AB8" s="3174"/>
      <c r="AC8" s="3174"/>
      <c r="AD8" s="3174"/>
    </row>
    <row r="9" spans="1:30" s="3185" customFormat="1" ht="12.75">
      <c r="A9" s="3176" t="s">
        <v>2818</v>
      </c>
      <c r="B9" s="3177">
        <v>2022</v>
      </c>
      <c r="C9" s="3178">
        <v>4</v>
      </c>
      <c r="D9" s="3179">
        <v>0.62</v>
      </c>
      <c r="E9" s="3179">
        <v>0.2</v>
      </c>
      <c r="F9" s="3179">
        <v>0.11</v>
      </c>
      <c r="G9" s="3179">
        <v>0.69</v>
      </c>
      <c r="H9" s="3180">
        <v>0.53</v>
      </c>
      <c r="I9" s="3181">
        <f t="shared" si="4"/>
        <v>0.11</v>
      </c>
      <c r="J9" s="3182"/>
      <c r="K9" s="3183">
        <f t="shared" si="5"/>
        <v>6.1999999999999998E-3</v>
      </c>
      <c r="L9" s="3184">
        <f t="shared" si="5"/>
        <v>2E-3</v>
      </c>
      <c r="M9" s="3184">
        <f t="shared" si="5"/>
        <v>1.1000000000000001E-3</v>
      </c>
      <c r="N9" s="3184">
        <f t="shared" si="5"/>
        <v>6.8999999999999999E-3</v>
      </c>
      <c r="O9" s="3184">
        <f t="shared" si="5"/>
        <v>5.3E-3</v>
      </c>
      <c r="P9" s="3184">
        <f t="shared" ref="P9:P16" si="15">M9</f>
        <v>1.1000000000000001E-3</v>
      </c>
      <c r="Q9" s="3182"/>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2"/>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75" customFormat="1" ht="12.75">
      <c r="A10" s="3166" t="s">
        <v>3365</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ROUND(IF([3]项目基本情况!B8="出让",SUMPRODUCT(PRODUCT(1+K10:K16)),SUMPRODUCT(PRODUCT(1+K10:K15))),4)</f>
        <v>1.05</v>
      </c>
      <c r="S10" s="3173">
        <f>ROUND(IF([3]项目基本情况!B8="出让",SUMPRODUCT(PRODUCT(1+L10:L16)),SUMPRODUCT(PRODUCT(1+L10:L15))),4)</f>
        <v>1.0229999999999999</v>
      </c>
      <c r="T10" s="3173">
        <f>ROUND(IF([3]项目基本情况!B8="出让",SUMPRODUCT(PRODUCT(1+M10:M16)),SUMPRODUCT(PRODUCT(1+M10:M15))),4)</f>
        <v>1.0134000000000001</v>
      </c>
      <c r="U10" s="3173">
        <f>ROUND(IF([3]项目基本情况!B8="出让",SUMPRODUCT(PRODUCT(1+N10:N16)),SUMPRODUCT(PRODUCT(1+N10:N15))),4)</f>
        <v>1.0545</v>
      </c>
      <c r="V10" s="3173">
        <f>ROUND(IF([3]项目基本情况!B8="出让",SUMPRODUCT(PRODUCT(1+O10:O16)),SUMPRODUCT(PRODUCT(1+O10:O15))),4)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3356</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ROUND(IF([3]项目基本情况!B8="出让",SUMPRODUCT(PRODUCT(1+K11:K16)),SUMPRODUCT(PRODUCT(1+K11:K15))),4)</f>
        <v>1.0430999999999999</v>
      </c>
      <c r="S11" s="3173">
        <f>ROUND(IF([3]项目基本情况!B8="出让",SUMPRODUCT(PRODUCT(1+L11:L16)),SUMPRODUCT(PRODUCT(1+L11:L15))),4)</f>
        <v>1.0197000000000001</v>
      </c>
      <c r="T11" s="3173">
        <f>ROUND(IF([3]项目基本情况!B8="出让",SUMPRODUCT(PRODUCT(1+M11:M16)),SUMPRODUCT(PRODUCT(1+M11:M15))),4)</f>
        <v>1.0109999999999999</v>
      </c>
      <c r="U11" s="3173">
        <f>ROUND(IF([3]项目基本情况!B8="出让",SUMPRODUCT(PRODUCT(1+N11:N16)),SUMPRODUCT(PRODUCT(1+N11:N15))),4)</f>
        <v>1.0468999999999999</v>
      </c>
      <c r="V11" s="3173">
        <f>ROUND(IF([3]项目基本情况!B8="出让",SUMPRODUCT(PRODUCT(1+O11:O16)),SUMPRODUCT(PRODUCT(1+O11:O15))),4)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2819</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ROUND(IF([3]项目基本情况!B8="出让",SUMPRODUCT(PRODUCT(1+K12:K16)),SUMPRODUCT(PRODUCT(1+K12:K15))),4)</f>
        <v>1.0335000000000001</v>
      </c>
      <c r="S12" s="3173">
        <f>ROUND(IF([3]项目基本情况!B8="出让",SUMPRODUCT(PRODUCT(1+L12:L16)),SUMPRODUCT(PRODUCT(1+L12:L15))),4)</f>
        <v>1.0182</v>
      </c>
      <c r="T12" s="3173">
        <f>ROUND(IF([3]项目基本情况!B8="出让",SUMPRODUCT(PRODUCT(1+M12:M16)),SUMPRODUCT(PRODUCT(1+M12:M15))),4)</f>
        <v>1.0108999999999999</v>
      </c>
      <c r="U12" s="3173">
        <f>ROUND(IF([3]项目基本情况!B8="出让",SUMPRODUCT(PRODUCT(1+N12:N16)),SUMPRODUCT(PRODUCT(1+N12:N15))),4)</f>
        <v>1.0361</v>
      </c>
      <c r="V12" s="3173">
        <f>ROUND(IF([3]项目基本情况!B8="出让",SUMPRODUCT(PRODUCT(1+O12:O16)),SUMPRODUCT(PRODUCT(1+O12:O15))),4)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2820</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ROUND(IF([3]项目基本情况!B8="出让",SUMPRODUCT(PRODUCT(1+K13:K16)),SUMPRODUCT(PRODUCT(1+K13:K15))),4)</f>
        <v>1.0244</v>
      </c>
      <c r="S13" s="3173">
        <f>ROUND(IF([3]项目基本情况!B8="出让",SUMPRODUCT(PRODUCT(1+L13:L16)),SUMPRODUCT(PRODUCT(1+L13:L15))),4)</f>
        <v>1.0138</v>
      </c>
      <c r="T13" s="3173">
        <f>ROUND(IF([3]项目基本情况!B8="出让",SUMPRODUCT(PRODUCT(1+M13:M16)),SUMPRODUCT(PRODUCT(1+M13:M15))),4)</f>
        <v>1.0072000000000001</v>
      </c>
      <c r="U13" s="3173">
        <f>ROUND(IF([3]项目基本情况!B8="出让",SUMPRODUCT(PRODUCT(1+N13:N16)),SUMPRODUCT(PRODUCT(1+N13:N15))),4)</f>
        <v>1.0262</v>
      </c>
      <c r="V13" s="3173">
        <f>ROUND(IF([3]项目基本情况!B8="出让",SUMPRODUCT(PRODUCT(1+O13:O16)),SUMPRODUCT(PRODUCT(1+O13:O15))),4)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2821</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ROUND(IF([3]项目基本情况!B8="出让",SUMPRODUCT(PRODUCT(1+K14:K16)),SUMPRODUCT(PRODUCT(1+K14:K15))),4)</f>
        <v>1.0139</v>
      </c>
      <c r="S14" s="3173">
        <f>ROUND(IF([3]项目基本情况!B8="出让",SUMPRODUCT(PRODUCT(1+L14:L16)),SUMPRODUCT(PRODUCT(1+L14:L15))),4)</f>
        <v>1.0113000000000001</v>
      </c>
      <c r="T14" s="3173">
        <f>ROUND(IF([3]项目基本情况!B8="出让",SUMPRODUCT(PRODUCT(1+M14:M16)),SUMPRODUCT(PRODUCT(1+M14:M15))),4)</f>
        <v>1.0065</v>
      </c>
      <c r="U14" s="3173">
        <f>ROUND(IF([3]项目基本情况!B8="出让",SUMPRODUCT(PRODUCT(1+N14:N16)),SUMPRODUCT(PRODUCT(1+N14:N15))),4)</f>
        <v>1.0143</v>
      </c>
      <c r="V14" s="3173">
        <f>ROUND(IF([3]项目基本情况!B8="出让",SUMPRODUCT(PRODUCT(1+O14:O16)),SUMPRODUCT(PRODUCT(1+O14:O15))),4)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2822</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ROUND(IF([3]项目基本情况!B8="出让",SUMPRODUCT(PRODUCT(1+K15:K16)),SUMPRODUCT(PRODUCT(1+K15:K15))),4)</f>
        <v>1.0092000000000001</v>
      </c>
      <c r="S15" s="3173">
        <f>ROUND(IF([3]项目基本情况!B8="出让",SUMPRODUCT(PRODUCT(1+L15:L16)),SUMPRODUCT(PRODUCT(1+L15:L15))),4)</f>
        <v>1.0072000000000001</v>
      </c>
      <c r="T15" s="3173">
        <f>ROUND(IF([3]项目基本情况!B8="出让",SUMPRODUCT(PRODUCT(1+M15:M16)),SUMPRODUCT(PRODUCT(1+M15:M15))),4)</f>
        <v>1.0041</v>
      </c>
      <c r="U15" s="3173">
        <f>ROUND(IF([3]项目基本情况!B8="出让",SUMPRODUCT(PRODUCT(1+N15:N16)),SUMPRODUCT(PRODUCT(1+N15:N15))),4)</f>
        <v>1.0095000000000001</v>
      </c>
      <c r="V15" s="3173">
        <f>ROUND(IF([3]项目基本情况!B8="出让",SUMPRODUCT(PRODUCT(1+O15:O16)),SUMPRODUCT(PRODUCT(1+O15:O15))),4)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2823</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3368</v>
      </c>
    </row>
    <row r="19" spans="1:30" s="2999" customFormat="1">
      <c r="I19" s="3198" t="s">
        <v>2824</v>
      </c>
    </row>
    <row r="20" spans="1:30" s="2999" customFormat="1"/>
    <row r="21" spans="1:30" s="3199" customFormat="1" ht="12.75">
      <c r="B21" s="3200" t="s">
        <v>2825</v>
      </c>
      <c r="C21" s="3201"/>
      <c r="D21" s="3201"/>
      <c r="E21" s="3201"/>
      <c r="F21" s="3201"/>
      <c r="G21" s="3201"/>
      <c r="H21" s="3201"/>
      <c r="I21" s="3201"/>
      <c r="J21" s="3155"/>
      <c r="K21" s="3201" t="s">
        <v>2826</v>
      </c>
      <c r="L21" s="3201"/>
      <c r="M21" s="3201"/>
      <c r="N21" s="3201"/>
      <c r="O21" s="3201"/>
      <c r="P21" s="3201"/>
      <c r="Q21" s="3155"/>
      <c r="R21" s="3850" t="s">
        <v>2827</v>
      </c>
      <c r="S21" s="3851"/>
      <c r="T21" s="3851"/>
      <c r="U21" s="3851"/>
      <c r="V21" s="3851"/>
      <c r="W21" s="3851"/>
      <c r="X21" s="3155"/>
      <c r="Y21" s="3850" t="s">
        <v>2828</v>
      </c>
      <c r="Z21" s="3851"/>
      <c r="AA21" s="3851"/>
      <c r="AB21" s="3851"/>
      <c r="AC21" s="3851"/>
      <c r="AD21" s="3851"/>
    </row>
    <row r="22" spans="1:30" s="3133" customFormat="1" ht="14.25" thickBot="1">
      <c r="B22" s="3134"/>
      <c r="C22" s="3135"/>
      <c r="D22" s="3136" t="s">
        <v>2829</v>
      </c>
      <c r="E22" s="3137" t="s">
        <v>2830</v>
      </c>
      <c r="F22" s="3137" t="s">
        <v>2831</v>
      </c>
      <c r="G22" s="3137" t="s">
        <v>2832</v>
      </c>
      <c r="H22" s="3137"/>
      <c r="I22" s="3137" t="s">
        <v>2833</v>
      </c>
      <c r="J22" s="3138"/>
      <c r="K22" s="3136" t="s">
        <v>2829</v>
      </c>
      <c r="L22" s="3137" t="s">
        <v>2830</v>
      </c>
      <c r="M22" s="3137" t="s">
        <v>2831</v>
      </c>
      <c r="N22" s="3137" t="s">
        <v>2832</v>
      </c>
      <c r="O22" s="3137"/>
      <c r="P22" s="3137" t="s">
        <v>2833</v>
      </c>
      <c r="Q22" s="3138"/>
      <c r="R22" s="3136" t="s">
        <v>2829</v>
      </c>
      <c r="S22" s="3137" t="s">
        <v>2830</v>
      </c>
      <c r="T22" s="3137" t="s">
        <v>2831</v>
      </c>
      <c r="U22" s="3137" t="s">
        <v>2832</v>
      </c>
      <c r="V22" s="3137"/>
      <c r="W22" s="3137" t="s">
        <v>2833</v>
      </c>
      <c r="X22" s="3138"/>
      <c r="Y22" s="3136" t="s">
        <v>2829</v>
      </c>
      <c r="Z22" s="3137" t="s">
        <v>2830</v>
      </c>
      <c r="AA22" s="3137" t="s">
        <v>2831</v>
      </c>
      <c r="AB22" s="3137" t="s">
        <v>2832</v>
      </c>
      <c r="AC22" s="3137"/>
      <c r="AD22" s="3137" t="s">
        <v>2833</v>
      </c>
    </row>
    <row r="23" spans="1:30" s="3151" customFormat="1" ht="12.75">
      <c r="A23" s="3139" t="s">
        <v>2834</v>
      </c>
      <c r="B23" s="3140"/>
      <c r="C23" s="3141"/>
      <c r="D23" s="3141"/>
      <c r="E23" s="3141">
        <f t="shared" ref="E23:G23" si="22">ROUND(AVERAGEIF(E24:E36,"&lt;&gt;0"),2)</f>
        <v>0.4</v>
      </c>
      <c r="F23" s="3141">
        <f t="shared" si="22"/>
        <v>0.26</v>
      </c>
      <c r="G23" s="3141">
        <f t="shared" si="22"/>
        <v>0.74</v>
      </c>
      <c r="H23" s="3141"/>
      <c r="I23" s="3141">
        <f>F23</f>
        <v>0.26</v>
      </c>
      <c r="J23" s="3142"/>
      <c r="K23" s="3143"/>
      <c r="L23" s="3144">
        <f t="shared" ref="L23:N23" si="23">ROUND(AVERAGEIF(L24:L36,"&lt;&gt;0"),4)</f>
        <v>4.0000000000000001E-3</v>
      </c>
      <c r="M23" s="3144">
        <f t="shared" si="23"/>
        <v>2.5999999999999999E-3</v>
      </c>
      <c r="N23" s="3144">
        <f t="shared" si="23"/>
        <v>7.4000000000000003E-3</v>
      </c>
      <c r="O23" s="3144"/>
      <c r="P23" s="3144">
        <f>M23</f>
        <v>2.5999999999999999E-3</v>
      </c>
      <c r="Q23" s="3142"/>
      <c r="R23" s="3145"/>
      <c r="S23" s="3146">
        <f>ROUND(SUMPRODUCT(PRODUCT(1+L24:L36)),4)</f>
        <v>1.0323</v>
      </c>
      <c r="T23" s="3146">
        <f t="shared" ref="T23:U23" si="24">ROUND(SUMPRODUCT(PRODUCT(1+M24:M36)),4)</f>
        <v>1.0213000000000001</v>
      </c>
      <c r="U23" s="3146">
        <f t="shared" si="24"/>
        <v>1.0609</v>
      </c>
      <c r="V23" s="3146"/>
      <c r="W23" s="3145">
        <f>T23</f>
        <v>1.0213000000000001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3371</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ROUND(IF([3]项目基本情况!$B$8="出让",SUMPRODUCT(PRODUCT(1+L25:L$36)),SUMPRODUCT(PRODUCT(1+L25:L$35))),4)</f>
        <v>1.0286999999999999</v>
      </c>
      <c r="T25" s="3173">
        <f>ROUND(IF([3]项目基本情况!$B$8="出让",SUMPRODUCT(PRODUCT(1+M25:M$36)),SUMPRODUCT(PRODUCT(1+M25:M$35))),4)</f>
        <v>1.0164</v>
      </c>
      <c r="U25" s="3173">
        <f>ROUND(IF([3]项目基本情况!$B$8="出让",SUMPRODUCT(PRODUCT(1+N25:N$36)),SUMPRODUCT(PRODUCT(1+N25:N$35))),4)</f>
        <v>1.0506</v>
      </c>
      <c r="V25" s="3173"/>
      <c r="W25" s="3173">
        <f>T25</f>
        <v>1.0164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3372</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ROUND(IF([3]项目基本情况!$B$8="出让",SUMPRODUCT(PRODUCT(1+L26:L$36)),SUMPRODUCT(PRODUCT(1+L26:L$35))),4)</f>
        <v>1.0286999999999999</v>
      </c>
      <c r="T26" s="3173">
        <f>ROUND(IF([3]项目基本情况!$B$8="出让",SUMPRODUCT(PRODUCT(1+M26:M$36)),SUMPRODUCT(PRODUCT(1+M26:M$35))),4)</f>
        <v>1.0164</v>
      </c>
      <c r="U26" s="3173">
        <f>ROUND(IF([3]项目基本情况!$B$8="出让",SUMPRODUCT(PRODUCT(1+N26:N$36)),SUMPRODUCT(PRODUCT(1+N26:N$35))),4)</f>
        <v>1.0506</v>
      </c>
      <c r="V26" s="3173"/>
      <c r="W26" s="3173">
        <f t="shared" ref="W26:W28" si="32">T26</f>
        <v>1.0164</v>
      </c>
      <c r="X26" s="3171"/>
      <c r="Y26" s="3174"/>
      <c r="Z26" s="3202"/>
      <c r="AA26" s="3439"/>
      <c r="AB26" s="3439"/>
      <c r="AC26" s="3203"/>
      <c r="AD26" s="3174"/>
    </row>
    <row r="27" spans="1:30" s="3175" customFormat="1" ht="12.75">
      <c r="A27" s="3166" t="s">
        <v>3370</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ROUND(IF([3]项目基本情况!$B$8="出让",SUMPRODUCT(PRODUCT(1+L27:L$36)),SUMPRODUCT(PRODUCT(1+L27:L$35))),4)</f>
        <v>1.0286999999999999</v>
      </c>
      <c r="T27" s="3173">
        <f>ROUND(IF([3]项目基本情况!$B$8="出让",SUMPRODUCT(PRODUCT(1+M27:M$36)),SUMPRODUCT(PRODUCT(1+M27:M$35))),4)</f>
        <v>1.0164</v>
      </c>
      <c r="U27" s="3173">
        <f>ROUND(IF([3]项目基本情况!$B$8="出让",SUMPRODUCT(PRODUCT(1+N27:N$36)),SUMPRODUCT(PRODUCT(1+N27:N$35))),4)</f>
        <v>1.0506</v>
      </c>
      <c r="V27" s="3173"/>
      <c r="W27" s="3173">
        <f t="shared" si="32"/>
        <v>1.0164</v>
      </c>
      <c r="X27" s="3171"/>
      <c r="Y27" s="3174"/>
      <c r="Z27" s="3202"/>
      <c r="AA27" s="3439"/>
      <c r="AB27" s="3439"/>
      <c r="AC27" s="3203"/>
      <c r="AD27" s="3174"/>
    </row>
    <row r="28" spans="1:30" s="3175" customFormat="1" ht="12.75">
      <c r="A28" s="3166" t="s">
        <v>2817</v>
      </c>
      <c r="B28" s="3167">
        <v>2023</v>
      </c>
      <c r="C28" s="3168">
        <v>1</v>
      </c>
      <c r="D28" s="3169"/>
      <c r="E28" s="3169">
        <v>0</v>
      </c>
      <c r="F28" s="3169">
        <v>0</v>
      </c>
      <c r="G28" s="3169">
        <v>0</v>
      </c>
      <c r="H28" s="3186"/>
      <c r="I28" s="3170">
        <f t="shared" si="26"/>
        <v>0</v>
      </c>
      <c r="J28" s="3171"/>
      <c r="K28" s="3172"/>
      <c r="L28" s="3162">
        <f t="shared" si="28"/>
        <v>0</v>
      </c>
      <c r="M28" s="3162">
        <f t="shared" si="29"/>
        <v>0</v>
      </c>
      <c r="N28" s="3162">
        <f t="shared" si="30"/>
        <v>0</v>
      </c>
      <c r="O28" s="3162"/>
      <c r="P28" s="3162">
        <f t="shared" si="31"/>
        <v>0</v>
      </c>
      <c r="Q28" s="3171"/>
      <c r="R28" s="3173"/>
      <c r="S28" s="3173">
        <f>ROUND(IF([3]项目基本情况!$B$8="出让",SUMPRODUCT(PRODUCT(1+L28:L$36)),SUMPRODUCT(PRODUCT(1+L28:L$35))),4)</f>
        <v>1.0286999999999999</v>
      </c>
      <c r="T28" s="3173">
        <f>ROUND(IF([3]项目基本情况!$B$8="出让",SUMPRODUCT(PRODUCT(1+M28:M$36)),SUMPRODUCT(PRODUCT(1+M28:M$35))),4)</f>
        <v>1.0164</v>
      </c>
      <c r="U28" s="3173">
        <f>ROUND(IF([3]项目基本情况!$B$8="出让",SUMPRODUCT(PRODUCT(1+N28:N$36)),SUMPRODUCT(PRODUCT(1+N28:N$35))),4)</f>
        <v>1.0506</v>
      </c>
      <c r="V28" s="3173"/>
      <c r="W28" s="3173">
        <f t="shared" si="32"/>
        <v>1.0164</v>
      </c>
      <c r="X28" s="3171"/>
      <c r="Y28" s="3174"/>
      <c r="Z28" s="3202"/>
      <c r="AA28" s="3439"/>
      <c r="AB28" s="3439"/>
      <c r="AC28" s="3203"/>
      <c r="AD28" s="3174"/>
    </row>
    <row r="29" spans="1:30" s="3185" customFormat="1" ht="12.75">
      <c r="A29" s="3176" t="s">
        <v>3366</v>
      </c>
      <c r="B29" s="3177">
        <v>2022</v>
      </c>
      <c r="C29" s="3178">
        <v>4</v>
      </c>
      <c r="D29" s="3179"/>
      <c r="E29" s="3179">
        <v>0.45</v>
      </c>
      <c r="F29" s="3179">
        <v>0.2</v>
      </c>
      <c r="G29" s="3179">
        <v>0.38</v>
      </c>
      <c r="H29" s="3180"/>
      <c r="I29" s="3181">
        <f t="shared" si="26"/>
        <v>0.2</v>
      </c>
      <c r="J29" s="3182"/>
      <c r="K29" s="3183"/>
      <c r="L29" s="3184">
        <f t="shared" si="27"/>
        <v>4.5000000000000005E-3</v>
      </c>
      <c r="M29" s="3184">
        <f t="shared" si="27"/>
        <v>2E-3</v>
      </c>
      <c r="N29" s="3184">
        <f t="shared" si="27"/>
        <v>3.8E-3</v>
      </c>
      <c r="O29" s="3184"/>
      <c r="P29" s="3184">
        <f t="shared" ref="P29:P36" si="33">M29</f>
        <v>2E-3</v>
      </c>
      <c r="Q29" s="3182"/>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2"/>
      <c r="Y29" s="3184"/>
      <c r="Z29" s="3205">
        <f t="shared" ref="Z29:AD36" si="35">IF(E29=0,0,ROUND(AVERAGE(E29:E37)/100,4))</f>
        <v>4.0000000000000001E-3</v>
      </c>
      <c r="AA29" s="3206">
        <f t="shared" si="35"/>
        <v>2.5999999999999999E-3</v>
      </c>
      <c r="AB29" s="3184">
        <f t="shared" si="35"/>
        <v>7.4000000000000003E-3</v>
      </c>
      <c r="AC29" s="3207"/>
      <c r="AD29" s="3184">
        <f t="shared" si="35"/>
        <v>2.5999999999999999E-3</v>
      </c>
    </row>
    <row r="30" spans="1:30" s="3175" customFormat="1" ht="12.75">
      <c r="A30" s="3166" t="s">
        <v>3367</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ROUND(IF([3]项目基本情况!$B$8="出让",SUMPRODUCT(PRODUCT(1+L30:L$36)),SUMPRODUCT(PRODUCT(1+L30:L$35))),4)</f>
        <v>1.0241</v>
      </c>
      <c r="T30" s="3173">
        <f>ROUND(IF([3]项目基本情况!$B$8="出让",SUMPRODUCT(PRODUCT(1+M30:M$36)),SUMPRODUCT(PRODUCT(1+M30:M$35))),4)</f>
        <v>1.0144</v>
      </c>
      <c r="U30" s="3173">
        <f>ROUND(IF([3]项目基本情况!$B$8="出让",SUMPRODUCT(PRODUCT(1+N30:N$36)),SUMPRODUCT(PRODUCT(1+N30:N$35))),4)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3356</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ROUND(IF([3]项目基本情况!$B$8="出让",SUMPRODUCT(PRODUCT(1+L31:L$36)),SUMPRODUCT(PRODUCT(1+L31:L$35))),4)</f>
        <v>1.0210999999999999</v>
      </c>
      <c r="T31" s="3173">
        <f>ROUND(IF([3]项目基本情况!$B$8="出让",SUMPRODUCT(PRODUCT(1+M31:M$36)),SUMPRODUCT(PRODUCT(1+M31:M$35))),4)</f>
        <v>1.0114000000000001</v>
      </c>
      <c r="U31" s="3173">
        <f>ROUND(IF([3]项目基本情况!$B$8="出让",SUMPRODUCT(PRODUCT(1+N31:N$36)),SUMPRODUCT(PRODUCT(1+N31:N$35))),4)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2835</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ROUND(IF([3]项目基本情况!$B$8="出让",SUMPRODUCT(PRODUCT(1+L32:L$36)),SUMPRODUCT(PRODUCT(1+L32:L$35))),4)</f>
        <v>1.0222</v>
      </c>
      <c r="T32" s="3173">
        <f>ROUND(IF([3]项目基本情况!$B$8="出让",SUMPRODUCT(PRODUCT(1+M32:M$36)),SUMPRODUCT(PRODUCT(1+M32:M$35))),4)</f>
        <v>1.0127999999999999</v>
      </c>
      <c r="U32" s="3173">
        <f>ROUND(IF([3]项目基本情况!$B$8="出让",SUMPRODUCT(PRODUCT(1+N32:N$36)),SUMPRODUCT(PRODUCT(1+N32:N$35))),4)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2836</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ROUND(IF([3]项目基本情况!$B$8="出让",SUMPRODUCT(PRODUCT(1+L33:L$36)),SUMPRODUCT(PRODUCT(1+L33:L$35))),4)</f>
        <v>1.0161</v>
      </c>
      <c r="T33" s="3173">
        <f>ROUND(IF([3]项目基本情况!$B$8="出让",SUMPRODUCT(PRODUCT(1+M33:M$36)),SUMPRODUCT(PRODUCT(1+M33:M$35))),4)</f>
        <v>1.0082</v>
      </c>
      <c r="U33" s="3173">
        <f>ROUND(IF([3]项目基本情况!$B$8="出让",SUMPRODUCT(PRODUCT(1+N33:N$36)),SUMPRODUCT(PRODUCT(1+N33:N$35))),4)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2837</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ROUND(IF([3]项目基本情况!$B$8="出让",SUMPRODUCT(PRODUCT(1+L34:L$36)),SUMPRODUCT(PRODUCT(1+L34:L$35))),4)</f>
        <v>1.0102</v>
      </c>
      <c r="T34" s="3173">
        <f>ROUND(IF([3]项目基本情况!$B$8="出让",SUMPRODUCT(PRODUCT(1+M34:M$36)),SUMPRODUCT(PRODUCT(1+M34:M$35))),4)</f>
        <v>1.0074000000000001</v>
      </c>
      <c r="U34" s="3173">
        <f>ROUND(IF([3]项目基本情况!$B$8="出让",SUMPRODUCT(PRODUCT(1+N34:N$36)),SUMPRODUCT(PRODUCT(1+N34:N$35))),4)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2838</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ROUND(IF([3]项目基本情况!$B$8="出让",SUMPRODUCT(PRODUCT(1+L35:L$36)),SUMPRODUCT(PRODUCT(1+L35:L$35))),4)</f>
        <v>1.0055000000000001</v>
      </c>
      <c r="T35" s="3173">
        <f>ROUND(IF([3]项目基本情况!$B$8="出让",SUMPRODUCT(PRODUCT(1+M35:M$36)),SUMPRODUCT(PRODUCT(1+M35:M$35))),4)</f>
        <v>1.0045999999999999</v>
      </c>
      <c r="U35" s="3173">
        <f>ROUND(IF([3]项目基本情况!$B$8="出让",SUMPRODUCT(PRODUCT(1+N35:N$36)),SUMPRODUCT(PRODUCT(1+N35:N$35))),4)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2823</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7" t="s">
        <v>452</v>
      </c>
      <c r="C1" s="3857"/>
      <c r="D1" s="3857"/>
      <c r="E1" s="3857"/>
      <c r="F1" s="3857"/>
      <c r="G1" s="3856" t="s">
        <v>453</v>
      </c>
      <c r="H1" s="3856"/>
      <c r="I1" s="3856"/>
      <c r="J1" s="3856"/>
      <c r="K1" s="3856"/>
      <c r="L1" s="3856"/>
      <c r="N1" s="3856" t="s">
        <v>454</v>
      </c>
      <c r="O1" s="3856"/>
      <c r="P1" s="3856"/>
      <c r="Q1" s="3856"/>
      <c r="S1" s="3856" t="s">
        <v>455</v>
      </c>
      <c r="T1" s="3856"/>
      <c r="U1" s="3856"/>
      <c r="V1" s="3856"/>
      <c r="X1" s="3855" t="s">
        <v>456</v>
      </c>
      <c r="Y1" s="3856"/>
      <c r="Z1" s="3856"/>
      <c r="AA1" s="3856"/>
      <c r="AB1" s="3856"/>
      <c r="AD1" s="3855" t="s">
        <v>457</v>
      </c>
      <c r="AE1" s="3856"/>
      <c r="AF1" s="3856"/>
      <c r="AG1" s="3856"/>
      <c r="AH1" s="385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6">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6">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6">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6">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5">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0">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9">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3">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2">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9">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5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5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6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6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6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6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5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5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5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5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5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5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5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5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5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5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5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5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5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5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5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5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5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5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5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5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5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5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5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5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5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5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5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5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5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5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5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5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5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5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5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5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44992</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44795</v>
      </c>
      <c r="D13" s="2812">
        <v>3.65</v>
      </c>
      <c r="E13" s="2812">
        <f>D13</f>
        <v>3.65</v>
      </c>
      <c r="F13" s="2812">
        <f>D13</f>
        <v>3.65</v>
      </c>
      <c r="G13" s="2812">
        <f>D13</f>
        <v>3.65</v>
      </c>
      <c r="H13" s="2812">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44701</v>
      </c>
      <c r="D14" s="2807">
        <v>3.7</v>
      </c>
      <c r="E14" s="2807">
        <f>D14</f>
        <v>3.7</v>
      </c>
      <c r="F14" s="2807">
        <f>D14</f>
        <v>3.7</v>
      </c>
      <c r="G14" s="2807">
        <f>D14</f>
        <v>3.7</v>
      </c>
      <c r="H14" s="2807">
        <v>4.45</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44581</v>
      </c>
      <c r="D15" s="2807">
        <v>3.7</v>
      </c>
      <c r="E15" s="2807">
        <f>D15</f>
        <v>3.7</v>
      </c>
      <c r="F15" s="2807">
        <f>D15</f>
        <v>3.7</v>
      </c>
      <c r="G15" s="2807">
        <f>D15</f>
        <v>3.7</v>
      </c>
      <c r="H15" s="2807">
        <v>4.5999999999999996</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7"/>
      <c r="C16" s="2808">
        <v>44550</v>
      </c>
      <c r="D16" s="2807">
        <v>3.8</v>
      </c>
      <c r="E16" s="2807">
        <f>D16</f>
        <v>3.8</v>
      </c>
      <c r="F16" s="2807">
        <f>D16</f>
        <v>3.8</v>
      </c>
      <c r="G16" s="2807">
        <f>D16</f>
        <v>3.8</v>
      </c>
      <c r="H16" s="2807">
        <v>4.6500000000000004</v>
      </c>
      <c r="I16" s="2807"/>
      <c r="J16" s="2812"/>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7"/>
      <c r="C17" s="2808">
        <v>43941</v>
      </c>
      <c r="D17" s="2807">
        <v>3.85</v>
      </c>
      <c r="E17" s="2807">
        <v>3.85</v>
      </c>
      <c r="F17" s="2807">
        <v>3.85</v>
      </c>
      <c r="G17" s="2807">
        <v>3.85</v>
      </c>
      <c r="H17" s="2807">
        <v>4.6500000000000004</v>
      </c>
      <c r="I17" s="2807"/>
      <c r="J17" s="280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43789</v>
      </c>
      <c r="D19" s="2807">
        <v>4.1500000000000004</v>
      </c>
      <c r="E19" s="2807">
        <v>4.1500000000000004</v>
      </c>
      <c r="F19" s="2807">
        <v>4.1500000000000004</v>
      </c>
      <c r="G19" s="2807">
        <v>4.1500000000000004</v>
      </c>
      <c r="H19" s="2807">
        <v>4.8</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43728</v>
      </c>
      <c r="D20" s="2807">
        <v>4.2</v>
      </c>
      <c r="E20" s="2807">
        <v>4.2</v>
      </c>
      <c r="F20" s="2807">
        <v>4.2</v>
      </c>
      <c r="G20" s="2807">
        <v>4.2</v>
      </c>
      <c r="H20" s="2807">
        <v>4.8499999999999996</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6" t="s">
        <v>2307</v>
      </c>
      <c r="C21" s="2809">
        <v>43697</v>
      </c>
      <c r="D21" s="2810">
        <v>4.25</v>
      </c>
      <c r="E21" s="2810">
        <v>4.25</v>
      </c>
      <c r="F21" s="2810">
        <v>4.25</v>
      </c>
      <c r="G21" s="2810">
        <v>4.25</v>
      </c>
      <c r="H21" s="2810">
        <v>4.8499999999999996</v>
      </c>
      <c r="I21" s="2810"/>
      <c r="J21" s="2810"/>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3"/>
      <c r="B22" s="2814"/>
      <c r="C22" s="2815">
        <v>42301</v>
      </c>
      <c r="D22" s="2816">
        <v>4.3499999999999996</v>
      </c>
      <c r="E22" s="2816">
        <v>4.3499999999999996</v>
      </c>
      <c r="F22" s="2816">
        <v>4.75</v>
      </c>
      <c r="G22" s="2816">
        <v>4.75</v>
      </c>
      <c r="H22" s="2816">
        <v>4.9000000000000004</v>
      </c>
      <c r="I22" s="2816"/>
      <c r="J22" s="2816"/>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36" t="str">
        <f>IF(项目基本情况!B9="房地产市场价值","估价结果一览表","结果表-2")</f>
        <v>结果表-2</v>
      </c>
      <c r="B1" s="3536"/>
      <c r="C1" s="3536"/>
      <c r="D1" s="3536"/>
      <c r="E1" s="3536"/>
      <c r="F1" s="3536"/>
      <c r="G1" s="3536"/>
      <c r="H1" s="3536"/>
      <c r="I1" s="3536"/>
    </row>
    <row r="2" spans="1:9" ht="30" customHeight="1" thickTop="1">
      <c r="A2" s="3537" t="s">
        <v>928</v>
      </c>
      <c r="B2" s="3537" t="s">
        <v>929</v>
      </c>
      <c r="C2" s="3537" t="s">
        <v>930</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2"/>
      <c r="B3" s="3532"/>
      <c r="C3" s="3532"/>
      <c r="D3" s="850" t="s">
        <v>925</v>
      </c>
      <c r="E3" s="850" t="s">
        <v>931</v>
      </c>
      <c r="F3" s="850" t="s">
        <v>925</v>
      </c>
      <c r="G3" s="850" t="s">
        <v>926</v>
      </c>
      <c r="H3" s="850" t="s">
        <v>925</v>
      </c>
      <c r="I3" s="850" t="s">
        <v>926</v>
      </c>
    </row>
    <row r="4" spans="1:9" ht="30">
      <c r="A4" s="1501" t="str">
        <f>项目基本情况!S2</f>
        <v>北京市丰台区南四环西路186号一区1号楼-4至7层01房地产</v>
      </c>
      <c r="B4" s="850">
        <f>项目基本情况!C17</f>
        <v>103096.20000000001</v>
      </c>
      <c r="C4" s="850">
        <f>项目基本情况!C18</f>
        <v>23586.720000000001</v>
      </c>
      <c r="D4" s="850">
        <f ca="1">结果表!D118</f>
        <v>166881</v>
      </c>
      <c r="E4" s="850">
        <f ca="1">结果表!E118</f>
        <v>16187</v>
      </c>
      <c r="F4" s="850">
        <f ca="1">结果表!F118</f>
        <v>133806</v>
      </c>
      <c r="G4" s="850">
        <f ca="1">结果表!G118</f>
        <v>12979</v>
      </c>
      <c r="H4" s="850">
        <f ca="1">结果表!H118</f>
        <v>300687</v>
      </c>
      <c r="I4" s="850">
        <f ca="1">结果表!I118</f>
        <v>29166</v>
      </c>
    </row>
    <row r="5" spans="1:9" ht="30" customHeight="1">
      <c r="A5" s="3532" t="s">
        <v>927</v>
      </c>
      <c r="B5" s="3532"/>
      <c r="C5" s="3532"/>
      <c r="D5" s="3532" t="str">
        <f ca="1">结果表!D119</f>
        <v>壹拾陆亿陆仟捌佰捌拾壹万元整</v>
      </c>
      <c r="E5" s="3532"/>
      <c r="F5" s="3532" t="str">
        <f ca="1">结果表!F119</f>
        <v>壹拾叁亿叁仟捌佰零陆万元整</v>
      </c>
      <c r="G5" s="3532"/>
      <c r="H5" s="3532" t="str">
        <f ca="1">结果表!H119</f>
        <v>叁拾亿零陆佰捌拾柒万元整</v>
      </c>
      <c r="I5" s="3532"/>
    </row>
    <row r="6" spans="1:9" ht="15.75">
      <c r="A6" s="3531" t="str">
        <f>结果表!A120</f>
        <v>估价师知悉的法定优先受偿款</v>
      </c>
      <c r="B6" s="3531"/>
      <c r="C6" s="3531"/>
      <c r="D6" s="3531">
        <f>结果表!D120</f>
        <v>0</v>
      </c>
      <c r="E6" s="3531"/>
      <c r="F6" s="3531"/>
      <c r="G6" s="3531"/>
      <c r="H6" s="3531"/>
      <c r="I6" s="3531"/>
    </row>
    <row r="7" spans="1:9" ht="15">
      <c r="A7" s="3532" t="s">
        <v>927</v>
      </c>
      <c r="B7" s="3532"/>
      <c r="C7" s="3532"/>
      <c r="D7" s="3533" t="str">
        <f>结果表!D121</f>
        <v>零元整</v>
      </c>
      <c r="E7" s="3534"/>
      <c r="F7" s="3534"/>
      <c r="G7" s="3534"/>
      <c r="H7" s="3534"/>
      <c r="I7" s="3535"/>
    </row>
    <row r="8" spans="1:9" ht="15.75">
      <c r="A8" s="3531" t="str">
        <f>结果表!A122</f>
        <v>房地产抵押价值</v>
      </c>
      <c r="B8" s="3531"/>
      <c r="C8" s="3531"/>
      <c r="D8" s="3531">
        <f ca="1">结果表!D122</f>
        <v>300687</v>
      </c>
      <c r="E8" s="3531"/>
      <c r="F8" s="3531"/>
      <c r="G8" s="3531"/>
      <c r="H8" s="3531"/>
      <c r="I8" s="3531"/>
    </row>
    <row r="9" spans="1:9" ht="15">
      <c r="A9" s="3532" t="s">
        <v>927</v>
      </c>
      <c r="B9" s="3532"/>
      <c r="C9" s="3532"/>
      <c r="D9" s="3532" t="str">
        <f ca="1">结果表!D123</f>
        <v>叁拾亿零陆佰捌拾柒万元整</v>
      </c>
      <c r="E9" s="3532"/>
      <c r="F9" s="3532"/>
      <c r="G9" s="3532"/>
      <c r="H9" s="3532"/>
      <c r="I9" s="3532"/>
    </row>
    <row r="10" spans="1:9" ht="15.75">
      <c r="A10" s="3531" t="str">
        <f>结果表!A124</f>
        <v/>
      </c>
      <c r="B10" s="3531"/>
      <c r="C10" s="3531"/>
      <c r="D10" s="3531" t="str">
        <f>结果表!D124</f>
        <v>——</v>
      </c>
      <c r="E10" s="3531"/>
      <c r="F10" s="3531"/>
      <c r="G10" s="3531"/>
      <c r="H10" s="3531"/>
      <c r="I10" s="3531"/>
    </row>
    <row r="11" spans="1:9" ht="15">
      <c r="A11" s="3532" t="s">
        <v>927</v>
      </c>
      <c r="B11" s="3532"/>
      <c r="C11" s="3532"/>
      <c r="D11" s="3532" t="e">
        <f>结果表!D125</f>
        <v>#VALUE!</v>
      </c>
      <c r="E11" s="3532"/>
      <c r="F11" s="3532"/>
      <c r="G11" s="3532"/>
      <c r="H11" s="3532"/>
      <c r="I11" s="3532"/>
    </row>
    <row r="12" spans="1:9" ht="15.75">
      <c r="A12" s="3531" t="str">
        <f>结果表!A126</f>
        <v/>
      </c>
      <c r="B12" s="3531"/>
      <c r="C12" s="3531"/>
      <c r="D12" s="3531" t="str">
        <f>结果表!D126</f>
        <v>——</v>
      </c>
      <c r="E12" s="3531"/>
      <c r="F12" s="3531"/>
      <c r="G12" s="3531"/>
      <c r="H12" s="3531"/>
      <c r="I12" s="3531"/>
    </row>
    <row r="13" spans="1:9" ht="15.75" thickBot="1">
      <c r="A13" s="3529" t="s">
        <v>927</v>
      </c>
      <c r="B13" s="3529"/>
      <c r="C13" s="3529"/>
      <c r="D13" s="3529" t="e">
        <f>结果表!D127</f>
        <v>#VALUE!</v>
      </c>
      <c r="E13" s="3529"/>
      <c r="F13" s="3529"/>
      <c r="G13" s="3529"/>
      <c r="H13" s="3529"/>
      <c r="I13" s="3529"/>
    </row>
    <row r="14" spans="1:9" ht="15" thickTop="1">
      <c r="A14" s="3530" t="s">
        <v>932</v>
      </c>
      <c r="B14" s="3530"/>
      <c r="C14" s="3530"/>
      <c r="D14" s="3530"/>
      <c r="E14" s="3530"/>
      <c r="F14" s="3530"/>
      <c r="G14" s="3530"/>
      <c r="H14" s="3530"/>
      <c r="I14" s="353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4" t="s">
        <v>949</v>
      </c>
      <c r="B1" s="3544"/>
      <c r="C1" s="3544"/>
      <c r="D1" s="3544"/>
    </row>
    <row r="2" spans="1:4" ht="18">
      <c r="A2" s="3545" t="s">
        <v>933</v>
      </c>
      <c r="B2" s="3545"/>
      <c r="C2" s="3545"/>
      <c r="D2" s="3545"/>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吴薇</v>
      </c>
      <c r="B5" s="1507">
        <f ca="1">项目基本情况!E4</f>
        <v>1419970001</v>
      </c>
      <c r="C5" s="1510"/>
      <c r="D5" s="1509" t="s">
        <v>938</v>
      </c>
    </row>
    <row r="6" spans="1:4" ht="18">
      <c r="A6" s="3545" t="s">
        <v>939</v>
      </c>
      <c r="B6" s="3545"/>
      <c r="C6" s="3545"/>
      <c r="D6" s="3545"/>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46" t="s">
        <v>942</v>
      </c>
      <c r="B11" s="3538"/>
      <c r="C11" s="3538"/>
      <c r="D11" s="3538"/>
    </row>
    <row r="12" spans="1:4" ht="15.75">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3"/>
      <c r="C12" s="3543"/>
      <c r="D12" s="3543"/>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3"/>
      <c r="C13" s="3543"/>
      <c r="D13" s="3543"/>
    </row>
    <row r="14" spans="1:4" ht="15.75" customHeight="1">
      <c r="A14" s="3538" t="str">
        <f>IF(项目基本情况!B8="抵押","4.本次评估估价师所知悉的法定优先受偿款情况说明如下：","——")</f>
        <v>4.本次评估估价师所知悉的法定优先受偿款情况说明如下：</v>
      </c>
      <c r="B14" s="3543"/>
      <c r="C14" s="3543"/>
      <c r="D14" s="3543"/>
    </row>
    <row r="15" spans="1:4" ht="42" customHeight="1">
      <c r="A15" s="353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0" t="s">
        <v>943</v>
      </c>
      <c r="B16" s="3540"/>
      <c r="C16" s="3540"/>
      <c r="D16" s="3540"/>
    </row>
    <row r="17" spans="1:4" ht="144" customHeight="1">
      <c r="A17" s="3540" t="s">
        <v>944</v>
      </c>
      <c r="B17" s="3540"/>
      <c r="C17" s="3540"/>
      <c r="D17" s="3540"/>
    </row>
    <row r="18" spans="1:4" ht="15.75" customHeight="1">
      <c r="A18" s="3538" t="str">
        <f>IF(项目基本情况!B8="抵押",结果表!K120,"——")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8"/>
      <c r="C20" s="3538"/>
      <c r="D20" s="3538"/>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1"/>
      <c r="C21" s="3541"/>
      <c r="D21" s="3541"/>
    </row>
    <row r="22" spans="1:4" ht="18.75" customHeight="1">
      <c r="A22" s="3542" t="s">
        <v>945</v>
      </c>
      <c r="B22" s="3542"/>
      <c r="C22" s="3542"/>
      <c r="D22" s="354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39">
        <v>42551</v>
      </c>
      <c r="D31" s="35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52" t="s">
        <v>956</v>
      </c>
      <c r="B15" s="3547" t="s">
        <v>109</v>
      </c>
      <c r="C15" s="3548"/>
    </row>
    <row r="16" spans="1:7" ht="13.5">
      <c r="A16" s="3553"/>
      <c r="B16" s="3547" t="s">
        <v>42</v>
      </c>
      <c r="C16" s="3548"/>
    </row>
    <row r="17" spans="1:3" ht="13.5">
      <c r="A17" s="3553"/>
      <c r="B17" s="3550" t="s">
        <v>957</v>
      </c>
      <c r="C17" s="1528" t="s">
        <v>956</v>
      </c>
    </row>
    <row r="18" spans="1:3" ht="13.5">
      <c r="A18" s="3553"/>
      <c r="B18" s="3550"/>
      <c r="C18" s="1528" t="s">
        <v>958</v>
      </c>
    </row>
    <row r="19" spans="1:3" ht="13.5">
      <c r="A19" s="3553"/>
      <c r="B19" s="3550"/>
      <c r="C19" s="1528" t="s">
        <v>959</v>
      </c>
    </row>
    <row r="20" spans="1:3" ht="13.5">
      <c r="A20" s="3554"/>
      <c r="B20" s="3549" t="s">
        <v>960</v>
      </c>
      <c r="C20" s="3548"/>
    </row>
    <row r="21" spans="1:3" ht="13.5">
      <c r="A21" s="1529" t="s">
        <v>961</v>
      </c>
      <c r="B21" s="1530"/>
      <c r="C21" s="1531"/>
    </row>
    <row r="22" spans="1:3" ht="13.5">
      <c r="A22" s="3551" t="s">
        <v>962</v>
      </c>
      <c r="B22" s="3549" t="s">
        <v>963</v>
      </c>
      <c r="C22" s="3548"/>
    </row>
    <row r="23" spans="1:3" ht="13.5">
      <c r="A23" s="3551"/>
      <c r="B23" s="3549" t="s">
        <v>964</v>
      </c>
      <c r="C23" s="3548"/>
    </row>
    <row r="24" spans="1:3" ht="13.5">
      <c r="A24" s="3551"/>
      <c r="B24" s="3549" t="s">
        <v>965</v>
      </c>
      <c r="C24" s="3548"/>
    </row>
    <row r="25" spans="1:3" ht="13.5">
      <c r="A25" s="3551"/>
      <c r="B25" s="3550" t="s">
        <v>966</v>
      </c>
      <c r="C25" s="1528" t="s">
        <v>967</v>
      </c>
    </row>
    <row r="26" spans="1:3" ht="13.5">
      <c r="A26" s="3551"/>
      <c r="B26" s="3550"/>
      <c r="C26" s="1528" t="s">
        <v>968</v>
      </c>
    </row>
    <row r="27" spans="1:3" ht="13.5">
      <c r="A27" s="3551"/>
      <c r="B27" s="3550"/>
      <c r="C27" s="1528" t="s">
        <v>969</v>
      </c>
    </row>
    <row r="28" spans="1:3" ht="13.5">
      <c r="A28" s="3551"/>
      <c r="B28" s="3550"/>
      <c r="C28" s="1528" t="s">
        <v>970</v>
      </c>
    </row>
    <row r="29" spans="1:3" ht="13.5">
      <c r="A29" s="3551"/>
      <c r="B29" s="3550"/>
      <c r="C29" s="1528" t="s">
        <v>971</v>
      </c>
    </row>
    <row r="30" spans="1:3" ht="13.5">
      <c r="A30" s="3551"/>
      <c r="B30" s="3550"/>
      <c r="C30" s="1528" t="s">
        <v>972</v>
      </c>
    </row>
    <row r="31" spans="1:3" ht="13.5">
      <c r="A31" s="3551"/>
      <c r="B31" s="3550"/>
      <c r="C31" s="1528" t="s">
        <v>973</v>
      </c>
    </row>
    <row r="32" spans="1:3" ht="13.5">
      <c r="A32" s="3551"/>
      <c r="B32" s="3550"/>
      <c r="C32" s="1528" t="s">
        <v>974</v>
      </c>
    </row>
    <row r="33" spans="1:3" ht="13.5">
      <c r="A33" s="3551"/>
      <c r="B33" s="355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44999</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f ca="1">IF(C6&lt;B2,"已过期",1120050019)</f>
        <v>1120050019</v>
      </c>
      <c r="C6" s="2341">
        <v>45410</v>
      </c>
      <c r="D6" s="2342" t="str">
        <f t="shared" ca="1" si="0"/>
        <v>王鹏（注册号：1120050019）</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f ca="1">IF(C13&lt;B2,"已过期",1120020033)</f>
        <v>1120020033</v>
      </c>
      <c r="C13" s="2341">
        <v>45375</v>
      </c>
      <c r="D13" s="2342" t="str">
        <f t="shared" ca="1" si="0"/>
        <v>刘敬东（注册号：1120020033）</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2434</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5" t="s">
        <v>2160</v>
      </c>
      <c r="B17" s="3555"/>
      <c r="C17" s="3555"/>
      <c r="D17" s="3555"/>
      <c r="E17" s="3555"/>
      <c r="F17" s="3555"/>
      <c r="G17" s="3555"/>
      <c r="H17" s="3555"/>
    </row>
    <row r="18" spans="1:8" ht="24" customHeight="1">
      <c r="A18" s="3556" t="s">
        <v>2161</v>
      </c>
      <c r="B18" s="3556"/>
      <c r="C18" s="3556"/>
      <c r="D18" s="2339"/>
      <c r="E18" s="3557" t="s">
        <v>2162</v>
      </c>
      <c r="F18" s="3556"/>
      <c r="G18" s="3556"/>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面积情况</vt:lpstr>
      <vt:lpstr>数据-基础表</vt:lpstr>
      <vt:lpstr>数据-汇总表</vt:lpstr>
      <vt:lpstr>数据-取费表</vt:lpstr>
      <vt:lpstr>估价对象房地状况</vt:lpstr>
      <vt:lpstr>系统读取表</vt:lpstr>
      <vt:lpstr>结果表</vt:lpstr>
      <vt:lpstr>基准地价修正</vt:lpstr>
      <vt:lpstr>土地比较法-住宅、综合</vt:lpstr>
      <vt:lpstr>土地案例</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2023-03-14T03:33:13Z</dcterms:modified>
</cp:coreProperties>
</file>