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15" windowWidth="12120" windowHeight="7620" tabRatio="787" activeTab="1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</sheets>
  <externalReferences>
    <externalReference r:id="rId21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地价!$A$3:$A$19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5621"/>
</workbook>
</file>

<file path=xl/calcChain.xml><?xml version="1.0" encoding="utf-8"?>
<calcChain xmlns="http://schemas.openxmlformats.org/spreadsheetml/2006/main">
  <c r="G22" i="59" l="1"/>
  <c r="B15" i="59" l="1"/>
  <c r="Q5" i="67" l="1"/>
  <c r="L5" i="67"/>
  <c r="K5" i="67"/>
  <c r="P5" i="67" s="1"/>
  <c r="J5" i="67"/>
  <c r="O5" i="67" s="1"/>
  <c r="I5" i="67"/>
  <c r="N5" i="67" s="1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C7" i="68" s="1"/>
  <c r="B3" i="68"/>
  <c r="B8" i="68"/>
  <c r="B7" i="68"/>
  <c r="B6" i="68"/>
  <c r="B5" i="68"/>
  <c r="E14" i="68" l="1"/>
  <c r="F14" i="68"/>
  <c r="C6" i="68"/>
  <c r="C8" i="68"/>
  <c r="D5" i="68"/>
  <c r="D7" i="68"/>
  <c r="C5" i="68"/>
  <c r="D6" i="68"/>
  <c r="D8" i="68"/>
  <c r="N6" i="67" l="1"/>
  <c r="O6" i="67"/>
  <c r="P6" i="67"/>
  <c r="Q6" i="67"/>
  <c r="N7" i="67"/>
  <c r="O7" i="67"/>
  <c r="P7" i="67"/>
  <c r="Q7" i="67"/>
  <c r="B7" i="67" l="1"/>
  <c r="S7" i="67" s="1"/>
  <c r="F7" i="67"/>
  <c r="V7" i="67" s="1"/>
  <c r="E7" i="67"/>
  <c r="U7" i="67" s="1"/>
  <c r="C7" i="67"/>
  <c r="T7" i="67" s="1"/>
  <c r="C6" i="67" l="1"/>
  <c r="C5" i="67" s="1"/>
  <c r="D5" i="67" s="1"/>
  <c r="D6" i="67"/>
  <c r="E6" i="67"/>
  <c r="E5" i="67" s="1"/>
  <c r="B6" i="67"/>
  <c r="B5" i="67" s="1"/>
  <c r="F6" i="67"/>
  <c r="F5" i="67" s="1"/>
  <c r="D7" i="67"/>
  <c r="D68" i="67" l="1"/>
  <c r="D64" i="67"/>
  <c r="D60" i="67"/>
  <c r="D56" i="67"/>
  <c r="D52" i="67"/>
  <c r="D48" i="67"/>
  <c r="D44" i="67"/>
  <c r="D40" i="67"/>
  <c r="D36" i="67"/>
  <c r="D32" i="67"/>
  <c r="D28" i="67"/>
  <c r="D27" i="67"/>
  <c r="D24" i="67"/>
  <c r="D20" i="67"/>
  <c r="D16" i="67"/>
  <c r="D12" i="67"/>
  <c r="D8" i="67"/>
  <c r="F67" i="67"/>
  <c r="E67" i="67"/>
  <c r="C67" i="67"/>
  <c r="D67" i="67" s="1"/>
  <c r="B67" i="67"/>
  <c r="F66" i="67"/>
  <c r="E66" i="67"/>
  <c r="C66" i="67"/>
  <c r="D66" i="67" s="1"/>
  <c r="B66" i="67"/>
  <c r="F65" i="67"/>
  <c r="E65" i="67"/>
  <c r="C65" i="67"/>
  <c r="D65" i="67" s="1"/>
  <c r="B65" i="67"/>
  <c r="F63" i="67"/>
  <c r="E63" i="67"/>
  <c r="C63" i="67"/>
  <c r="D63" i="67" s="1"/>
  <c r="B63" i="67"/>
  <c r="F62" i="67"/>
  <c r="E62" i="67"/>
  <c r="C62" i="67"/>
  <c r="D62" i="67" s="1"/>
  <c r="B62" i="67"/>
  <c r="F61" i="67"/>
  <c r="E61" i="67"/>
  <c r="C61" i="67"/>
  <c r="D61" i="67" s="1"/>
  <c r="B61" i="67"/>
  <c r="Q59" i="67"/>
  <c r="P59" i="67"/>
  <c r="O59" i="67"/>
  <c r="N59" i="67"/>
  <c r="F59" i="67"/>
  <c r="V59" i="67" s="1"/>
  <c r="E59" i="67"/>
  <c r="U59" i="67" s="1"/>
  <c r="C59" i="67"/>
  <c r="T59" i="67" s="1"/>
  <c r="B59" i="67"/>
  <c r="S59" i="67" s="1"/>
  <c r="Q58" i="67"/>
  <c r="P58" i="67"/>
  <c r="O58" i="67"/>
  <c r="N58" i="67"/>
  <c r="F58" i="67"/>
  <c r="E58" i="67"/>
  <c r="C58" i="67"/>
  <c r="D58" i="67" s="1"/>
  <c r="B58" i="67"/>
  <c r="Q57" i="67"/>
  <c r="P57" i="67"/>
  <c r="O57" i="67"/>
  <c r="N57" i="67"/>
  <c r="F57" i="67"/>
  <c r="E57" i="67"/>
  <c r="C57" i="67"/>
  <c r="D57" i="67" s="1"/>
  <c r="B57" i="67"/>
  <c r="Q56" i="67"/>
  <c r="P56" i="67"/>
  <c r="O56" i="67"/>
  <c r="N56" i="67"/>
  <c r="Q55" i="67"/>
  <c r="P55" i="67"/>
  <c r="O55" i="67"/>
  <c r="N55" i="67"/>
  <c r="F55" i="67"/>
  <c r="V55" i="67" s="1"/>
  <c r="E55" i="67"/>
  <c r="U55" i="67" s="1"/>
  <c r="C55" i="67"/>
  <c r="T55" i="67" s="1"/>
  <c r="B55" i="67"/>
  <c r="S55" i="67" s="1"/>
  <c r="Q54" i="67"/>
  <c r="P54" i="67"/>
  <c r="O54" i="67"/>
  <c r="N54" i="67"/>
  <c r="F54" i="67"/>
  <c r="E54" i="67"/>
  <c r="C54" i="67"/>
  <c r="D54" i="67" s="1"/>
  <c r="B54" i="67"/>
  <c r="Q53" i="67"/>
  <c r="P53" i="67"/>
  <c r="O53" i="67"/>
  <c r="N53" i="67"/>
  <c r="F53" i="67"/>
  <c r="E53" i="67"/>
  <c r="C53" i="67"/>
  <c r="D53" i="67" s="1"/>
  <c r="B53" i="67"/>
  <c r="Q52" i="67"/>
  <c r="P52" i="67"/>
  <c r="O52" i="67"/>
  <c r="N52" i="67"/>
  <c r="Q51" i="67"/>
  <c r="P51" i="67"/>
  <c r="O51" i="67"/>
  <c r="N51" i="67"/>
  <c r="F51" i="67"/>
  <c r="V51" i="67" s="1"/>
  <c r="E51" i="67"/>
  <c r="U51" i="67" s="1"/>
  <c r="C51" i="67"/>
  <c r="T51" i="67" s="1"/>
  <c r="B51" i="67"/>
  <c r="S51" i="67" s="1"/>
  <c r="Q50" i="67"/>
  <c r="P50" i="67"/>
  <c r="O50" i="67"/>
  <c r="N50" i="67"/>
  <c r="F50" i="67"/>
  <c r="E50" i="67"/>
  <c r="C50" i="67"/>
  <c r="D50" i="67" s="1"/>
  <c r="B50" i="67"/>
  <c r="Q49" i="67"/>
  <c r="P49" i="67"/>
  <c r="O49" i="67"/>
  <c r="N49" i="67"/>
  <c r="F49" i="67"/>
  <c r="E49" i="67"/>
  <c r="C49" i="67"/>
  <c r="D49" i="67" s="1"/>
  <c r="B49" i="67"/>
  <c r="Q48" i="67"/>
  <c r="P48" i="67"/>
  <c r="O48" i="67"/>
  <c r="N48" i="67"/>
  <c r="F47" i="67"/>
  <c r="V47" i="67" s="1"/>
  <c r="E47" i="67"/>
  <c r="U47" i="67" s="1"/>
  <c r="C47" i="67"/>
  <c r="T47" i="67" s="1"/>
  <c r="B47" i="67"/>
  <c r="S47" i="67" s="1"/>
  <c r="F46" i="67"/>
  <c r="Q46" i="67" s="1"/>
  <c r="E46" i="67"/>
  <c r="P46" i="67" s="1"/>
  <c r="C46" i="67"/>
  <c r="O46" i="67" s="1"/>
  <c r="B46" i="67"/>
  <c r="N46" i="67" s="1"/>
  <c r="F45" i="67"/>
  <c r="Q45" i="67" s="1"/>
  <c r="E45" i="67"/>
  <c r="P45" i="67" s="1"/>
  <c r="C45" i="67"/>
  <c r="O45" i="67" s="1"/>
  <c r="B45" i="67"/>
  <c r="N45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 s="1"/>
  <c r="F42" i="67" s="1"/>
  <c r="F43" i="67" s="1"/>
  <c r="V43" i="67" s="1"/>
  <c r="P40" i="67"/>
  <c r="E41" i="67" s="1"/>
  <c r="E42" i="67" s="1"/>
  <c r="E43" i="67" s="1"/>
  <c r="U43" i="67" s="1"/>
  <c r="O40" i="67"/>
  <c r="C41" i="67" s="1"/>
  <c r="C42" i="67" s="1"/>
  <c r="C43" i="67" s="1"/>
  <c r="T43" i="67" s="1"/>
  <c r="N40" i="67"/>
  <c r="B41" i="67" s="1"/>
  <c r="B42" i="67" s="1"/>
  <c r="B43" i="67" s="1"/>
  <c r="S43" i="67" s="1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 s="1"/>
  <c r="F38" i="67" s="1"/>
  <c r="F39" i="67" s="1"/>
  <c r="V39" i="67" s="1"/>
  <c r="P36" i="67"/>
  <c r="E37" i="67" s="1"/>
  <c r="E38" i="67" s="1"/>
  <c r="E39" i="67" s="1"/>
  <c r="U39" i="67" s="1"/>
  <c r="O36" i="67"/>
  <c r="C37" i="67" s="1"/>
  <c r="C38" i="67" s="1"/>
  <c r="C39" i="67" s="1"/>
  <c r="T39" i="67" s="1"/>
  <c r="N36" i="67"/>
  <c r="B37" i="67" s="1"/>
  <c r="B38" i="67" s="1"/>
  <c r="B39" i="67" s="1"/>
  <c r="S39" i="67" s="1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 s="1"/>
  <c r="F34" i="67" s="1"/>
  <c r="F35" i="67" s="1"/>
  <c r="V35" i="67" s="1"/>
  <c r="P32" i="67"/>
  <c r="E33" i="67" s="1"/>
  <c r="E34" i="67" s="1"/>
  <c r="E35" i="67" s="1"/>
  <c r="U35" i="67" s="1"/>
  <c r="O32" i="67"/>
  <c r="C33" i="67" s="1"/>
  <c r="C34" i="67" s="1"/>
  <c r="C35" i="67" s="1"/>
  <c r="T35" i="67" s="1"/>
  <c r="N32" i="67"/>
  <c r="B33" i="67" s="1"/>
  <c r="B34" i="67" s="1"/>
  <c r="B35" i="67" s="1"/>
  <c r="S35" i="67" s="1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 s="1"/>
  <c r="F30" i="67" s="1"/>
  <c r="F31" i="67" s="1"/>
  <c r="V31" i="67" s="1"/>
  <c r="P28" i="67"/>
  <c r="E29" i="67" s="1"/>
  <c r="E30" i="67" s="1"/>
  <c r="E31" i="67" s="1"/>
  <c r="U31" i="67" s="1"/>
  <c r="O28" i="67"/>
  <c r="C29" i="67" s="1"/>
  <c r="C30" i="67" s="1"/>
  <c r="C31" i="67" s="1"/>
  <c r="T31" i="67" s="1"/>
  <c r="N28" i="67"/>
  <c r="B29" i="67" s="1"/>
  <c r="B30" i="67" s="1"/>
  <c r="B31" i="67" s="1"/>
  <c r="S31" i="67" s="1"/>
  <c r="T27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 s="1"/>
  <c r="F26" i="67" s="1"/>
  <c r="F27" i="67" s="1"/>
  <c r="V27" i="67" s="1"/>
  <c r="P24" i="67"/>
  <c r="E25" i="67" s="1"/>
  <c r="E26" i="67" s="1"/>
  <c r="E27" i="67" s="1"/>
  <c r="U27" i="67" s="1"/>
  <c r="O24" i="67"/>
  <c r="C25" i="67" s="1"/>
  <c r="C26" i="67" s="1"/>
  <c r="D26" i="67" s="1"/>
  <c r="N24" i="67"/>
  <c r="B25" i="67" s="1"/>
  <c r="B26" i="67" s="1"/>
  <c r="B27" i="67" s="1"/>
  <c r="S27" i="67" s="1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 s="1"/>
  <c r="F22" i="67" s="1"/>
  <c r="F23" i="67" s="1"/>
  <c r="V23" i="67" s="1"/>
  <c r="P20" i="67"/>
  <c r="E21" i="67" s="1"/>
  <c r="E22" i="67" s="1"/>
  <c r="E23" i="67" s="1"/>
  <c r="U23" i="67" s="1"/>
  <c r="O20" i="67"/>
  <c r="C21" i="67" s="1"/>
  <c r="C22" i="67" s="1"/>
  <c r="C23" i="67" s="1"/>
  <c r="T23" i="67" s="1"/>
  <c r="N20" i="67"/>
  <c r="B21" i="67" s="1"/>
  <c r="B22" i="67" s="1"/>
  <c r="B23" i="67" s="1"/>
  <c r="S23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 s="1"/>
  <c r="F18" i="67" s="1"/>
  <c r="F19" i="67" s="1"/>
  <c r="V19" i="67" s="1"/>
  <c r="P16" i="67"/>
  <c r="E17" i="67" s="1"/>
  <c r="E18" i="67" s="1"/>
  <c r="E19" i="67" s="1"/>
  <c r="U19" i="67" s="1"/>
  <c r="O16" i="67"/>
  <c r="C17" i="67" s="1"/>
  <c r="C18" i="67" s="1"/>
  <c r="C19" i="67" s="1"/>
  <c r="T19" i="67" s="1"/>
  <c r="N16" i="67"/>
  <c r="B17" i="67" s="1"/>
  <c r="B18" i="67" s="1"/>
  <c r="B19" i="67" s="1"/>
  <c r="S19" i="67" s="1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 s="1"/>
  <c r="F14" i="67" s="1"/>
  <c r="F15" i="67" s="1"/>
  <c r="V15" i="67" s="1"/>
  <c r="P12" i="67"/>
  <c r="E13" i="67" s="1"/>
  <c r="E14" i="67" s="1"/>
  <c r="E15" i="67" s="1"/>
  <c r="U15" i="67" s="1"/>
  <c r="O12" i="67"/>
  <c r="C13" i="67" s="1"/>
  <c r="C14" i="67" s="1"/>
  <c r="C15" i="67" s="1"/>
  <c r="T15" i="67" s="1"/>
  <c r="N12" i="67"/>
  <c r="B13" i="67" s="1"/>
  <c r="B14" i="67" s="1"/>
  <c r="B15" i="67" s="1"/>
  <c r="S15" i="67" s="1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F9" i="67" s="1"/>
  <c r="F10" i="67" s="1"/>
  <c r="F11" i="67" s="1"/>
  <c r="V11" i="67" s="1"/>
  <c r="P8" i="67"/>
  <c r="E9" i="67" s="1"/>
  <c r="E10" i="67" s="1"/>
  <c r="E11" i="67" s="1"/>
  <c r="U11" i="67" s="1"/>
  <c r="O8" i="67"/>
  <c r="C9" i="67" s="1"/>
  <c r="C10" i="67" s="1"/>
  <c r="C11" i="67" s="1"/>
  <c r="T11" i="67" s="1"/>
  <c r="N8" i="67"/>
  <c r="B9" i="67" s="1"/>
  <c r="B10" i="67" s="1"/>
  <c r="B11" i="67" s="1"/>
  <c r="S11" i="67" s="1"/>
  <c r="D9" i="67" l="1"/>
  <c r="D11" i="67"/>
  <c r="D13" i="67"/>
  <c r="D15" i="67"/>
  <c r="D17" i="67"/>
  <c r="D19" i="67"/>
  <c r="D21" i="67"/>
  <c r="D23" i="67"/>
  <c r="D25" i="67"/>
  <c r="D29" i="67"/>
  <c r="D31" i="67"/>
  <c r="D33" i="67"/>
  <c r="D35" i="67"/>
  <c r="D37" i="67"/>
  <c r="D39" i="67"/>
  <c r="D41" i="67"/>
  <c r="D43" i="67"/>
  <c r="D45" i="67"/>
  <c r="D47" i="67"/>
  <c r="D51" i="67"/>
  <c r="D55" i="67"/>
  <c r="D59" i="67"/>
  <c r="D10" i="67"/>
  <c r="D14" i="67"/>
  <c r="D18" i="67"/>
  <c r="D22" i="67"/>
  <c r="D30" i="67"/>
  <c r="D34" i="67"/>
  <c r="D38" i="67"/>
  <c r="D42" i="67"/>
  <c r="D46" i="67"/>
  <c r="N47" i="67"/>
  <c r="P47" i="67"/>
  <c r="O47" i="67"/>
  <c r="Q47" i="67"/>
  <c r="Y62" i="66"/>
  <c r="Y63" i="66"/>
  <c r="A70" i="66"/>
  <c r="H6" i="59" l="1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J18" i="66" l="1"/>
  <c r="G18" i="66"/>
  <c r="K18" i="66"/>
  <c r="H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J10" i="66"/>
  <c r="G10" i="66"/>
  <c r="J9" i="66"/>
  <c r="G9" i="66"/>
  <c r="J8" i="66"/>
  <c r="G8" i="66"/>
  <c r="G2" i="66" s="1"/>
  <c r="N20" i="43" s="1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L19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J2" i="66" l="1"/>
  <c r="N23" i="43" s="1"/>
  <c r="H2" i="66"/>
  <c r="N21" i="43" s="1"/>
  <c r="K2" i="66"/>
  <c r="N24" i="43" s="1"/>
  <c r="I9" i="66"/>
  <c r="L17" i="66"/>
  <c r="L2" i="66" s="1"/>
  <c r="L18" i="66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2" i="66" s="1"/>
  <c r="N22" i="43" s="1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C26" i="63" l="1"/>
  <c r="O18" i="66"/>
  <c r="O19" i="66"/>
  <c r="O17" i="66"/>
  <c r="O2" i="66" s="1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P19" i="66" s="1"/>
  <c r="W65" i="66"/>
  <c r="F65" i="66" s="1"/>
  <c r="P65" i="66" s="1"/>
  <c r="U64" i="66"/>
  <c r="C64" i="66" s="1"/>
  <c r="U65" i="66"/>
  <c r="C65" i="66" s="1"/>
  <c r="C18" i="64"/>
  <c r="C29" i="63" l="1"/>
  <c r="M19" i="66"/>
  <c r="M18" i="66"/>
  <c r="M17" i="66"/>
  <c r="M2" i="66" s="1"/>
  <c r="P17" i="66"/>
  <c r="P2" i="66" s="1"/>
  <c r="P18" i="66"/>
  <c r="D65" i="66"/>
  <c r="N65" i="66" s="1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N61" i="66" s="1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G13" i="9"/>
  <c r="C13" i="9"/>
  <c r="C11" i="9"/>
  <c r="G10" i="9"/>
  <c r="G9" i="9"/>
  <c r="G8" i="9"/>
  <c r="C27" i="63" l="1"/>
  <c r="N19" i="66"/>
  <c r="N17" i="66"/>
  <c r="N2" i="66" s="1"/>
  <c r="N18" i="66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C28" i="63" l="1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E4" i="65"/>
  <c r="G4" i="65"/>
  <c r="D5" i="65"/>
  <c r="D4" i="65"/>
  <c r="G6" i="65"/>
  <c r="E8" i="65"/>
  <c r="E7" i="65"/>
  <c r="H7" i="65"/>
  <c r="D8" i="65"/>
  <c r="H5" i="65"/>
  <c r="G7" i="65"/>
  <c r="D7" i="65"/>
  <c r="D6" i="65"/>
  <c r="G8" i="65"/>
  <c r="G5" i="65"/>
  <c r="E6" i="65"/>
  <c r="H6" i="65"/>
  <c r="E5" i="65"/>
  <c r="H8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E20" i="43"/>
  <c r="G2" i="65"/>
  <c r="G1" i="65"/>
  <c r="G3" i="65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F59" i="43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I56" i="39" l="1"/>
  <c r="H58" i="39"/>
  <c r="C10" i="63"/>
  <c r="H5" i="44"/>
  <c r="H6" i="44"/>
  <c r="M1" i="60"/>
  <c r="C7" i="63" s="1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C30" i="64"/>
  <c r="C29" i="64" s="1"/>
  <c r="N56" i="39"/>
  <c r="M58" i="39"/>
  <c r="F20" i="59"/>
  <c r="F22" i="59" s="1"/>
  <c r="AC29" i="39"/>
  <c r="W29" i="39"/>
  <c r="E27" i="64" l="1"/>
  <c r="B2" i="64" s="1"/>
  <c r="B3" i="64"/>
  <c r="E30" i="64"/>
  <c r="E28" i="64"/>
  <c r="O56" i="39"/>
  <c r="O58" i="39" s="1"/>
  <c r="N58" i="39"/>
  <c r="E29" i="64"/>
  <c r="F114" i="43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 s="1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 s="1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AA31" i="39" s="1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B72" i="39"/>
  <c r="F13" i="39" s="1"/>
  <c r="AA13" i="39" s="1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H31" i="39"/>
  <c r="AB31" i="39" s="1"/>
  <c r="E89" i="39"/>
  <c r="F89" i="39" s="1"/>
  <c r="G89" i="39" s="1"/>
  <c r="H42" i="39"/>
  <c r="AB42" i="39" s="1"/>
  <c r="J34" i="39"/>
  <c r="AC34" i="39" s="1"/>
  <c r="H27" i="39"/>
  <c r="AB27" i="39" s="1"/>
  <c r="C25" i="39"/>
  <c r="H11" i="39"/>
  <c r="AB11" i="39" s="1"/>
  <c r="F43" i="39"/>
  <c r="AA43" i="39" s="1"/>
  <c r="H43" i="39"/>
  <c r="U43" i="39" s="1"/>
  <c r="H14" i="39"/>
  <c r="AB14" i="39" s="1"/>
  <c r="J13" i="39"/>
  <c r="W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L102" i="43"/>
  <c r="L108" i="43" s="1"/>
  <c r="J102" i="43"/>
  <c r="J108" i="43" s="1"/>
  <c r="H102" i="43"/>
  <c r="F102" i="43"/>
  <c r="D102" i="43"/>
  <c r="D108" i="43" s="1"/>
  <c r="AA10" i="39"/>
  <c r="AB10" i="39"/>
  <c r="AC44" i="39"/>
  <c r="J12" i="39"/>
  <c r="AC12" i="39" s="1"/>
  <c r="F12" i="39"/>
  <c r="S12" i="39" s="1"/>
  <c r="H35" i="39"/>
  <c r="U35" i="39" s="1"/>
  <c r="N10" i="43"/>
  <c r="N6" i="43"/>
  <c r="N2" i="43"/>
  <c r="M11" i="43"/>
  <c r="M7" i="43"/>
  <c r="M3" i="43"/>
  <c r="N1" i="43"/>
  <c r="N7" i="43"/>
  <c r="M10" i="43"/>
  <c r="M2" i="43"/>
  <c r="M8" i="43"/>
  <c r="H15" i="44"/>
  <c r="M4" i="43"/>
  <c r="N9" i="43"/>
  <c r="H62" i="43"/>
  <c r="AA14" i="39" l="1"/>
  <c r="S14" i="39"/>
  <c r="J35" i="39"/>
  <c r="AC35" i="39" s="1"/>
  <c r="U8" i="39"/>
  <c r="N110" i="43"/>
  <c r="H13" i="39"/>
  <c r="U13" i="39" s="1"/>
  <c r="J14" i="39"/>
  <c r="AC14" i="39" s="1"/>
  <c r="J31" i="39"/>
  <c r="W31" i="39" s="1"/>
  <c r="E81" i="43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 s="1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S23" i="39"/>
  <c r="AB19" i="39"/>
  <c r="U17" i="39"/>
  <c r="AC15" i="39"/>
  <c r="AA12" i="39"/>
  <c r="AB12" i="39"/>
  <c r="W12" i="39"/>
  <c r="U11" i="39"/>
  <c r="S11" i="39"/>
  <c r="W11" i="39"/>
  <c r="E105" i="43"/>
  <c r="N103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87" i="43"/>
  <c r="H86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F70" i="43" s="1"/>
  <c r="N11" i="43"/>
  <c r="C6" i="43"/>
  <c r="M5" i="43"/>
  <c r="M9" i="43"/>
  <c r="N4" i="43"/>
  <c r="N8" i="43"/>
  <c r="F48" i="43" s="1"/>
  <c r="N12" i="43"/>
  <c r="H14" i="44"/>
  <c r="H13" i="44"/>
  <c r="H16" i="44"/>
  <c r="H11" i="44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AC17" i="39"/>
  <c r="U42" i="39"/>
  <c r="AC31" i="39"/>
  <c r="H72" i="43" l="1"/>
  <c r="H73" i="43"/>
  <c r="H77" i="43"/>
  <c r="H71" i="43"/>
  <c r="H70" i="43"/>
  <c r="H74" i="43"/>
  <c r="H78" i="43"/>
  <c r="H76" i="43"/>
  <c r="H75" i="43"/>
  <c r="W27" i="39"/>
  <c r="AB15" i="39"/>
  <c r="W21" i="39"/>
  <c r="W23" i="39"/>
  <c r="W14" i="39"/>
  <c r="W32" i="39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5" i="43" l="1"/>
  <c r="E35" i="43" s="1"/>
  <c r="C33" i="43"/>
  <c r="E33" i="43" s="1"/>
  <c r="C36" i="43"/>
  <c r="E36" i="43" s="1"/>
  <c r="C34" i="43"/>
  <c r="G34" i="43" s="1"/>
  <c r="I34" i="43" s="1"/>
  <c r="C37" i="43"/>
  <c r="E37" i="43" s="1"/>
  <c r="C39" i="43"/>
  <c r="E39" i="43" s="1"/>
  <c r="C38" i="43"/>
  <c r="E38" i="43" s="1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G37" i="43" l="1"/>
  <c r="I37" i="43" s="1"/>
  <c r="C30" i="43"/>
  <c r="E34" i="43"/>
  <c r="G35" i="43"/>
  <c r="I35" i="43" s="1"/>
  <c r="G33" i="43"/>
  <c r="I33" i="43" s="1"/>
  <c r="G38" i="43"/>
  <c r="I38" i="43" s="1"/>
  <c r="E29" i="43"/>
  <c r="C26" i="43" s="1"/>
  <c r="B2" i="43" s="1"/>
  <c r="G39" i="43"/>
  <c r="I39" i="43" s="1"/>
  <c r="G36" i="43"/>
  <c r="I36" i="43" s="1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B80" i="63"/>
  <c r="B83" i="63" s="1"/>
  <c r="C21" i="63"/>
  <c r="E21" i="63" s="1"/>
  <c r="E12" i="63"/>
  <c r="C20" i="63"/>
  <c r="B4" i="63" s="1"/>
  <c r="F7" i="59" s="1"/>
  <c r="E20" i="63" l="1"/>
  <c r="B85" i="63"/>
  <c r="F12" i="63"/>
  <c r="D13" i="63" s="1"/>
  <c r="C11" i="63" s="1"/>
  <c r="B84" i="63"/>
  <c r="B81" i="63" s="1"/>
  <c r="D14" i="63" s="1"/>
  <c r="B82" i="63"/>
  <c r="C19" i="63" l="1"/>
  <c r="E19" i="63" s="1"/>
  <c r="C18" i="63"/>
  <c r="D12" i="63"/>
  <c r="B3" i="63" l="1"/>
  <c r="F6" i="59" s="1"/>
  <c r="C22" i="63"/>
  <c r="B5" i="63" s="1"/>
  <c r="E18" i="63"/>
  <c r="F5" i="59" l="1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<sst xmlns="http://schemas.openxmlformats.org/spreadsheetml/2006/main" count="3929" uniqueCount="1774">
  <si>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</si>
  <si>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</si>
  <si>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</si>
  <si>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</si>
  <si>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</si>
  <si>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</si>
  <si>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</si>
  <si>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</si>
  <si>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</si>
  <si>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</si>
  <si>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</si>
  <si>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</si>
  <si>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</si>
  <si>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</si>
  <si>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</si>
  <si>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</si>
  <si>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</si>
  <si>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</si>
  <si>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</si>
  <si>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</si>
  <si>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</si>
  <si>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</si>
  <si>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</si>
  <si>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</si>
  <si>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</si>
  <si>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</si>
  <si>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</si>
  <si>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</si>
  <si>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</si>
  <si>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</si>
  <si>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</si>
  <si>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</si>
  <si>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</si>
  <si>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</si>
  <si>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</si>
  <si>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</si>
  <si>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</si>
  <si>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</si>
  <si>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</si>
  <si>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</si>
  <si>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</si>
  <si>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</si>
  <si>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</si>
  <si>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</si>
  <si>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</si>
  <si>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</si>
  <si>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</si>
  <si>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</si>
  <si>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</si>
  <si>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</si>
  <si>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</si>
  <si>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</si>
  <si>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</si>
  <si>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</si>
  <si>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</si>
  <si>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</si>
  <si>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</si>
  <si>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</si>
  <si>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</si>
  <si>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</si>
  <si>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</si>
  <si>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</si>
  <si>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</si>
  <si>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</si>
  <si>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</si>
  <si>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</si>
  <si>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</si>
  <si>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</si>
  <si>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</si>
  <si>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</si>
  <si>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</si>
  <si>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</si>
  <si>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</si>
  <si>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</si>
  <si>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</si>
  <si>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</si>
  <si>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</si>
  <si>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</si>
  <si>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</si>
  <si>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</si>
  <si>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</si>
  <si>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</si>
  <si>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</si>
  <si>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</si>
  <si>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</si>
  <si>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</si>
  <si>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</si>
  <si>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</si>
  <si>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</si>
  <si>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</si>
  <si>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</si>
  <si>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</si>
  <si>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</si>
  <si>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</si>
  <si>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</si>
  <si>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</si>
  <si>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</si>
  <si>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</si>
  <si>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</si>
  <si>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</si>
  <si>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</si>
  <si>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</si>
  <si>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</si>
  <si>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</si>
  <si>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</si>
  <si>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</si>
  <si>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</si>
  <si>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</si>
  <si>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</si>
  <si>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</si>
  <si>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</si>
  <si>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</si>
  <si>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</si>
  <si>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</si>
  <si>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</si>
  <si>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</si>
  <si>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</si>
  <si>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</si>
  <si>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</si>
  <si>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</si>
  <si>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</si>
  <si>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</si>
  <si>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</si>
  <si>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</si>
  <si>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</si>
  <si>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</si>
  <si>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</si>
  <si>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</si>
  <si>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</si>
  <si>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</si>
  <si>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</si>
  <si>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</si>
  <si>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</si>
  <si>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</si>
  <si>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</si>
  <si>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</si>
  <si>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</si>
  <si>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</si>
  <si>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</si>
  <si>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</si>
  <si>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</si>
  <si>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</si>
  <si>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</si>
  <si>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</si>
  <si>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</si>
  <si>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</si>
  <si>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</si>
  <si>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</si>
  <si>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</si>
  <si>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</si>
  <si>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</si>
  <si>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</si>
  <si>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</si>
  <si>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</si>
  <si>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</si>
  <si>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</si>
  <si>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</si>
  <si>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</si>
  <si>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</si>
  <si>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</si>
  <si>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</si>
  <si>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</si>
  <si>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</si>
  <si>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</si>
  <si>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</si>
  <si>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</si>
  <si>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</si>
  <si>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</si>
  <si>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</si>
  <si>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</si>
  <si>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</si>
  <si>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</si>
  <si>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</si>
  <si>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</si>
  <si>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</si>
  <si>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</si>
  <si>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</si>
  <si>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</si>
  <si>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</si>
  <si>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</si>
  <si>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</si>
  <si>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</si>
  <si>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</si>
  <si>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</si>
  <si>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</si>
  <si>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</si>
  <si>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</si>
  <si>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</si>
  <si>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</si>
  <si>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</si>
  <si>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</si>
  <si>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</si>
  <si>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</si>
  <si>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</si>
  <si>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</si>
  <si>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</si>
  <si>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</si>
  <si>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</si>
  <si>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</si>
  <si>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</si>
  <si>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</si>
  <si>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</si>
  <si>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</si>
  <si>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</si>
  <si>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</si>
  <si>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</si>
  <si>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</si>
  <si>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</si>
  <si>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</si>
  <si>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</si>
  <si>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</si>
  <si>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</si>
  <si>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</si>
  <si>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</si>
  <si>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</si>
  <si>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</si>
  <si>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</si>
  <si>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</si>
  <si>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</si>
  <si>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</si>
  <si>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</si>
  <si>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</si>
  <si>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</si>
  <si>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</si>
  <si>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</si>
  <si>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</si>
  <si>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</si>
  <si>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</si>
  <si>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</si>
  <si>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</si>
  <si>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</si>
  <si>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</si>
  <si>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</si>
  <si>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</si>
  <si>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</si>
  <si>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</si>
  <si>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</si>
  <si>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</si>
  <si>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</si>
  <si>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</si>
  <si>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</si>
  <si>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</si>
  <si>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</si>
  <si>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</si>
  <si>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</si>
  <si>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</si>
  <si>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</si>
  <si>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</si>
  <si>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</si>
  <si>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</si>
  <si>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</si>
  <si>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</si>
  <si>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</si>
  <si>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</si>
  <si>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</si>
  <si>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</si>
  <si>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</si>
  <si>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</si>
  <si>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</si>
  <si>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</si>
  <si>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</si>
  <si>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</si>
  <si>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</si>
  <si>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</si>
  <si>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</si>
  <si>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</si>
  <si>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</si>
  <si>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</si>
  <si>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</si>
  <si>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</si>
  <si>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</si>
  <si>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</si>
  <si>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</si>
  <si>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</si>
  <si>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</si>
  <si>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</si>
  <si>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</si>
  <si>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</si>
  <si>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</si>
  <si>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</si>
  <si>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</si>
  <si>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</si>
  <si>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</si>
  <si>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</si>
  <si>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</si>
  <si>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</si>
  <si>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</si>
  <si>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</si>
  <si>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</si>
  <si>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</si>
  <si>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</si>
  <si>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</si>
  <si>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</si>
  <si>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</si>
  <si>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</si>
  <si>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</si>
  <si>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</si>
  <si>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</si>
  <si>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</si>
  <si>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</si>
  <si>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</si>
  <si>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</si>
  <si>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</si>
  <si>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</si>
  <si>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</si>
  <si>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</si>
  <si>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</si>
  <si>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</si>
  <si>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</si>
  <si>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</si>
  <si>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</si>
  <si>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</si>
  <si>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</si>
  <si>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</si>
  <si>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</si>
  <si>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</si>
  <si>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</si>
  <si>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</si>
  <si>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</si>
  <si>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</si>
  <si>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</si>
  <si>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</si>
  <si>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</si>
  <si>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</si>
  <si>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</si>
  <si>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</si>
  <si>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</si>
  <si>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</si>
  <si>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</si>
  <si>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</si>
  <si>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</si>
  <si>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</si>
  <si>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</si>
  <si>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</si>
  <si>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</si>
  <si>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</si>
  <si>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</si>
  <si>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</si>
  <si>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</si>
  <si>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</si>
  <si>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</si>
  <si>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</si>
  <si>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</si>
  <si>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</si>
  <si>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</si>
  <si>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</si>
  <si>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</si>
  <si>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</si>
  <si>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</si>
  <si>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</si>
  <si>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</si>
  <si>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</si>
  <si>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</si>
  <si>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</si>
  <si>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</si>
  <si>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</si>
  <si>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</si>
  <si>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</si>
  <si>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</si>
  <si>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</si>
  <si>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</si>
  <si>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</si>
  <si>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</si>
  <si>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</si>
  <si>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</si>
  <si>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</si>
  <si>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</si>
  <si>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</si>
  <si>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</si>
  <si>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</si>
  <si>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</si>
  <si>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</si>
  <si>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</si>
  <si>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</si>
  <si>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</si>
  <si>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</si>
  <si>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</si>
  <si>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</si>
  <si>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</si>
  <si>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</si>
  <si>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</si>
  <si>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</si>
  <si>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</si>
  <si>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</si>
  <si>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</si>
  <si>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</si>
  <si>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</si>
  <si>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</si>
  <si>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</si>
  <si>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</si>
  <si>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</si>
  <si>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</si>
  <si>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</si>
  <si>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</si>
  <si>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</si>
  <si>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</si>
  <si>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</si>
  <si>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</si>
  <si>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</si>
  <si>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</si>
  <si>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</si>
  <si>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</si>
  <si>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</si>
  <si>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</si>
  <si>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</si>
  <si>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</si>
  <si>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</si>
  <si>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</si>
  <si>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</si>
  <si>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</si>
  <si>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</si>
  <si>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</si>
  <si>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</si>
  <si>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</si>
  <si>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</si>
  <si>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</si>
  <si>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</si>
  <si>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</si>
  <si>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</si>
  <si>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</si>
  <si>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</si>
  <si>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</si>
  <si>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</si>
  <si>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</si>
  <si>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</si>
  <si>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</si>
  <si>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</si>
  <si>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</si>
  <si>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</si>
  <si>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</si>
  <si>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</si>
  <si>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</si>
  <si>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</si>
  <si>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</si>
  <si>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</si>
  <si>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</si>
  <si>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</si>
  <si>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</si>
  <si>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</si>
  <si>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</si>
  <si>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</si>
  <si>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</si>
  <si>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</si>
  <si>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</si>
  <si>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</si>
  <si>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</si>
  <si>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</si>
  <si>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</si>
  <si>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</si>
  <si>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</si>
  <si>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</si>
  <si>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</si>
  <si>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</si>
  <si>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</si>
  <si>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</si>
  <si>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</si>
  <si>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</si>
  <si>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</si>
  <si>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</si>
  <si>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</si>
  <si>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</si>
  <si>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</si>
  <si>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</si>
  <si>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</si>
  <si>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</si>
  <si>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</si>
  <si>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</si>
  <si>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</si>
  <si>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</si>
  <si>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</si>
  <si>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</si>
  <si>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</si>
  <si>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</si>
  <si>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</si>
  <si>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</si>
  <si>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</si>
  <si>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</si>
  <si>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</si>
  <si>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</si>
  <si>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</si>
  <si>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</si>
  <si>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</si>
  <si>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</si>
  <si>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</si>
  <si>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</si>
  <si>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</si>
  <si>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</si>
  <si>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</si>
  <si>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</si>
  <si>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</si>
  <si>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</si>
  <si>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</si>
  <si>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</si>
  <si>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</si>
  <si>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</si>
  <si>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</si>
  <si>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</si>
  <si>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</si>
  <si>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</si>
  <si>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</si>
  <si>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</si>
  <si>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</si>
  <si>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</si>
  <si>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</si>
  <si>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</si>
  <si>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</si>
  <si>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</si>
  <si>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</si>
  <si>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</si>
  <si>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</si>
  <si>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</si>
  <si>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</si>
  <si>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</si>
  <si>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</si>
  <si>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</si>
  <si>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</si>
  <si>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</si>
  <si>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</si>
  <si>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</si>
  <si>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</si>
  <si>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</si>
  <si>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</si>
  <si>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</si>
  <si>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</si>
  <si>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</si>
  <si>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</si>
  <si>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</si>
  <si>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</si>
  <si>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</si>
  <si>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</si>
  <si>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</si>
  <si>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</si>
  <si>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</si>
  <si>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</si>
  <si>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</si>
  <si>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</si>
  <si>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</si>
  <si>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</si>
  <si>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</si>
  <si>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</si>
  <si>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</si>
  <si>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</si>
  <si>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</si>
  <si>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</si>
  <si>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</si>
  <si>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</si>
  <si>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</si>
  <si>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</si>
  <si>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</si>
  <si>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</si>
  <si>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</si>
  <si>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</si>
  <si>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</si>
  <si>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</si>
  <si>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</si>
  <si>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</si>
  <si>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</si>
  <si>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</si>
  <si>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</si>
  <si>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</si>
  <si>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</si>
  <si>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</si>
  <si>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</si>
  <si>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</si>
  <si>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</si>
  <si>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</si>
  <si>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</si>
  <si>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</si>
  <si>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</si>
  <si>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</si>
  <si>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</si>
  <si>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</si>
  <si>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</si>
  <si>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</si>
  <si>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</si>
  <si>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</si>
  <si>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</si>
  <si>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</si>
  <si>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</si>
  <si>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</si>
  <si>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</si>
  <si>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</si>
  <si>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</si>
  <si>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</si>
  <si>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</si>
  <si>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</si>
  <si>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</si>
  <si>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</si>
  <si>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</si>
  <si>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</si>
  <si>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</si>
  <si>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</si>
  <si>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</si>
  <si>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</si>
  <si>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</si>
  <si>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</si>
  <si>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</si>
  <si>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</si>
  <si>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</si>
  <si>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</si>
  <si>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</si>
  <si>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</si>
  <si>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</si>
  <si>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</si>
  <si>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</si>
  <si>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</si>
  <si>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</si>
  <si>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</si>
  <si>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</si>
  <si>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</si>
  <si>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</si>
  <si>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</si>
  <si>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</si>
  <si>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</si>
  <si>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</si>
  <si>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</si>
  <si>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</si>
  <si>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</si>
  <si>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</si>
  <si>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</si>
  <si>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</si>
  <si>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</si>
  <si>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</si>
  <si>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</si>
  <si>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</si>
  <si>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</si>
  <si>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</si>
  <si>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</si>
  <si>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</si>
  <si>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</si>
  <si>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</si>
  <si>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</si>
  <si>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</si>
  <si>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</si>
  <si>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</si>
  <si>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</si>
  <si>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</si>
  <si>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</si>
  <si>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</si>
  <si>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</si>
  <si>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</si>
  <si>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</si>
  <si>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</si>
  <si>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</si>
  <si>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</si>
  <si>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</si>
  <si>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</si>
  <si>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</si>
  <si>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</si>
  <si>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</si>
  <si>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</si>
  <si>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</si>
  <si>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</si>
  <si>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</si>
  <si>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</si>
  <si>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</si>
  <si>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</si>
  <si>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</si>
  <si>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</si>
  <si>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</si>
  <si>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</si>
  <si>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</si>
  <si>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</si>
  <si>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</si>
  <si>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</si>
  <si>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</si>
  <si>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</si>
  <si>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</si>
  <si>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</si>
  <si>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</si>
  <si>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</si>
  <si>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</si>
  <si>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</si>
  <si>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</si>
  <si>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</si>
  <si>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</si>
  <si>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</si>
  <si>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</si>
  <si>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</si>
  <si>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</si>
  <si>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</si>
  <si>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</si>
  <si>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</si>
  <si>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</si>
  <si>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</si>
  <si>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</si>
  <si>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</si>
  <si>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</si>
  <si>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</si>
  <si>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</si>
  <si>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</si>
  <si>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</si>
  <si>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</si>
  <si>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</si>
  <si>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</si>
  <si>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</si>
  <si>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</si>
  <si>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</si>
  <si>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</si>
  <si>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</si>
  <si>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</si>
  <si>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</si>
  <si>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</si>
  <si>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</si>
  <si>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</si>
  <si>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</si>
  <si>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</si>
  <si>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</si>
  <si>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</si>
  <si>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</si>
  <si>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</si>
  <si>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</si>
  <si>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</si>
  <si>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</si>
  <si>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</si>
  <si>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</si>
  <si>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</si>
  <si>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</si>
  <si>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</si>
  <si>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</si>
  <si>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</si>
  <si>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</si>
  <si>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</si>
  <si>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</si>
  <si>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</si>
  <si>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</si>
  <si>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</si>
  <si>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</si>
  <si>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</si>
  <si>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</si>
  <si>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</si>
  <si>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</si>
  <si>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</si>
  <si>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</si>
  <si>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</si>
  <si>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</si>
  <si>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</si>
  <si>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</si>
  <si>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</si>
  <si>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</si>
  <si>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</si>
  <si>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</si>
  <si>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</si>
  <si>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</si>
  <si>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</si>
  <si>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</si>
  <si>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</si>
  <si>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</si>
  <si>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</si>
  <si>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</si>
  <si>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</si>
  <si>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</si>
  <si>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</si>
  <si>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</si>
  <si>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</si>
  <si>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</si>
  <si>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</si>
  <si>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</si>
  <si>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</si>
  <si>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</si>
  <si>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</si>
  <si>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</si>
  <si>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</si>
  <si>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</si>
  <si>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</si>
  <si>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</si>
  <si>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</si>
  <si>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</si>
  <si>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</si>
  <si>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</si>
  <si>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</si>
  <si>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</si>
  <si>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</si>
  <si>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</si>
  <si>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</si>
  <si>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</si>
  <si>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</si>
  <si>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</si>
  <si>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</si>
  <si>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</si>
  <si>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</si>
  <si>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</si>
  <si>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</si>
  <si>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</si>
  <si>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</si>
  <si>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</si>
  <si>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</si>
  <si>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</si>
  <si>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</si>
  <si>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</si>
  <si>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</si>
  <si>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</si>
  <si>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</si>
  <si>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</si>
  <si>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</si>
  <si>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</si>
  <si>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</si>
  <si>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</si>
  <si>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</si>
  <si>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</si>
  <si>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</si>
  <si>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</si>
  <si>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</si>
  <si>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</si>
  <si>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</si>
  <si>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</si>
  <si>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</si>
  <si>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</si>
  <si>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</si>
  <si>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</si>
  <si>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</si>
  <si>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</si>
  <si>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</si>
  <si>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</si>
  <si>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</si>
  <si>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</si>
  <si>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</si>
  <si>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</si>
  <si>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</si>
  <si>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</si>
  <si>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</si>
  <si>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</si>
  <si>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</si>
  <si>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</si>
  <si>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</si>
  <si>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</si>
  <si>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</si>
  <si>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</si>
  <si>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</si>
  <si>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</si>
  <si>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</si>
  <si>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</si>
  <si>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</si>
  <si>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</si>
  <si>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</si>
  <si>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</si>
  <si>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</si>
  <si>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</si>
  <si>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</si>
  <si>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</si>
  <si>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</si>
  <si>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</si>
  <si>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</si>
  <si>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</si>
  <si>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</si>
  <si>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</si>
  <si>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</si>
  <si>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</si>
  <si>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</si>
  <si>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</si>
  <si>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</si>
  <si>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</si>
  <si>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</si>
  <si>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</si>
  <si>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</si>
  <si>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</si>
  <si>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</si>
  <si>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</si>
  <si>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</si>
  <si>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</si>
  <si>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</si>
  <si>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</si>
  <si>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</si>
  <si>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</si>
  <si>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</si>
  <si>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</si>
  <si>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</si>
  <si>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</si>
  <si>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</si>
  <si>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</si>
  <si>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</si>
  <si>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</si>
  <si>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</si>
  <si>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</si>
  <si>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</si>
  <si>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</si>
  <si>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</si>
  <si>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</si>
  <si>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</si>
  <si>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</si>
  <si>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</si>
  <si>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</si>
  <si>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</si>
  <si>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</si>
  <si>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</si>
  <si>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</si>
  <si>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</si>
  <si>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</si>
  <si>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</si>
  <si>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</si>
  <si>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</si>
  <si>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</si>
  <si>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</si>
  <si>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</si>
  <si>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</si>
  <si>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</si>
  <si>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</si>
  <si>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</si>
  <si>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</si>
  <si>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</si>
  <si>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</si>
  <si>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</si>
  <si>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</si>
  <si>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</si>
  <si>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</si>
  <si>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</si>
  <si>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</si>
  <si>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</si>
  <si>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</si>
  <si>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</si>
  <si>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</si>
  <si>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</si>
  <si>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</si>
  <si>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</si>
  <si>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</si>
  <si>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</si>
  <si>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</si>
  <si>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</si>
  <si>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</si>
  <si>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</si>
  <si>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</si>
  <si>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</si>
  <si>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</si>
  <si>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</si>
  <si>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</si>
  <si>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</si>
  <si>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</si>
  <si>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</si>
  <si>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</si>
  <si>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</si>
  <si>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</si>
  <si>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</si>
  <si>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</si>
  <si>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</si>
  <si>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</si>
  <si>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</si>
  <si>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</si>
  <si>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</si>
  <si>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</si>
  <si>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</si>
  <si>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</si>
  <si>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</si>
  <si>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</si>
  <si>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</si>
  <si>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</si>
  <si>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</si>
  <si>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</si>
  <si>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</si>
  <si>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</si>
  <si>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</si>
  <si>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</si>
  <si>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</si>
  <si>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</si>
  <si>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</si>
  <si>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</si>
  <si>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</si>
  <si>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</si>
  <si>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</si>
  <si>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</si>
  <si>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</si>
  <si>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</si>
  <si>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</si>
  <si>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</si>
  <si>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</si>
  <si>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</si>
  <si>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</si>
  <si>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</si>
  <si>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</si>
  <si>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</si>
  <si>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</si>
  <si>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</si>
  <si>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</si>
  <si>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</si>
  <si>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</si>
  <si>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</si>
  <si>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</si>
  <si>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</si>
  <si>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</si>
  <si>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</si>
  <si>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</si>
  <si>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</si>
  <si>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</si>
  <si>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</si>
  <si>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</si>
  <si>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</si>
  <si>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</si>
  <si>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</si>
  <si>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</si>
  <si>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</si>
  <si>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</si>
  <si>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</si>
  <si>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</si>
  <si>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</si>
  <si>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</si>
  <si>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</si>
  <si>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</si>
  <si>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</si>
  <si>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</si>
  <si>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</si>
  <si>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</si>
  <si>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</si>
  <si>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</si>
  <si>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</si>
  <si>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</si>
  <si>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</si>
  <si>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</si>
  <si>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</si>
  <si>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</si>
  <si>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</si>
  <si>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</si>
  <si>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</si>
  <si>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</si>
  <si>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</si>
  <si>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</si>
  <si>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</si>
  <si>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</si>
  <si>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</si>
  <si>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</si>
  <si>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</si>
  <si>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</si>
  <si>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</si>
  <si>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</si>
  <si>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</si>
  <si>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</si>
  <si>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</si>
  <si>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</si>
  <si>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</si>
  <si>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</si>
  <si>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</si>
  <si>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</si>
  <si>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</si>
  <si>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</si>
  <si>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</si>
  <si>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</si>
  <si>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</si>
  <si>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</si>
  <si>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</si>
  <si>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</si>
  <si>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</si>
  <si>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</si>
  <si>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</si>
  <si>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</si>
  <si>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</si>
  <si>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</si>
  <si>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</si>
  <si>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</si>
  <si>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</si>
  <si>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</si>
  <si>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</si>
  <si>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</si>
  <si>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</si>
  <si>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</si>
  <si>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</si>
  <si>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</si>
  <si>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</si>
  <si>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</si>
  <si>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</si>
  <si>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</si>
  <si>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</si>
  <si>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</si>
  <si>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</si>
  <si>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</si>
  <si>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</si>
  <si>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</si>
  <si>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</si>
  <si>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</si>
  <si>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</si>
  <si>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</si>
  <si>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</si>
  <si>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</si>
  <si>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</si>
  <si>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</si>
  <si>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</si>
  <si>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</si>
  <si>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</si>
  <si>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</si>
  <si>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</si>
  <si>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</si>
  <si>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</si>
  <si>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</si>
  <si>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</si>
  <si>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</si>
  <si>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</si>
  <si>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</si>
  <si>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</si>
  <si>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</si>
  <si>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</si>
  <si>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</si>
  <si>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</si>
  <si>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</si>
  <si>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</si>
  <si>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</si>
  <si>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</si>
  <si>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</si>
  <si>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</si>
  <si>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</si>
  <si>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</si>
  <si>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</si>
  <si>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</si>
  <si>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</si>
  <si>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</si>
  <si>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</si>
  <si>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</si>
  <si>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</si>
  <si>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</si>
  <si>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</si>
  <si>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</si>
  <si>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</si>
  <si>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</si>
  <si>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</si>
  <si>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</si>
  <si>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</si>
  <si>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</si>
  <si>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</si>
  <si>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</si>
  <si>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</si>
  <si>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</si>
  <si>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</si>
  <si>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</si>
  <si>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</si>
  <si>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</si>
  <si>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</si>
  <si>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</si>
  <si>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</si>
  <si>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</si>
  <si>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</si>
  <si>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</si>
  <si>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</si>
  <si>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</si>
  <si>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</si>
  <si>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</si>
  <si>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</si>
  <si>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</si>
  <si>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</si>
  <si>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</si>
  <si>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</si>
  <si>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</si>
  <si>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</si>
  <si>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</si>
  <si>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</si>
  <si>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</si>
  <si>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</si>
  <si>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</si>
  <si>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</si>
  <si>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</si>
  <si>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</si>
  <si>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</si>
  <si>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</si>
  <si>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</si>
  <si>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</si>
  <si>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</si>
  <si>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</si>
  <si>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</si>
  <si>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</si>
  <si>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</si>
  <si>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</si>
  <si>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</si>
  <si>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</si>
  <si>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</si>
  <si>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</si>
  <si>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</si>
  <si>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</si>
  <si>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</si>
  <si>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</si>
  <si>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</si>
  <si>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</si>
  <si>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</si>
  <si>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</si>
  <si>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</si>
  <si>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</si>
  <si>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</si>
  <si>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</si>
  <si>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</si>
  <si>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</si>
  <si>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</si>
  <si>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</si>
  <si>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</si>
  <si>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</si>
  <si>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</si>
  <si>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</si>
  <si>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</si>
  <si>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</si>
  <si>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</si>
  <si>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</si>
  <si>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</si>
  <si>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</si>
  <si>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</si>
  <si>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</si>
  <si>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</si>
  <si>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</si>
  <si>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</si>
  <si>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</si>
  <si>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</si>
  <si>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</si>
  <si>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</si>
  <si>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</si>
  <si>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</si>
  <si>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</si>
  <si>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</si>
  <si>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</si>
  <si>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</si>
  <si>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</si>
  <si>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</si>
  <si>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</si>
  <si>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</si>
  <si>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</si>
  <si>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</si>
  <si>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</si>
  <si>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</si>
  <si>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</si>
  <si>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</si>
  <si>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</si>
  <si>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</si>
  <si>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</si>
  <si>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</si>
  <si>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</si>
  <si>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</si>
  <si>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</si>
  <si>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</si>
  <si>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</si>
  <si>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</si>
  <si>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</si>
  <si>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</si>
  <si>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</si>
  <si>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</si>
  <si>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</si>
  <si>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</si>
  <si>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</si>
  <si>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</si>
  <si>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</si>
  <si>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</si>
  <si>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</si>
  <si>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</si>
  <si>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</si>
  <si>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</si>
  <si>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</si>
  <si>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</si>
  <si>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</si>
  <si>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</si>
  <si>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</si>
  <si>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</si>
  <si>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</si>
  <si>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</si>
  <si>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</si>
  <si>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</si>
  <si>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</si>
  <si>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</si>
  <si>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</si>
  <si>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</si>
  <si>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</si>
  <si>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</si>
  <si>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</si>
  <si>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</si>
  <si>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</si>
  <si>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</si>
  <si>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</si>
  <si>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</si>
  <si>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</si>
  <si>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</si>
  <si>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</si>
  <si>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</si>
  <si>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</si>
  <si>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</si>
  <si>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</si>
  <si>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</si>
  <si>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</si>
  <si>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</si>
  <si>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</si>
  <si>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</si>
  <si>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</si>
  <si>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</si>
  <si>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</si>
  <si>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</si>
  <si>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</si>
  <si>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</si>
  <si>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</si>
  <si>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</si>
  <si>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</si>
  <si>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</si>
  <si>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</si>
  <si>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</si>
  <si>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</si>
  <si>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</si>
  <si>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</si>
  <si>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</si>
  <si>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</si>
  <si>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</si>
  <si>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</si>
  <si>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</si>
  <si>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</si>
  <si>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</si>
  <si>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</si>
  <si>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</si>
  <si>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</si>
  <si>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</si>
  <si>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</si>
  <si>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</si>
  <si>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</si>
  <si>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</si>
  <si>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</si>
  <si>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</si>
  <si>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</si>
  <si>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</si>
  <si>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</si>
  <si>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</si>
  <si>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</si>
  <si>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</si>
  <si>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</si>
  <si>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</si>
  <si>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</si>
  <si>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</si>
  <si>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</si>
  <si>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</si>
  <si>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</si>
  <si>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</si>
  <si>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</si>
  <si>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</si>
  <si>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</si>
  <si>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</si>
  <si>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</si>
  <si>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</si>
  <si>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</si>
  <si>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</si>
  <si>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</si>
  <si>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</si>
  <si>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</si>
  <si>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</si>
  <si>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</si>
  <si>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</si>
  <si>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</si>
  <si>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</si>
  <si>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</si>
  <si>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</si>
  <si>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</si>
  <si>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</si>
  <si>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</si>
  <si>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</si>
  <si>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</si>
  <si>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</si>
  <si>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</si>
  <si>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</si>
  <si>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</si>
  <si>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</si>
  <si>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</si>
  <si>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</si>
  <si>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</si>
  <si>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</si>
  <si>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</si>
  <si>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</si>
  <si>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</si>
  <si>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</si>
  <si>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</si>
  <si>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</si>
  <si>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</si>
  <si>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</si>
  <si>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</si>
  <si>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</si>
  <si>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</si>
  <si>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</si>
  <si>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</si>
  <si>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</si>
  <si>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</si>
  <si>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</si>
  <si>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</si>
  <si>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</si>
  <si>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</si>
  <si>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</si>
  <si>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</si>
  <si>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</si>
  <si>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</si>
  <si>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</si>
  <si>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</si>
  <si>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</si>
  <si>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</si>
  <si>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</si>
  <si>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</si>
  <si>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</si>
  <si>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</si>
  <si>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</si>
  <si>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</si>
  <si>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</si>
  <si>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</si>
  <si>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</si>
  <si>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</si>
  <si>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</si>
  <si>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</si>
  <si>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</si>
  <si>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</si>
  <si>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</si>
  <si>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</si>
  <si>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</si>
  <si>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</si>
  <si>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</si>
  <si>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</si>
  <si>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</si>
  <si>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</si>
  <si>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</si>
  <si>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</si>
  <si>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</si>
  <si>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</si>
  <si>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</si>
  <si>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</si>
  <si>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</si>
  <si>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</si>
  <si>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</si>
  <si>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</si>
  <si>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</si>
  <si>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</si>
  <si>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</si>
  <si>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</si>
  <si>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</si>
  <si>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</si>
  <si>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</si>
  <si>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</si>
  <si>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</si>
  <si>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</si>
  <si>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</si>
  <si>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</si>
  <si>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</si>
  <si>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</si>
  <si>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</si>
  <si>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</si>
  <si>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</si>
  <si>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</si>
  <si>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</si>
  <si>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</si>
  <si>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</si>
  <si>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</si>
  <si>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</si>
  <si>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</si>
  <si>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</si>
  <si>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</si>
  <si>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</si>
  <si>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</si>
  <si>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</si>
  <si>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</si>
  <si>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</si>
  <si>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</si>
  <si>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</si>
  <si>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</si>
  <si>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</si>
  <si>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</si>
  <si>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</si>
  <si>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</si>
  <si>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</si>
  <si>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</si>
  <si>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</si>
  <si>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</si>
  <si>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</si>
  <si>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</si>
  <si>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</si>
  <si>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</si>
  <si>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</si>
  <si>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</si>
  <si>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</si>
  <si>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</si>
  <si>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</si>
  <si>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</si>
  <si>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</si>
  <si>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</si>
  <si>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</si>
  <si>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</si>
  <si>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</si>
  <si>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</si>
  <si>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</si>
  <si>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</si>
  <si>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</si>
  <si>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</si>
  <si>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</si>
  <si>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</si>
  <si>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</si>
  <si>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</si>
  <si>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</si>
  <si>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</si>
  <si>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</si>
  <si>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</si>
  <si>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</si>
  <si>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</si>
  <si>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</si>
  <si>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</si>
  <si>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</si>
  <si>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</si>
  <si>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</si>
  <si>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</si>
  <si>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</si>
  <si>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</si>
  <si>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</si>
  <si>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</si>
  <si>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</si>
  <si>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</si>
  <si>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</si>
  <si>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</si>
  <si>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</si>
  <si>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</si>
  <si>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</si>
  <si>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</si>
  <si>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</si>
  <si>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</si>
  <si>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</si>
  <si>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</si>
  <si>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</si>
  <si>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</si>
  <si>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</si>
  <si>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</si>
  <si>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</si>
  <si>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</si>
  <si>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</si>
  <si>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</si>
  <si>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</si>
  <si>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</si>
  <si>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</si>
  <si>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</si>
  <si>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</si>
  <si>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</si>
  <si>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</si>
  <si>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</si>
  <si>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</si>
  <si>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</si>
  <si>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</si>
  <si>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</si>
  <si>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</si>
  <si>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</si>
  <si>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</si>
  <si>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</si>
  <si>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</si>
  <si>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</si>
  <si>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</si>
  <si>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</si>
  <si>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</si>
  <si>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</si>
  <si>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</si>
  <si>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</si>
  <si>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</si>
  <si>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</si>
  <si>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</si>
  <si>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</si>
  <si>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</si>
  <si>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</si>
  <si>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</si>
  <si>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</si>
  <si>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</si>
  <si>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</si>
  <si>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</si>
  <si>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</si>
  <si>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</si>
  <si>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</si>
  <si>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</si>
  <si>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</si>
  <si>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</si>
  <si>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</si>
  <si>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</si>
  <si>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</si>
  <si>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</si>
  <si>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</si>
  <si>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</si>
  <si>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</si>
  <si>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</si>
  <si>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</si>
  <si>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</si>
  <si>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</si>
  <si>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</si>
  <si>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</si>
  <si>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</si>
  <si>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</si>
  <si>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</si>
  <si>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</si>
  <si>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</si>
  <si>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</si>
  <si>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</si>
  <si>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</si>
  <si>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</si>
  <si>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</si>
  <si>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</si>
  <si>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</si>
  <si>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</si>
  <si>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</si>
  <si>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</si>
  <si>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</si>
  <si>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</si>
  <si>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</si>
  <si>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</si>
  <si>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</si>
  <si>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</si>
  <si>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</si>
  <si>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</si>
  <si>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</si>
  <si>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</si>
  <si>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</si>
  <si>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</si>
  <si>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</si>
  <si>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</si>
  <si>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</si>
  <si>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</si>
  <si>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</si>
  <si>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</si>
  <si>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</si>
  <si>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</si>
  <si>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</si>
  <si>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</si>
  <si>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</si>
  <si>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</si>
  <si>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</si>
  <si>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</si>
  <si>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</si>
  <si>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</si>
  <si>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</si>
  <si>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</si>
  <si>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</si>
  <si>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</si>
  <si>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</si>
  <si>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</si>
  <si>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</si>
  <si>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</si>
  <si>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</si>
  <si>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</si>
  <si>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</si>
  <si>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</si>
  <si>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</si>
  <si>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</si>
  <si>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</si>
  <si>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</si>
  <si>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</si>
  <si>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</si>
  <si>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</si>
  <si>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</si>
  <si>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</si>
  <si>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</si>
  <si>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</si>
  <si>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</si>
  <si>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</si>
  <si>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</si>
  <si>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</si>
  <si>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</si>
  <si>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</si>
  <si>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</si>
  <si>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</si>
  <si>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</si>
  <si>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</si>
  <si>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</si>
  <si>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</si>
  <si>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</si>
  <si>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</si>
  <si>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</si>
  <si>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</si>
  <si>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</si>
  <si>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</si>
  <si>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</si>
  <si>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</si>
  <si>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</si>
  <si>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</si>
  <si>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</si>
  <si>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</si>
  <si>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</si>
  <si>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</si>
  <si>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</si>
  <si>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</si>
  <si>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</si>
  <si>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</si>
  <si>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</si>
  <si>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</si>
  <si>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2017-4</t>
    <phoneticPr fontId="3" type="noConversion"/>
  </si>
  <si>
    <t>2017-3</t>
    <phoneticPr fontId="3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</si>
  <si>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</si>
  <si>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</si>
  <si>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</si>
  <si>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</si>
  <si>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</si>
  <si>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</si>
  <si>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</si>
  <si>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</si>
  <si>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</si>
  <si>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</si>
  <si>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</si>
  <si>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</si>
  <si>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</si>
  <si>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</si>
  <si>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</si>
  <si>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</si>
  <si>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</si>
  <si>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</si>
  <si>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</si>
  <si>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</si>
  <si>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</si>
  <si>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</si>
  <si>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</si>
  <si>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</si>
  <si>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</si>
  <si>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</si>
  <si>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</si>
  <si>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</si>
  <si>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</si>
  <si>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</si>
  <si>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</si>
  <si>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</si>
  <si>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</si>
  <si>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</si>
  <si>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</si>
  <si>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</si>
  <si>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</si>
  <si>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</si>
  <si>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</si>
  <si>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</si>
  <si>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</si>
  <si>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</si>
  <si>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</si>
  <si>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</si>
  <si>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</si>
  <si>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</si>
  <si>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</si>
  <si>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</si>
  <si>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</si>
  <si>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</si>
  <si>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</si>
  <si>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</si>
  <si>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</si>
  <si>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</si>
  <si>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</si>
  <si>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</si>
  <si>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</si>
  <si>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</si>
  <si>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</si>
  <si>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</si>
  <si>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</si>
  <si>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</si>
  <si>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</si>
  <si>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</si>
  <si>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</si>
  <si>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</si>
  <si>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</si>
  <si>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</si>
  <si>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</si>
  <si>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</si>
  <si>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</si>
  <si>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</si>
  <si>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</si>
  <si>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</si>
  <si>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</si>
  <si>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</si>
  <si>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</si>
  <si>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</si>
  <si>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</si>
  <si>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</si>
  <si>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</si>
  <si>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</si>
  <si>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</si>
  <si>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</si>
  <si>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</si>
  <si>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</si>
  <si>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</si>
  <si>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</si>
  <si>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</si>
  <si>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</si>
  <si>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</si>
  <si>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</si>
  <si>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</si>
  <si>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</si>
  <si>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</si>
  <si>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</si>
  <si>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</si>
  <si>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</si>
  <si>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</si>
  <si>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</si>
  <si>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住宅/居住</t>
  </si>
  <si>
    <t>钢混</t>
  </si>
  <si>
    <t>扣毛地价</t>
  </si>
  <si>
    <t>住宅</t>
  </si>
  <si>
    <t>城镇拆迁</t>
  </si>
  <si>
    <t>设定容积率</t>
  </si>
  <si>
    <t>居住用地（指一类居住用地）</t>
  </si>
  <si>
    <t>地上</t>
  </si>
  <si>
    <t>市区</t>
  </si>
  <si>
    <t>七通一平</t>
  </si>
  <si>
    <t>四环路内</t>
  </si>
  <si>
    <t>2002-1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</si>
</sst>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3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</borders>
  <cellStyleXfs count="11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</cellStyleXfs>
  <cellXfs count="185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85" fillId="0" borderId="0" xfId="8" applyFont="1" applyBorder="1" applyAlignment="1">
      <alignment horizontal="center" vertical="center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184" fontId="155" fillId="10" borderId="0" xfId="8" applyNumberFormat="1" applyFont="1" applyFill="1" applyAlignment="1">
      <alignment horizontal="center"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49" fontId="52" fillId="10" borderId="1" xfId="8" applyNumberFormat="1" applyFont="1" applyFill="1" applyBorder="1" applyAlignment="1" applyProtection="1">
      <alignment horizontal="center" vertical="center" wrapText="1"/>
    </xf>
    <xf numFmtId="0" fontId="151" fillId="10" borderId="114" xfId="8" applyFont="1" applyFill="1" applyBorder="1" applyAlignment="1" applyProtection="1">
      <alignment horizontal="center" vertical="center" wrapText="1"/>
    </xf>
    <xf numFmtId="0" fontId="85" fillId="10" borderId="0" xfId="8" applyFont="1" applyFill="1" applyBorder="1" applyAlignment="1">
      <alignment horizontal="center" vertical="center"/>
    </xf>
    <xf numFmtId="0" fontId="85" fillId="10" borderId="0" xfId="8" applyFont="1" applyFill="1">
      <alignment vertical="center"/>
    </xf>
    <xf numFmtId="10" fontId="84" fillId="10" borderId="140" xfId="8" applyNumberFormat="1" applyFont="1" applyFill="1" applyBorder="1">
      <alignment vertical="center"/>
    </xf>
    <xf numFmtId="10" fontId="84" fillId="10" borderId="0" xfId="8" applyNumberFormat="1" applyFont="1" applyFill="1">
      <alignment vertical="center"/>
    </xf>
    <xf numFmtId="0" fontId="85" fillId="10" borderId="0" xfId="8" applyFont="1" applyFill="1" applyAlignment="1">
      <alignment horizontal="center" vertical="center"/>
    </xf>
    <xf numFmtId="0" fontId="85" fillId="10" borderId="140" xfId="8" applyFont="1" applyFill="1" applyBorder="1" applyAlignment="1">
      <alignment horizontal="center" vertical="center"/>
    </xf>
    <xf numFmtId="0" fontId="161" fillId="5" borderId="36" xfId="0" applyFont="1" applyFill="1" applyBorder="1" applyAlignment="1" applyProtection="1">
      <alignment horizontal="center"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1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24" t="s">
        <v>168</v>
      </c>
      <c r="B15" s="666" t="s">
        <v>253</v>
      </c>
    </row>
    <row r="16" spans="1:7" ht="13.5">
      <c r="A16" s="1725"/>
      <c r="B16" s="667" t="s">
        <v>169</v>
      </c>
    </row>
    <row r="17" spans="1:2" ht="13.5">
      <c r="A17" s="180" t="s">
        <v>170</v>
      </c>
      <c r="B17" s="668"/>
    </row>
    <row r="18" spans="1:2" ht="13.5">
      <c r="A18" s="1723" t="s">
        <v>171</v>
      </c>
      <c r="B18" s="666" t="s">
        <v>1402</v>
      </c>
    </row>
    <row r="19" spans="1:2" ht="13.5">
      <c r="A19" s="1723"/>
      <c r="B19" s="666" t="s">
        <v>1403</v>
      </c>
    </row>
    <row r="20" spans="1:2" ht="13.5">
      <c r="A20" s="1723"/>
      <c r="B20" s="666" t="s">
        <v>1404</v>
      </c>
    </row>
    <row r="21" spans="1:2" ht="13.5">
      <c r="A21" s="1723"/>
      <c r="B21" s="503" t="s">
        <v>172</v>
      </c>
    </row>
    <row r="22" spans="1:2" ht="13.5">
      <c r="A22" s="1723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73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73"/>
      <c r="B19" s="1773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73"/>
      <c r="B20" s="1773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73"/>
      <c r="B21" s="1773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73"/>
      <c r="B22" s="1773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73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73"/>
      <c r="B24" s="1773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73"/>
      <c r="B25" s="1773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73"/>
      <c r="B26" s="1773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73"/>
      <c r="B27" s="1773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73"/>
      <c r="B28" s="1773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73"/>
      <c r="B29" s="1773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73"/>
      <c r="B30" s="1773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73"/>
      <c r="B31" s="1773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73"/>
      <c r="B32" s="1773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73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73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73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73"/>
      <c r="B36" s="1773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73"/>
      <c r="B37" s="1773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73"/>
      <c r="B38" s="1773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73"/>
      <c r="B39" s="1773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73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73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73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73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73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73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73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73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73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73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73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73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73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73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73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73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73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73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73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73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73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73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73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73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73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73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73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73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73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73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73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73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73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73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73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73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73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73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73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73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73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73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73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73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73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73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73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73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73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73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0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20" sqref="I20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130.81</v>
      </c>
      <c r="I1" s="726" t="s">
        <v>1356</v>
      </c>
      <c r="J1" s="526">
        <f>主表!B6</f>
        <v>1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 t="str">
        <f>主表!B12</f>
        <v>住宅/居住</v>
      </c>
      <c r="F2" s="733" t="s">
        <v>689</v>
      </c>
      <c r="G2" s="735" t="str">
        <f>主表!B10</f>
        <v>三级</v>
      </c>
      <c r="H2" s="734" t="s">
        <v>1366</v>
      </c>
      <c r="I2" s="1352" t="s">
        <v>1769</v>
      </c>
      <c r="J2" s="736"/>
      <c r="AE2" s="731"/>
      <c r="AF2" s="731"/>
    </row>
    <row r="3" spans="1:36" ht="24">
      <c r="A3" s="687" t="s">
        <v>916</v>
      </c>
      <c r="B3" s="1439">
        <f>C18</f>
        <v>0</v>
      </c>
      <c r="C3" s="732" t="s">
        <v>917</v>
      </c>
      <c r="D3" s="733" t="s">
        <v>256</v>
      </c>
      <c r="E3" s="737" t="s">
        <v>1768</v>
      </c>
      <c r="F3" s="1500" t="s">
        <v>1229</v>
      </c>
      <c r="G3" s="238">
        <f>IF(F3="容积率",主表!B8,主表!B9)</f>
        <v>130.81</v>
      </c>
      <c r="H3" s="738" t="s">
        <v>930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1581</v>
      </c>
      <c r="B4" s="633">
        <f>C20</f>
        <v>0</v>
      </c>
      <c r="C4" s="1438" t="s">
        <v>1583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1582</v>
      </c>
      <c r="B5" s="1437">
        <f>C22</f>
        <v>0</v>
      </c>
      <c r="C5" s="1440" t="s">
        <v>1584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3660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>
        <v>925</v>
      </c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933</v>
      </c>
      <c r="B9" s="1637" t="s">
        <v>936</v>
      </c>
      <c r="C9" s="1638">
        <f>IF(OR(H9&gt;=DATE(2014,8,28),H9&lt;DATE(2002,12,10)),0,ROUND(I9/F9,4))</f>
        <v>0</v>
      </c>
      <c r="D9" s="1639" t="s">
        <v>265</v>
      </c>
      <c r="E9" s="1640">
        <v>37257</v>
      </c>
      <c r="F9" s="1641">
        <f>ROUND(SUMIF(地价!B3:F3,E2,地价!B67:F67),0)</f>
        <v>104</v>
      </c>
      <c r="G9" s="1642" t="s">
        <v>266</v>
      </c>
      <c r="H9" s="1643">
        <f>主表!B4</f>
        <v>37337</v>
      </c>
      <c r="I9" s="1644">
        <f>ROUND(SUMPRODUCT((地价!A17:A67=YEAR(H9)&amp;"-"&amp;ROUNDUP(MONTH(H9)/3,0))*(地价!B3:F3=E2)*(地价!B17:F67)),0)</f>
        <v>104</v>
      </c>
      <c r="J9" s="789"/>
      <c r="AE9" s="731"/>
      <c r="AF9" s="731"/>
    </row>
    <row r="10" spans="1:36" ht="16.5" thickBot="1">
      <c r="A10" s="1645" t="s">
        <v>935</v>
      </c>
      <c r="B10" s="1646" t="s">
        <v>202</v>
      </c>
      <c r="C10" s="1647">
        <f>ROUND(POWER(1+E10,H10-G10)*(POWER(1+E10,G10)-1)/(POWER(1+E10,H10)-1),4)</f>
        <v>0.98509999999999998</v>
      </c>
      <c r="D10" s="1525" t="s">
        <v>940</v>
      </c>
      <c r="E10" s="1526">
        <v>0.04</v>
      </c>
      <c r="F10" s="1648" t="s">
        <v>1653</v>
      </c>
      <c r="G10" s="1649">
        <f>IF(F10="剩余土地使用年限",主表!B15,主表!B16)</f>
        <v>65</v>
      </c>
      <c r="H10" s="1649">
        <f>IF(E2="住宅/居住",70,IF(E2="商业",40,50))</f>
        <v>70</v>
      </c>
      <c r="I10" s="1636"/>
      <c r="J10" s="1650"/>
      <c r="AE10" s="731"/>
      <c r="AF10" s="731"/>
    </row>
    <row r="11" spans="1:36" ht="15">
      <c r="A11" s="764" t="s">
        <v>937</v>
      </c>
      <c r="B11" s="765" t="s">
        <v>942</v>
      </c>
      <c r="C11" s="1353">
        <f>IF(E2="工业",1,IF(G3&gt;10,D14,IF(D11="郊区",D13,D12)))</f>
        <v>-1.8467</v>
      </c>
      <c r="D11" s="1532" t="s">
        <v>1770</v>
      </c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1" t="str">
        <f>IF(E12=G12,F12,IF(G3&lt;=10,ROUND(F12+(H12-F12)*(G3-E12)/(G12-E12),4),"——"))</f>
        <v>——</v>
      </c>
      <c r="E12" s="1523">
        <f>ROUNDDOWN(G3,1)</f>
        <v>130.80000000000001</v>
      </c>
      <c r="F12" s="1524" t="str">
        <f>IF(G3&lt;=10,SUMPRODUCT(('2002容积率修正'!A3:A102=E12)*('2002容积率修正'!B2:D2=E2)*('2002容积率修正'!B3:D102)),"——")</f>
        <v>——</v>
      </c>
      <c r="G12" s="1522">
        <f>ROUNDUP(G3,1)</f>
        <v>130.9</v>
      </c>
      <c r="H12" s="638" t="str">
        <f>IF(G3&lt;=10,SUMPRODUCT(('2002容积率修正'!A3:A102=G12)*('2002容积率修正'!B2:D2=E2)*('2002容积率修正'!B3:D102)),"——")</f>
        <v>——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1" t="str">
        <f>IF(E12=G12,F12,IF(G3&lt;=10,ROUND(F12+(H12-F12)*(G3-E12)/(G12-E12),4),"——"))</f>
        <v>——</v>
      </c>
      <c r="E13" s="1523">
        <f>ROUNDDOWN(G3,1)</f>
        <v>130.80000000000001</v>
      </c>
      <c r="F13" s="1524" t="str">
        <f>IF(G3&lt;=10,SUMPRODUCT(('2002容积率修正'!A3:A102=E13)*('2002容积率修正'!E2:G2=E2)*('2002容积率修正'!E3:G102)),"——")</f>
        <v>——</v>
      </c>
      <c r="G13" s="1522">
        <f>ROUNDUP(G3,1)</f>
        <v>130.9</v>
      </c>
      <c r="H13" s="638" t="str">
        <f>IF(G3&lt;=10,SUMPRODUCT(('2002容积率修正'!A3:A102=G13)*('2002容积率修正'!E2:G2=E2)*('2002容积率修正'!E3:G102)),"——")</f>
        <v>——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>
        <f>IF(G3&gt;10,B81,"——")</f>
        <v>-1.8467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1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5" t="s">
        <v>1339</v>
      </c>
      <c r="B16" s="1646" t="s">
        <v>1348</v>
      </c>
      <c r="C16" s="1651"/>
      <c r="D16" s="1652" t="s">
        <v>1352</v>
      </c>
      <c r="E16" s="1527" t="s">
        <v>929</v>
      </c>
      <c r="F16" s="1528" t="s">
        <v>1771</v>
      </c>
      <c r="G16" s="1653" t="s">
        <v>931</v>
      </c>
      <c r="H16" s="1654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5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783" t="s">
        <v>1353</v>
      </c>
      <c r="B18" s="780" t="s">
        <v>1340</v>
      </c>
      <c r="C18" s="646">
        <f>ROUND(C7*C9*C10*C11*C15*C16,0)</f>
        <v>0</v>
      </c>
      <c r="D18" s="647">
        <f>H1</f>
        <v>130.81</v>
      </c>
      <c r="E18" s="648">
        <f>ROUND(C18*D18,0)</f>
        <v>0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784"/>
      <c r="B19" s="785" t="s">
        <v>1343</v>
      </c>
      <c r="C19" s="638">
        <f>ROUND(C7*C9*C10*C11*C15*C16*G3,0)</f>
        <v>0</v>
      </c>
      <c r="D19" s="647">
        <f>J1</f>
        <v>1</v>
      </c>
      <c r="E19" s="648">
        <f>ROUND(C19*D19,0)</f>
        <v>0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785" t="s">
        <v>1354</v>
      </c>
      <c r="B20" s="767" t="s">
        <v>1341</v>
      </c>
      <c r="C20" s="652">
        <f>ROUND(IF(G3&gt;=I3,C8*C9*C10*C15,C8*C9*C10*C15*G3),0)</f>
        <v>0</v>
      </c>
      <c r="D20" s="653">
        <f>H1</f>
        <v>130.81</v>
      </c>
      <c r="E20" s="654">
        <f>ROUND(C20*D20,0)</f>
        <v>0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785"/>
      <c r="B21" s="790" t="s">
        <v>1342</v>
      </c>
      <c r="C21" s="655">
        <f>ROUND(IF(G3&lt;I3,C8*C9*C10*C15,C8*C9*C10*C15*G3),0)</f>
        <v>0</v>
      </c>
      <c r="D21" s="656">
        <f>J1</f>
        <v>1</v>
      </c>
      <c r="E21" s="657">
        <f t="shared" ref="E21" si="0">ROUND(C21*D21,0)</f>
        <v>0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6" t="s">
        <v>1363</v>
      </c>
      <c r="B22" s="794"/>
      <c r="C22" s="643">
        <f>ROUND(IF(D22="四环路内",C18*0.4,C18*0.6),0)</f>
        <v>0</v>
      </c>
      <c r="D22" s="795" t="s">
        <v>1772</v>
      </c>
      <c r="E22" s="796"/>
      <c r="F22" s="796"/>
      <c r="G22" s="796"/>
      <c r="H22" s="796"/>
      <c r="I22" s="796"/>
      <c r="J22" s="1657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1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5" t="s">
        <v>1506</v>
      </c>
      <c r="C25" s="1499" t="s">
        <v>1773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6"/>
      <c r="C26" s="1449">
        <f>'地价（废）'!L2</f>
        <v>0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0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9">
        <f>'地价（废）'!N2</f>
        <v>0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9">
        <f>'地价（废）'!O2</f>
        <v>0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0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708" t="s">
        <v>1758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709" t="s">
        <v>1759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0.03</v>
      </c>
      <c r="G51" s="531">
        <f>F51/2</f>
        <v>1.4999999999999999E-2</v>
      </c>
      <c r="H51" s="532">
        <v>0</v>
      </c>
      <c r="I51" s="531">
        <f>J51/2</f>
        <v>-1.4999999999999999E-2</v>
      </c>
      <c r="J51" s="531">
        <f>SUMPRODUCT(('2002因素修正幅度'!$A$73:$A$79=A51)*('2002因素修正幅度'!$B$35:$K$35=$G$2)*('2002因素修正幅度'!$B$73:$K$79))</f>
        <v>-0.03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3.7499999999999999E-2</v>
      </c>
      <c r="G52" s="531">
        <f t="shared" ref="G52:G57" si="5">F52/2</f>
        <v>1.8749999999999999E-2</v>
      </c>
      <c r="H52" s="532">
        <v>0</v>
      </c>
      <c r="I52" s="531">
        <f t="shared" ref="I52:I57" si="6">J52/2</f>
        <v>-1.8749999999999999E-2</v>
      </c>
      <c r="J52" s="531">
        <f>SUMPRODUCT(('2002因素修正幅度'!$A$73:$A$79=A52)*('2002因素修正幅度'!$B$35:$K$35=$G$2)*('2002因素修正幅度'!$B$73:$K$79))</f>
        <v>-3.7499999999999999E-2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1.4999999999999999E-2</v>
      </c>
      <c r="G53" s="531">
        <f t="shared" si="5"/>
        <v>7.4999999999999997E-3</v>
      </c>
      <c r="H53" s="532">
        <v>0</v>
      </c>
      <c r="I53" s="531">
        <f t="shared" si="6"/>
        <v>-7.4999999999999997E-3</v>
      </c>
      <c r="J53" s="531">
        <f>SUMPRODUCT(('2002因素修正幅度'!$A$73:$A$79=A53)*('2002因素修正幅度'!$B$35:$K$35=$G$2)*('2002因素修正幅度'!$B$73:$K$79))</f>
        <v>-1.4999999999999999E-2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708" t="s">
        <v>1758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1.4999999999999999E-2</v>
      </c>
      <c r="G54" s="531">
        <f t="shared" si="5"/>
        <v>7.4999999999999997E-3</v>
      </c>
      <c r="H54" s="532">
        <v>0</v>
      </c>
      <c r="I54" s="531">
        <f t="shared" si="6"/>
        <v>-7.4999999999999997E-3</v>
      </c>
      <c r="J54" s="531">
        <f>SUMPRODUCT(('2002因素修正幅度'!$A$73:$A$79=A54)*('2002因素修正幅度'!$B$35:$K$35=$G$2)*('2002因素修正幅度'!$B$73:$K$79))</f>
        <v>-1.4999999999999999E-2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2.2499999999999999E-2</v>
      </c>
      <c r="G55" s="531">
        <f t="shared" si="5"/>
        <v>1.125E-2</v>
      </c>
      <c r="H55" s="532">
        <v>0</v>
      </c>
      <c r="I55" s="531">
        <f t="shared" si="6"/>
        <v>-1.125E-2</v>
      </c>
      <c r="J55" s="531">
        <f>SUMPRODUCT(('2002因素修正幅度'!$A$73:$A$79=A55)*('2002因素修正幅度'!$B$35:$K$35=$G$2)*('2002因素修正幅度'!$B$73:$K$79))</f>
        <v>-2.2499999999999999E-2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709" t="s">
        <v>1759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1.2E-2</v>
      </c>
      <c r="G56" s="531">
        <f t="shared" si="5"/>
        <v>6.0000000000000001E-3</v>
      </c>
      <c r="H56" s="532">
        <v>0</v>
      </c>
      <c r="I56" s="531">
        <f t="shared" si="6"/>
        <v>-6.0000000000000001E-3</v>
      </c>
      <c r="J56" s="531">
        <f>SUMPRODUCT(('2002因素修正幅度'!$A$73:$A$79=A56)*('2002因素修正幅度'!$B$35:$K$35=$G$2)*('2002因素修正幅度'!$B$73:$K$79))</f>
        <v>-1.2E-2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1.7999999999999999E-2</v>
      </c>
      <c r="G57" s="531">
        <f t="shared" si="5"/>
        <v>8.9999999999999993E-3</v>
      </c>
      <c r="H57" s="532">
        <v>0</v>
      </c>
      <c r="I57" s="531">
        <f t="shared" si="6"/>
        <v>-8.9999999999999993E-3</v>
      </c>
      <c r="J57" s="531">
        <f>SUMPRODUCT(('2002因素修正幅度'!$A$73:$A$79=A57)*('2002因素修正幅度'!$B$35:$K$35=$G$2)*('2002因素修正幅度'!$B$73:$K$79))</f>
        <v>-1.7999999999999999E-2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2.5000000000000001E-2</v>
      </c>
      <c r="G60" s="531">
        <f>F60/2</f>
        <v>1.2500000000000001E-2</v>
      </c>
      <c r="H60" s="532">
        <v>0</v>
      </c>
      <c r="I60" s="531">
        <f>J60/2</f>
        <v>-7.4999999999999997E-3</v>
      </c>
      <c r="J60" s="531">
        <f>SUMPRODUCT(('2002因素修正幅度'!$A$80:$A$87=A60)*('2002因素修正幅度'!$B$35:$K$35=$G$2)*('2002因素修正幅度'!$B$80:$K$87))</f>
        <v>-1.4999999999999999E-2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0.05</v>
      </c>
      <c r="G61" s="531">
        <f t="shared" ref="G61:G67" si="8">F61/2</f>
        <v>2.5000000000000001E-2</v>
      </c>
      <c r="H61" s="532">
        <v>0</v>
      </c>
      <c r="I61" s="531">
        <f t="shared" ref="I61:I67" si="9">J61/2</f>
        <v>-1.4999999999999999E-2</v>
      </c>
      <c r="J61" s="531">
        <f>SUMPRODUCT(('2002因素修正幅度'!$A$80:$A$87=A61)*('2002因素修正幅度'!$B$35:$K$35=$G$2)*('2002因素修正幅度'!$B$80:$K$87))</f>
        <v>-0.03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2.5000000000000001E-2</v>
      </c>
      <c r="G62" s="531">
        <f t="shared" si="8"/>
        <v>1.2500000000000001E-2</v>
      </c>
      <c r="H62" s="532">
        <v>0</v>
      </c>
      <c r="I62" s="531">
        <f t="shared" si="9"/>
        <v>-7.4999999999999997E-3</v>
      </c>
      <c r="J62" s="531">
        <f>SUMPRODUCT(('2002因素修正幅度'!$A$80:$A$87=A62)*('2002因素修正幅度'!$B$35:$K$35=$G$2)*('2002因素修正幅度'!$B$80:$K$87))</f>
        <v>-1.4999999999999999E-2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2.5000000000000001E-2</v>
      </c>
      <c r="G63" s="531">
        <f t="shared" si="8"/>
        <v>1.2500000000000001E-2</v>
      </c>
      <c r="H63" s="532">
        <v>0</v>
      </c>
      <c r="I63" s="531">
        <f t="shared" si="9"/>
        <v>-7.4999999999999997E-3</v>
      </c>
      <c r="J63" s="531">
        <f>SUMPRODUCT(('2002因素修正幅度'!$A$80:$A$87=A63)*('2002因素修正幅度'!$B$35:$K$35=$G$2)*('2002因素修正幅度'!$B$80:$K$87))</f>
        <v>-1.4999999999999999E-2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9" t="s">
        <v>1759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0.02</v>
      </c>
      <c r="G64" s="531">
        <f t="shared" si="8"/>
        <v>0.01</v>
      </c>
      <c r="H64" s="532">
        <v>0</v>
      </c>
      <c r="I64" s="531">
        <f t="shared" si="9"/>
        <v>-6.0000000000000001E-3</v>
      </c>
      <c r="J64" s="531">
        <f>SUMPRODUCT(('2002因素修正幅度'!$A$80:$A$87=A64)*('2002因素修正幅度'!$B$35:$K$35=$G$2)*('2002因素修正幅度'!$B$80:$K$87))</f>
        <v>-1.2E-2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0.03</v>
      </c>
      <c r="G65" s="531">
        <f t="shared" si="8"/>
        <v>1.4999999999999999E-2</v>
      </c>
      <c r="H65" s="532">
        <v>0</v>
      </c>
      <c r="I65" s="531">
        <f t="shared" si="9"/>
        <v>-8.9999999999999993E-3</v>
      </c>
      <c r="J65" s="531">
        <f>SUMPRODUCT(('2002因素修正幅度'!$A$80:$A$87=A65)*('2002因素修正幅度'!$B$35:$K$35=$G$2)*('2002因素修正幅度'!$B$80:$K$87))</f>
        <v>-1.7999999999999999E-2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0.05</v>
      </c>
      <c r="G66" s="531">
        <f t="shared" si="8"/>
        <v>2.5000000000000001E-2</v>
      </c>
      <c r="H66" s="532">
        <v>0</v>
      </c>
      <c r="I66" s="531">
        <f t="shared" si="9"/>
        <v>-1.4999999999999999E-2</v>
      </c>
      <c r="J66" s="531">
        <f>SUMPRODUCT(('2002因素修正幅度'!$A$80:$A$87=A66)*('2002因素修正幅度'!$B$35:$K$35=$G$2)*('2002因素修正幅度'!$B$80:$K$87))</f>
        <v>-0.03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2.5000000000000001E-2</v>
      </c>
      <c r="G67" s="531">
        <f t="shared" si="8"/>
        <v>1.2500000000000001E-2</v>
      </c>
      <c r="H67" s="532">
        <v>0</v>
      </c>
      <c r="I67" s="531">
        <f t="shared" si="9"/>
        <v>-7.4999999999999997E-3</v>
      </c>
      <c r="J67" s="531">
        <f>SUMPRODUCT(('2002因素修正幅度'!$A$80:$A$87=A67)*('2002因素修正幅度'!$B$35:$K$35=$G$2)*('2002因素修正幅度'!$B$80:$K$87))</f>
        <v>-1.4999999999999999E-2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0.04</v>
      </c>
      <c r="G70" s="531">
        <f t="shared" ref="G70:G76" si="11">F70/2</f>
        <v>0.02</v>
      </c>
      <c r="H70" s="532">
        <v>0</v>
      </c>
      <c r="I70" s="531">
        <f t="shared" ref="I70:I76" si="12">J70/2</f>
        <v>-0.02</v>
      </c>
      <c r="J70" s="531">
        <f>SUMPRODUCT(('2002因素修正幅度'!$A$88:$A$94=A70)*('2002因素修正幅度'!$B$35:$K$35=$G$2)*('2002因素修正幅度'!$B$88:$K$94))</f>
        <v>-0.04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6.4000000000000001E-2</v>
      </c>
      <c r="G71" s="531">
        <f t="shared" si="11"/>
        <v>3.2000000000000001E-2</v>
      </c>
      <c r="H71" s="532">
        <v>0</v>
      </c>
      <c r="I71" s="531">
        <f t="shared" si="12"/>
        <v>-3.2000000000000001E-2</v>
      </c>
      <c r="J71" s="531">
        <f>SUMPRODUCT(('2002因素修正幅度'!$A$88:$A$94=A71)*('2002因素修正幅度'!$B$35:$K$35=$G$2)*('2002因素修正幅度'!$B$88:$K$94))</f>
        <v>-6.4000000000000001E-2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0.02</v>
      </c>
      <c r="G72" s="531">
        <f t="shared" si="11"/>
        <v>0.01</v>
      </c>
      <c r="H72" s="532">
        <v>0</v>
      </c>
      <c r="I72" s="531">
        <f t="shared" si="12"/>
        <v>-0.01</v>
      </c>
      <c r="J72" s="531">
        <f>SUMPRODUCT(('2002因素修正幅度'!$A$88:$A$94=A72)*('2002因素修正幅度'!$B$35:$K$35=$G$2)*('2002因素修正幅度'!$B$88:$K$94))</f>
        <v>-0.02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1.6E-2</v>
      </c>
      <c r="G73" s="531">
        <f t="shared" si="11"/>
        <v>8.0000000000000002E-3</v>
      </c>
      <c r="H73" s="532">
        <v>0</v>
      </c>
      <c r="I73" s="531">
        <f t="shared" si="12"/>
        <v>-8.0000000000000002E-3</v>
      </c>
      <c r="J73" s="531">
        <f>SUMPRODUCT(('2002因素修正幅度'!$A$88:$A$94=A73)*('2002因素修正幅度'!$B$35:$K$35=$G$2)*('2002因素修正幅度'!$B$88:$K$94))</f>
        <v>-1.6E-2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9" t="s">
        <v>1759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2.4E-2</v>
      </c>
      <c r="G74" s="531">
        <f t="shared" si="11"/>
        <v>1.2E-2</v>
      </c>
      <c r="H74" s="532">
        <v>0</v>
      </c>
      <c r="I74" s="531">
        <f t="shared" si="12"/>
        <v>-1.2E-2</v>
      </c>
      <c r="J74" s="531">
        <f>SUMPRODUCT(('2002因素修正幅度'!$A$88:$A$94=A74)*('2002因素修正幅度'!$B$35:$K$35=$G$2)*('2002因素修正幅度'!$B$88:$K$94))</f>
        <v>-2.4E-2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0.02</v>
      </c>
      <c r="G75" s="531">
        <f t="shared" si="11"/>
        <v>0.01</v>
      </c>
      <c r="H75" s="532">
        <v>0</v>
      </c>
      <c r="I75" s="531">
        <f t="shared" si="12"/>
        <v>-0.01</v>
      </c>
      <c r="J75" s="531">
        <f>SUMPRODUCT(('2002因素修正幅度'!$A$88:$A$94=A75)*('2002因素修正幅度'!$B$35:$K$35=$G$2)*('2002因素修正幅度'!$B$88:$K$94))</f>
        <v>-0.02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1.6E-2</v>
      </c>
      <c r="G76" s="531">
        <f t="shared" si="11"/>
        <v>8.0000000000000002E-3</v>
      </c>
      <c r="H76" s="532">
        <v>0</v>
      </c>
      <c r="I76" s="531">
        <f t="shared" si="12"/>
        <v>-8.0000000000000002E-3</v>
      </c>
      <c r="J76" s="531">
        <f>SUMPRODUCT(('2002因素修正幅度'!$A$88:$A$94=A76)*('2002因素修正幅度'!$B$35:$K$35=$G$2)*('2002因素修正幅度'!$B$88:$K$94))</f>
        <v>-1.6E-2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>
        <f>G3</f>
        <v>130.81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>
        <f>SUMIF(A82:A85,E2,B82:B85)</f>
        <v>-1.8467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-3.9872000000000001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>
        <f>ROUND(1.007-0.0278*B80,4)</f>
        <v>-2.6295000000000002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>
        <f>ROUND(1.018-0.0219*B80,4)</f>
        <v>-1.8467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>
        <f>ROUND(0.7275-0.01*B80,4)</f>
        <v>-0.5806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住宅/居住</v>
      </c>
      <c r="L1" s="582" t="str">
        <f>'2002基准地价'!G2</f>
        <v>三级</v>
      </c>
      <c r="M1" s="583">
        <f>SUMPRODUCT((K3:K7=L1)*(L2:O2=K1)*(L3:O7))</f>
        <v>3660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789" t="s">
        <v>1324</v>
      </c>
      <c r="B1" s="1786" t="s">
        <v>1325</v>
      </c>
      <c r="C1" s="1787"/>
      <c r="D1" s="1788"/>
      <c r="E1" s="1786" t="s">
        <v>1326</v>
      </c>
      <c r="F1" s="1787"/>
      <c r="G1" s="1788"/>
    </row>
    <row r="2" spans="1:7">
      <c r="A2" s="1790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tabSelected="1" zoomScale="90" zoomScaleNormal="90" zoomScaleSheetLayoutView="89" workbookViewId="0">
      <selection activeCell="C24" sqref="C24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1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794" t="s">
        <v>1439</v>
      </c>
      <c r="E2" s="1798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>
        <f ca="1">IF(C1="求取熟地价",C27,ROUND((C15*B11+C18)*C22/B11,0))</f>
        <v>4266</v>
      </c>
      <c r="C3" s="979" t="s">
        <v>917</v>
      </c>
      <c r="D3" s="1795"/>
      <c r="E3" s="1799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795"/>
      <c r="E4" s="1799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住宅/居住</v>
      </c>
      <c r="C5" s="722"/>
      <c r="D5" s="1796"/>
      <c r="E5" s="1800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4" t="s">
        <v>1765</v>
      </c>
      <c r="C6" s="722"/>
      <c r="D6" s="1794" t="s">
        <v>1440</v>
      </c>
      <c r="E6" s="1798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7" t="s">
        <v>1448</v>
      </c>
      <c r="B7" s="1388" t="str">
        <f>LEFT(主表!B10,1)&amp;"类"</f>
        <v>三类</v>
      </c>
      <c r="C7" s="722"/>
      <c r="D7" s="1795"/>
      <c r="E7" s="1799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0" t="s">
        <v>1766</v>
      </c>
      <c r="C8" s="722"/>
      <c r="D8" s="1796"/>
      <c r="E8" s="1800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130.81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1</v>
      </c>
      <c r="C10" s="722"/>
      <c r="D10" s="1794" t="s">
        <v>1418</v>
      </c>
      <c r="E10" s="1798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1767</v>
      </c>
      <c r="B11" s="721">
        <f>IF(A11="容积率",主表!B8,主表!B9)</f>
        <v>2</v>
      </c>
      <c r="C11" s="722"/>
      <c r="D11" s="1797"/>
      <c r="E11" s="1801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1442</v>
      </c>
      <c r="C14" s="1395">
        <v>1250</v>
      </c>
      <c r="D14" s="1396">
        <f>SUMPRODUCT((D35:M35=B7)*(B36:B39=B6)*(D36:M39))</f>
        <v>1000</v>
      </c>
      <c r="E14" s="1397">
        <f>SUMPRODUCT((D35:M35=B7)*(B40:B43=B6)*(D40:M43))</f>
        <v>1500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1461</v>
      </c>
      <c r="B15" s="1389" t="s">
        <v>1426</v>
      </c>
      <c r="C15" s="1390">
        <f>IF(B5="住宅/居住",C16+C17,C16)</f>
        <v>905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5">
        <v>630</v>
      </c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5">
        <v>275</v>
      </c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1462</v>
      </c>
      <c r="B18" s="1431" t="s">
        <v>1446</v>
      </c>
      <c r="C18" s="1432">
        <f>IF(B8="城镇拆迁",C19*IF(F19="居民住宅",1,IF(F19="企业事业单位",2,4)),C20)</f>
        <v>6850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1445</v>
      </c>
      <c r="C19" s="1429">
        <v>6850</v>
      </c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1578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1576</v>
      </c>
      <c r="B21" s="1403" t="s">
        <v>942</v>
      </c>
      <c r="C21" s="1404">
        <f>IF(B11&lt;1,1,SUMIF(B55:K55,ROUNDDOWN(B11,0),B56:K56)+(SUMIF(B55:K55,ROUNDUP(B11,0),B56:K56)-SUMIF(B55:K55,ROUNDDOWN(B11,0),B56:K56))*(B11-ROUNDDOWN(B11,0)))</f>
        <v>1.91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1577</v>
      </c>
      <c r="B22" s="1389" t="s">
        <v>202</v>
      </c>
      <c r="C22" s="1399">
        <f ca="1">ROUND(POWER(1+C23,C25-C24)*(POWER(1+C23,C24)-1)/(POWER(1+C23,C25)-1),4)</f>
        <v>0.98519999999999996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4.0050000000000002E-2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1653</v>
      </c>
      <c r="C24" s="638">
        <f>IF(B24="剩余土地使用年限",主表!B15,主表!B16)</f>
        <v>65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1460</v>
      </c>
      <c r="C25" s="1396">
        <f>IF(B5="住宅/居住",70,IF(B5="商业",40,50))</f>
        <v>70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783" t="s">
        <v>1353</v>
      </c>
      <c r="B27" s="780" t="s">
        <v>1340</v>
      </c>
      <c r="C27" s="638">
        <f ca="1">ROUND(C28/B11,0)</f>
        <v>5506</v>
      </c>
      <c r="D27" s="647">
        <f>B9</f>
        <v>130.81</v>
      </c>
      <c r="E27" s="648">
        <f ca="1">ROUND(C27*D27,0)</f>
        <v>720240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784"/>
      <c r="B28" s="785" t="s">
        <v>1343</v>
      </c>
      <c r="C28" s="638">
        <f ca="1">IF(主表!B4&lt;DATE(2002,12,10),ROUND(C14*C21*C22+C15*B11+C18,0),0)</f>
        <v>11012</v>
      </c>
      <c r="D28" s="647">
        <f>B10</f>
        <v>1</v>
      </c>
      <c r="E28" s="648">
        <f ca="1">ROUND(C28*D28,0)</f>
        <v>11012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785" t="s">
        <v>1466</v>
      </c>
      <c r="B29" s="767" t="s">
        <v>1467</v>
      </c>
      <c r="C29" s="652">
        <f ca="1">ROUND(C30/B11,0)</f>
        <v>2081</v>
      </c>
      <c r="D29" s="653">
        <f>B9</f>
        <v>130.81</v>
      </c>
      <c r="E29" s="654">
        <f ca="1">ROUND(C29*D29,0)</f>
        <v>272216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04"/>
      <c r="B30" s="982" t="s">
        <v>1468</v>
      </c>
      <c r="C30" s="643">
        <f ca="1">IF(主表!B4&lt;DATE(2002,12,10),ROUND(C14*C21*C22+C15*B11,0),0)</f>
        <v>4162</v>
      </c>
      <c r="D30" s="695">
        <f>B10</f>
        <v>1</v>
      </c>
      <c r="E30" s="696">
        <f t="shared" ref="E30" ca="1" si="0">ROUND(C30*D30,0)</f>
        <v>4162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02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03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03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03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03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03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03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03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791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792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792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792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792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793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792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792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792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793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28" t="s">
        <v>91</v>
      </c>
      <c r="D4" s="1829"/>
      <c r="E4" s="1830" t="s">
        <v>92</v>
      </c>
      <c r="F4" s="1831"/>
      <c r="G4" s="1828" t="s">
        <v>93</v>
      </c>
      <c r="H4" s="1829"/>
      <c r="I4" s="1828" t="s">
        <v>94</v>
      </c>
      <c r="J4" s="1829"/>
      <c r="K4" s="142" t="s">
        <v>95</v>
      </c>
      <c r="L4" s="451"/>
      <c r="M4" s="452"/>
      <c r="N4" s="452"/>
      <c r="O4" s="452"/>
      <c r="P4" s="1832" t="s">
        <v>96</v>
      </c>
      <c r="Q4" s="1833"/>
      <c r="R4" s="1815" t="s">
        <v>92</v>
      </c>
      <c r="S4" s="1816"/>
      <c r="T4" s="1815" t="s">
        <v>93</v>
      </c>
      <c r="U4" s="1816"/>
      <c r="V4" s="1812" t="s">
        <v>94</v>
      </c>
      <c r="W4" s="1812"/>
      <c r="X4" s="201"/>
      <c r="Y4" s="1815" t="s">
        <v>96</v>
      </c>
      <c r="Z4" s="1816"/>
      <c r="AA4" s="1825" t="s">
        <v>92</v>
      </c>
      <c r="AB4" s="1826" t="s">
        <v>93</v>
      </c>
      <c r="AC4" s="1825" t="s">
        <v>94</v>
      </c>
    </row>
    <row r="5" spans="1:30" ht="15">
      <c r="A5" s="41"/>
      <c r="B5" s="42"/>
      <c r="C5" s="1840" t="s">
        <v>230</v>
      </c>
      <c r="D5" s="1841"/>
      <c r="E5" s="1838" t="s">
        <v>231</v>
      </c>
      <c r="F5" s="1839"/>
      <c r="G5" s="1840" t="s">
        <v>234</v>
      </c>
      <c r="H5" s="1841"/>
      <c r="I5" s="1840" t="s">
        <v>232</v>
      </c>
      <c r="J5" s="1841"/>
      <c r="K5" s="142"/>
      <c r="L5" s="451"/>
      <c r="M5" s="452"/>
      <c r="N5" s="452"/>
      <c r="O5" s="452"/>
      <c r="P5" s="1834"/>
      <c r="Q5" s="1835"/>
      <c r="R5" s="1817"/>
      <c r="S5" s="1818"/>
      <c r="T5" s="1817"/>
      <c r="U5" s="1818"/>
      <c r="V5" s="1812"/>
      <c r="W5" s="1812"/>
      <c r="X5" s="201"/>
      <c r="Y5" s="1817"/>
      <c r="Z5" s="1818"/>
      <c r="AA5" s="1826"/>
      <c r="AB5" s="1826"/>
      <c r="AC5" s="1826"/>
    </row>
    <row r="6" spans="1:30" ht="15.75" thickBot="1">
      <c r="A6" s="43"/>
      <c r="B6" s="44"/>
      <c r="C6" s="1842" t="s">
        <v>233</v>
      </c>
      <c r="D6" s="1843"/>
      <c r="E6" s="1844" t="s">
        <v>233</v>
      </c>
      <c r="F6" s="1845"/>
      <c r="G6" s="1842" t="s">
        <v>233</v>
      </c>
      <c r="H6" s="1843"/>
      <c r="I6" s="1842" t="s">
        <v>233</v>
      </c>
      <c r="J6" s="1843"/>
      <c r="K6" s="142" t="s">
        <v>97</v>
      </c>
      <c r="L6" s="451"/>
      <c r="M6" s="452"/>
      <c r="N6" s="452"/>
      <c r="O6" s="452"/>
      <c r="P6" s="1836"/>
      <c r="Q6" s="1837"/>
      <c r="R6" s="1817"/>
      <c r="S6" s="1818"/>
      <c r="T6" s="1819"/>
      <c r="U6" s="1820"/>
      <c r="V6" s="1812"/>
      <c r="W6" s="1812"/>
      <c r="X6" s="201"/>
      <c r="Y6" s="1819"/>
      <c r="Z6" s="1820"/>
      <c r="AA6" s="1827"/>
      <c r="AB6" s="1827"/>
      <c r="AC6" s="1827"/>
    </row>
    <row r="7" spans="1:30" s="22" customFormat="1" ht="15.75" thickBot="1">
      <c r="A7" s="45" t="s">
        <v>98</v>
      </c>
      <c r="B7" s="46"/>
      <c r="C7" s="1385">
        <f>主表!B4</f>
        <v>37337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13" t="s">
        <v>99</v>
      </c>
      <c r="Q7" s="1821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13" t="s">
        <v>99</v>
      </c>
      <c r="Z7" s="1814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13" t="s">
        <v>125</v>
      </c>
      <c r="Q8" s="1814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13" t="s">
        <v>125</v>
      </c>
      <c r="Z8" s="1814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05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24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05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24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1229</v>
      </c>
      <c r="C11" s="1068">
        <f>IF(B11="容积率",主表!B8,主表!B9)</f>
        <v>130.81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05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24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1548</v>
      </c>
      <c r="C12" s="1096" t="str">
        <f>主表!B10</f>
        <v>三级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05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24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05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24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05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24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22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22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23"/>
      <c r="Q16" s="206"/>
      <c r="R16" s="207"/>
      <c r="S16" s="208"/>
      <c r="T16" s="207"/>
      <c r="U16" s="208"/>
      <c r="V16" s="207"/>
      <c r="W16" s="208"/>
      <c r="X16" s="201"/>
      <c r="Y16" s="1823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23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23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23"/>
      <c r="Q18" s="206"/>
      <c r="R18" s="207"/>
      <c r="S18" s="208"/>
      <c r="T18" s="207"/>
      <c r="U18" s="208"/>
      <c r="V18" s="207"/>
      <c r="W18" s="208"/>
      <c r="X18" s="201"/>
      <c r="Y18" s="1823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23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23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23"/>
      <c r="Q20" s="206"/>
      <c r="R20" s="207"/>
      <c r="S20" s="208"/>
      <c r="T20" s="207"/>
      <c r="U20" s="208"/>
      <c r="V20" s="207"/>
      <c r="W20" s="208"/>
      <c r="X20" s="201"/>
      <c r="Y20" s="1823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23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23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23"/>
      <c r="Q22" s="206"/>
      <c r="R22" s="207"/>
      <c r="S22" s="208"/>
      <c r="T22" s="207"/>
      <c r="U22" s="208"/>
      <c r="V22" s="207"/>
      <c r="W22" s="208"/>
      <c r="X22" s="201"/>
      <c r="Y22" s="1823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23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23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23"/>
      <c r="Q24" s="235"/>
      <c r="R24" s="207"/>
      <c r="S24" s="208"/>
      <c r="T24" s="207"/>
      <c r="U24" s="208"/>
      <c r="V24" s="207"/>
      <c r="W24" s="208"/>
      <c r="X24" s="234"/>
      <c r="Y24" s="1823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23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23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23"/>
      <c r="Q26" s="206"/>
      <c r="R26" s="207"/>
      <c r="S26" s="208"/>
      <c r="T26" s="207"/>
      <c r="U26" s="208"/>
      <c r="V26" s="207"/>
      <c r="W26" s="208"/>
      <c r="X26" s="201"/>
      <c r="Y26" s="1823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23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23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23"/>
      <c r="Q28" s="18"/>
      <c r="R28" s="202"/>
      <c r="S28" s="203"/>
      <c r="T28" s="202"/>
      <c r="U28" s="203"/>
      <c r="V28" s="202"/>
      <c r="W28" s="203"/>
      <c r="X28" s="204"/>
      <c r="Y28" s="1823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23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23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23"/>
      <c r="Q30" s="500"/>
      <c r="R30" s="202"/>
      <c r="S30" s="203"/>
      <c r="T30" s="202"/>
      <c r="U30" s="203"/>
      <c r="V30" s="202"/>
      <c r="W30" s="203"/>
      <c r="X30" s="204"/>
      <c r="Y30" s="1823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23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23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23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23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23"/>
      <c r="Q33" s="206"/>
      <c r="R33" s="207"/>
      <c r="S33" s="208"/>
      <c r="T33" s="207"/>
      <c r="U33" s="208"/>
      <c r="V33" s="207"/>
      <c r="W33" s="208"/>
      <c r="X33" s="201"/>
      <c r="Y33" s="1823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23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23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23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23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10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11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1561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11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11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11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11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11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11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11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11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11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11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11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11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11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11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11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11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1563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11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11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1760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05" t="str">
        <f>A46</f>
        <v>成交单价</v>
      </c>
      <c r="Q46" s="1805"/>
      <c r="R46" s="1812">
        <f>E46</f>
        <v>0</v>
      </c>
      <c r="S46" s="1812"/>
      <c r="T46" s="1812">
        <f>G46</f>
        <v>0</v>
      </c>
      <c r="U46" s="1812"/>
      <c r="V46" s="1812">
        <f>I46</f>
        <v>0</v>
      </c>
      <c r="W46" s="1812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05" t="str">
        <f>A47</f>
        <v>比较价值（元/平方米）</v>
      </c>
      <c r="Q47" s="1805"/>
      <c r="R47" s="1806" t="e">
        <f>ROUND(PRODUCT(R46,AA7:AA45),0)</f>
        <v>#DIV/0!</v>
      </c>
      <c r="S47" s="1806"/>
      <c r="T47" s="1806" t="e">
        <f>ROUND(PRODUCT(T46,AB7:AB45),0)</f>
        <v>#DIV/0!</v>
      </c>
      <c r="U47" s="1806"/>
      <c r="V47" s="1806" t="e">
        <f>ROUND(PRODUCT(V46,AC7:AC45),0)</f>
        <v>#DIV/0!</v>
      </c>
      <c r="W47" s="1806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07" t="str">
        <f>A48</f>
        <v>估价对象比较价值（单价内涵，元/平方米）</v>
      </c>
      <c r="Q48" s="1808"/>
      <c r="R48" s="1809" t="e">
        <f>ROUND(AVERAGE(R47:V47),0)</f>
        <v>#DIV/0!</v>
      </c>
      <c r="S48" s="1809"/>
      <c r="T48" s="1809"/>
      <c r="U48" s="1809"/>
      <c r="V48" s="1809"/>
      <c r="W48" s="1809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2002-3-1</v>
      </c>
      <c r="D56" s="1689">
        <f>EDATE(C56,-3)</f>
        <v>37226</v>
      </c>
      <c r="E56" s="1689">
        <f t="shared" ref="E56:O56" si="15">EDATE(D56,-3)</f>
        <v>37135</v>
      </c>
      <c r="F56" s="1689">
        <f t="shared" si="15"/>
        <v>37043</v>
      </c>
      <c r="G56" s="1689">
        <f t="shared" si="15"/>
        <v>36951</v>
      </c>
      <c r="H56" s="1689">
        <f t="shared" si="15"/>
        <v>36861</v>
      </c>
      <c r="I56" s="1689">
        <f t="shared" si="15"/>
        <v>36770</v>
      </c>
      <c r="J56" s="1689">
        <f t="shared" si="15"/>
        <v>36678</v>
      </c>
      <c r="K56" s="1689">
        <f t="shared" si="15"/>
        <v>36586</v>
      </c>
      <c r="L56" s="1689">
        <f t="shared" si="15"/>
        <v>36495</v>
      </c>
      <c r="M56" s="1689">
        <f t="shared" si="15"/>
        <v>36404</v>
      </c>
      <c r="N56" s="1689">
        <f t="shared" si="15"/>
        <v>36312</v>
      </c>
      <c r="O56" s="1689">
        <f t="shared" si="15"/>
        <v>36220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8" t="str">
        <f>YEAR(C56)&amp;"-"&amp;ROUNDUP(MONTH(C56)/3,0)</f>
        <v>2002-1</v>
      </c>
      <c r="D58" s="1688" t="str">
        <f t="shared" ref="D58:O58" si="16">YEAR(D56)&amp;"-"&amp;ROUNDUP(MONTH(D56)/3,0)</f>
        <v>2001-4</v>
      </c>
      <c r="E58" s="1688" t="str">
        <f t="shared" si="16"/>
        <v>2001-3</v>
      </c>
      <c r="F58" s="1688" t="str">
        <f t="shared" si="16"/>
        <v>2001-2</v>
      </c>
      <c r="G58" s="1688" t="str">
        <f t="shared" si="16"/>
        <v>2001-1</v>
      </c>
      <c r="H58" s="1688" t="str">
        <f t="shared" si="16"/>
        <v>2000-4</v>
      </c>
      <c r="I58" s="1688" t="str">
        <f t="shared" si="16"/>
        <v>2000-3</v>
      </c>
      <c r="J58" s="1688" t="str">
        <f t="shared" si="16"/>
        <v>2000-2</v>
      </c>
      <c r="K58" s="1688" t="str">
        <f t="shared" si="16"/>
        <v>2000-1</v>
      </c>
      <c r="L58" s="1688" t="str">
        <f t="shared" si="16"/>
        <v>1999-4</v>
      </c>
      <c r="M58" s="1688" t="str">
        <f t="shared" si="16"/>
        <v>1999-3</v>
      </c>
      <c r="N58" s="1688" t="str">
        <f t="shared" si="16"/>
        <v>1999-2</v>
      </c>
      <c r="O58" s="1688" t="str">
        <f t="shared" si="16"/>
        <v>1999-1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10"/>
      <c r="N59" s="92"/>
      <c r="O59" s="1711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7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1549</v>
      </c>
      <c r="D70" s="1069" t="s">
        <v>1550</v>
      </c>
      <c r="E70" s="1069" t="s">
        <v>1551</v>
      </c>
      <c r="F70" s="1069" t="s">
        <v>1552</v>
      </c>
      <c r="G70" s="1069" t="s">
        <v>1553</v>
      </c>
      <c r="H70" s="1069" t="s">
        <v>1554</v>
      </c>
      <c r="I70" s="1069" t="s">
        <v>1555</v>
      </c>
      <c r="J70" s="1069" t="s">
        <v>1556</v>
      </c>
      <c r="K70" s="1069" t="s">
        <v>1557</v>
      </c>
      <c r="L70" s="1069" t="s">
        <v>1558</v>
      </c>
      <c r="M70" s="1070" t="s">
        <v>1559</v>
      </c>
      <c r="N70" s="1070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1564</v>
      </c>
      <c r="D102" s="1148" t="s">
        <v>1565</v>
      </c>
      <c r="E102" s="1148" t="s">
        <v>1566</v>
      </c>
      <c r="F102" s="1148" t="s">
        <v>1567</v>
      </c>
      <c r="G102" s="1148" t="s">
        <v>1568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1564</v>
      </c>
      <c r="D119" s="1148" t="s">
        <v>1565</v>
      </c>
      <c r="E119" s="1148" t="s">
        <v>1566</v>
      </c>
      <c r="F119" s="1148" t="s">
        <v>1567</v>
      </c>
      <c r="G119" s="1148" t="s">
        <v>1568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43039</v>
      </c>
      <c r="D1" s="1000" t="str">
        <f>主表!A23</f>
        <v>建设期</v>
      </c>
      <c r="E1" s="1040">
        <f>主表!B23</f>
        <v>2</v>
      </c>
      <c r="F1" s="1000" t="s">
        <v>1522</v>
      </c>
      <c r="G1" s="1001">
        <f ca="1">INDIRECT("d"&amp;$K$1)/100</f>
        <v>4.7500000000000001E-2</v>
      </c>
      <c r="H1" s="1000" t="s">
        <v>1523</v>
      </c>
      <c r="I1" s="1001">
        <f ca="1">SUMIF(F4:F8,E1,G4:G8)/100</f>
        <v>2.1000000000000001E-2</v>
      </c>
      <c r="J1" s="1170">
        <f>IF(C1&gt;C14,0,MATCH(C1,C$14:C$59,-1))+IF(SUMIF(C14:C59,C1,D14:D59)=0,14,13)</f>
        <v>14</v>
      </c>
      <c r="K1" s="1170">
        <f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37337</v>
      </c>
      <c r="D2" s="1044" t="str">
        <f>主表!A24</f>
        <v>土地开发期</v>
      </c>
      <c r="E2" s="1040">
        <f>主表!B24</f>
        <v>1</v>
      </c>
      <c r="F2" s="1000" t="s">
        <v>1522</v>
      </c>
      <c r="G2" s="1001">
        <f ca="1">INDIRECT("e"&amp;$K$2)/100</f>
        <v>5.3099999999999994E-2</v>
      </c>
      <c r="H2" s="1000" t="s">
        <v>1523</v>
      </c>
      <c r="I2" s="1001">
        <f ca="1">SUMIF(F4:F8,E2,G4:G8)/100</f>
        <v>1.4999999999999999E-2</v>
      </c>
      <c r="J2" s="1170">
        <f>IF(C2&gt;C14,0,MATCH(C2,C$14:C$59,-1))+IF(SUMIF(C14:C59,C2,D14:D59)=0,14,13)</f>
        <v>43</v>
      </c>
      <c r="K2" s="1170">
        <f ca="1">MATCH(E2,C4:C8,1)+IF(SUMIF(C4:C8,E2,D4:D8)=0,3,2)</f>
        <v>5</v>
      </c>
      <c r="L2" s="1170">
        <f>IF(C2&gt;M14,0,MATCH(C2,M$14:M$52,-1))+IF(SUMIF(M14:M52,C2,N14:N52)=0,14,13)</f>
        <v>40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5.4900000000000004E-2</v>
      </c>
      <c r="H3" s="1051" t="s">
        <v>1523</v>
      </c>
      <c r="I3" s="1052">
        <f ca="1">SUMIF(F4:F8,E3,H4:H8)/100</f>
        <v>2.52E-2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4.3499999999999996</v>
      </c>
      <c r="E4" s="1036">
        <f ca="1">INDIRECT("d"&amp;$J$2)</f>
        <v>5.04</v>
      </c>
      <c r="F4" s="1037">
        <v>0.5</v>
      </c>
      <c r="G4" s="1038">
        <f ca="1">INDIRECT("p"&amp;$L$1)</f>
        <v>1.3</v>
      </c>
      <c r="H4" s="1038">
        <f ca="1">INDIRECT("p"&amp;$L$2)</f>
        <v>1.89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4.3499999999999996</v>
      </c>
      <c r="E5" s="1008">
        <f ca="1">INDIRECT("e"&amp;$J$2)</f>
        <v>5.31</v>
      </c>
      <c r="F5" s="1007">
        <v>1</v>
      </c>
      <c r="G5" s="1039">
        <f ca="1">INDIRECT("q"&amp;$L$1)</f>
        <v>1.5</v>
      </c>
      <c r="H5" s="1039">
        <f ca="1">INDIRECT("q"&amp;$L$2)</f>
        <v>1.98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4.75</v>
      </c>
      <c r="E6" s="1008">
        <f ca="1">INDIRECT("f"&amp;$J$2)</f>
        <v>5.49</v>
      </c>
      <c r="F6" s="1007">
        <v>2</v>
      </c>
      <c r="G6" s="1039">
        <f ca="1">INDIRECT("r"&amp;$L$1)</f>
        <v>2.1</v>
      </c>
      <c r="H6" s="1039">
        <f ca="1">INDIRECT("r"&amp;$L$2)</f>
        <v>2.25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4.75</v>
      </c>
      <c r="E7" s="1008">
        <f ca="1">INDIRECT("g"&amp;$J$2)</f>
        <v>5.58</v>
      </c>
      <c r="F7" s="1007">
        <v>3</v>
      </c>
      <c r="G7" s="1039">
        <f ca="1">INDIRECT("s"&amp;$L$1)</f>
        <v>2.75</v>
      </c>
      <c r="H7" s="1039">
        <f ca="1">INDIRECT("s"&amp;$L$2)</f>
        <v>2.52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4.9000000000000004</v>
      </c>
      <c r="E8" s="1008">
        <f ca="1">INDIRECT("h"&amp;$J$2)</f>
        <v>5.76</v>
      </c>
      <c r="F8" s="1007">
        <v>5</v>
      </c>
      <c r="G8" s="1039">
        <f ca="1">INDIRECT("t"&amp;$L$1)</f>
        <v>0</v>
      </c>
      <c r="H8" s="1039">
        <f ca="1">INDIRECT("t"&amp;$L$2)</f>
        <v>2.79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K16" sqref="K16"/>
    </sheetView>
  </sheetViews>
  <sheetFormatPr defaultRowHeight="12.75"/>
  <cols>
    <col min="1" max="6" width="9" style="1560"/>
    <col min="7" max="7" width="9" style="1664"/>
    <col min="8" max="8" width="9" style="1560"/>
    <col min="9" max="12" width="9" style="1560" customWidth="1"/>
    <col min="13" max="13" width="2.25" style="1560" customWidth="1"/>
    <col min="14" max="14" width="9" style="1664" customWidth="1"/>
    <col min="15" max="17" width="9" style="1560" customWidth="1"/>
    <col min="18" max="18" width="2.375" style="1560" customWidth="1"/>
    <col min="19" max="19" width="7.125" style="1664" customWidth="1"/>
    <col min="20" max="22" width="7.125" style="1560" customWidth="1"/>
    <col min="23" max="23" width="2.5" style="1560" customWidth="1"/>
    <col min="24" max="16384" width="9" style="1560"/>
  </cols>
  <sheetData>
    <row r="1" spans="1:32" s="1551" customFormat="1">
      <c r="A1" s="1693" t="s">
        <v>1723</v>
      </c>
      <c r="C1" s="1632"/>
      <c r="D1" s="1632"/>
      <c r="F1" s="1632"/>
      <c r="H1" s="1692"/>
      <c r="I1" s="1692"/>
      <c r="J1" s="1692"/>
      <c r="K1" s="1692"/>
      <c r="L1" s="1692"/>
      <c r="O1" s="1692"/>
      <c r="P1" s="1692"/>
      <c r="Q1" s="1692"/>
      <c r="R1" s="1552"/>
      <c r="T1" s="1692"/>
      <c r="U1" s="1692"/>
      <c r="V1" s="1692"/>
    </row>
    <row r="2" spans="1:32" s="1551" customFormat="1" ht="13.5" thickBot="1">
      <c r="B2" s="1632" t="s">
        <v>1656</v>
      </c>
      <c r="C2" s="1632"/>
      <c r="D2" s="1632"/>
      <c r="F2" s="1632"/>
      <c r="G2" s="1854" t="s">
        <v>1657</v>
      </c>
      <c r="H2" s="1854"/>
      <c r="I2" s="1854"/>
      <c r="J2" s="1854"/>
      <c r="K2" s="1854"/>
      <c r="L2" s="1854"/>
      <c r="N2" s="1849" t="s">
        <v>1658</v>
      </c>
      <c r="O2" s="1849"/>
      <c r="P2" s="1849"/>
      <c r="Q2" s="1849"/>
      <c r="R2" s="1691"/>
      <c r="S2" s="1849" t="s">
        <v>1659</v>
      </c>
      <c r="T2" s="1849"/>
      <c r="U2" s="1849"/>
      <c r="V2" s="1849"/>
    </row>
    <row r="3" spans="1:32" s="1551" customFormat="1" ht="15" thickBot="1">
      <c r="B3" s="15" t="s">
        <v>1717</v>
      </c>
      <c r="C3" s="15" t="s">
        <v>42</v>
      </c>
      <c r="D3" s="527" t="s">
        <v>1313</v>
      </c>
      <c r="E3" s="527" t="s">
        <v>1314</v>
      </c>
      <c r="F3" s="15" t="s">
        <v>50</v>
      </c>
      <c r="I3" s="486" t="s">
        <v>1717</v>
      </c>
      <c r="J3" s="486" t="s">
        <v>1722</v>
      </c>
      <c r="K3" s="527" t="s">
        <v>1314</v>
      </c>
      <c r="L3" s="486" t="s">
        <v>50</v>
      </c>
      <c r="N3" s="486" t="s">
        <v>1717</v>
      </c>
      <c r="O3" s="486" t="s">
        <v>1722</v>
      </c>
      <c r="P3" s="527" t="s">
        <v>1314</v>
      </c>
      <c r="Q3" s="486" t="s">
        <v>50</v>
      </c>
      <c r="R3" s="1552"/>
      <c r="S3" s="486" t="s">
        <v>1717</v>
      </c>
      <c r="T3" s="486" t="s">
        <v>1722</v>
      </c>
      <c r="U3" s="527" t="s">
        <v>1314</v>
      </c>
      <c r="V3" s="486" t="s">
        <v>50</v>
      </c>
    </row>
    <row r="4" spans="1:32" s="1551" customFormat="1">
      <c r="A4" s="1553" t="s">
        <v>1660</v>
      </c>
      <c r="B4" s="1554"/>
      <c r="C4" s="1554"/>
      <c r="D4" s="1554"/>
      <c r="E4" s="1554"/>
      <c r="F4" s="1554"/>
      <c r="G4" s="1850">
        <v>2017</v>
      </c>
      <c r="H4" s="1555">
        <v>4</v>
      </c>
      <c r="I4" s="1555"/>
      <c r="J4" s="1555"/>
      <c r="K4" s="1555"/>
      <c r="L4" s="1556"/>
      <c r="N4" s="1665"/>
      <c r="O4" s="1552"/>
      <c r="P4" s="1552"/>
      <c r="Q4" s="1552"/>
      <c r="R4" s="1552"/>
      <c r="S4" s="1665"/>
      <c r="T4" s="1552"/>
      <c r="U4" s="1552"/>
      <c r="V4" s="1552"/>
    </row>
    <row r="5" spans="1:32" s="1717" customFormat="1">
      <c r="A5" s="1714" t="s">
        <v>1661</v>
      </c>
      <c r="B5" s="1694">
        <f>B6*(1+N5)</f>
        <v>429.62688667359998</v>
      </c>
      <c r="C5" s="1694">
        <f t="shared" ref="C5:C6" si="0">C6*(1+O5)</f>
        <v>318.97763788800006</v>
      </c>
      <c r="D5" s="1694">
        <f>C5</f>
        <v>318.97763788800006</v>
      </c>
      <c r="E5" s="1694">
        <f t="shared" ref="E5:F7" si="1">E6*(1+P5)</f>
        <v>613.03761713879999</v>
      </c>
      <c r="F5" s="1694">
        <f t="shared" si="1"/>
        <v>278.506175276448</v>
      </c>
      <c r="G5" s="1847"/>
      <c r="H5" s="1715">
        <v>3</v>
      </c>
      <c r="I5" s="1716">
        <f>ROUND(AVERAGE(I6:I19),2)</f>
        <v>2.46</v>
      </c>
      <c r="J5" s="1716">
        <f>ROUND(AVERAGE(J6:J19),2)</f>
        <v>1.6</v>
      </c>
      <c r="K5" s="1716">
        <f>ROUND(AVERAGE(K6:K19),2)</f>
        <v>2.75</v>
      </c>
      <c r="L5" s="1716">
        <f>ROUND(AVERAGE(L6:L19),2)</f>
        <v>1.37</v>
      </c>
      <c r="N5" s="1718">
        <f t="shared" ref="N5:Q6" si="2">I5/100</f>
        <v>2.46E-2</v>
      </c>
      <c r="O5" s="1719">
        <f t="shared" si="2"/>
        <v>1.6E-2</v>
      </c>
      <c r="P5" s="1719">
        <f t="shared" si="2"/>
        <v>2.75E-2</v>
      </c>
      <c r="Q5" s="1719">
        <f t="shared" si="2"/>
        <v>1.37E-2</v>
      </c>
      <c r="R5" s="1720"/>
      <c r="S5" s="1721"/>
      <c r="T5" s="1720"/>
      <c r="U5" s="1720"/>
      <c r="V5" s="1720"/>
    </row>
    <row r="6" spans="1:32" s="1551" customFormat="1">
      <c r="A6" s="1553" t="s">
        <v>1662</v>
      </c>
      <c r="B6" s="1564">
        <f>B7*(1+N6)</f>
        <v>419.31181600000002</v>
      </c>
      <c r="C6" s="1564">
        <f t="shared" si="0"/>
        <v>313.95436800000004</v>
      </c>
      <c r="D6" s="1564">
        <f>C6</f>
        <v>313.95436800000004</v>
      </c>
      <c r="E6" s="1564">
        <f t="shared" si="1"/>
        <v>596.63028431999999</v>
      </c>
      <c r="F6" s="1564">
        <f t="shared" si="1"/>
        <v>274.74220703999998</v>
      </c>
      <c r="G6" s="1847"/>
      <c r="H6" s="1558">
        <v>2</v>
      </c>
      <c r="I6" s="1712">
        <v>3.4</v>
      </c>
      <c r="J6" s="1712">
        <v>2</v>
      </c>
      <c r="K6" s="1712">
        <v>3.82</v>
      </c>
      <c r="L6" s="1713">
        <v>1.68</v>
      </c>
      <c r="N6" s="1666">
        <f t="shared" si="2"/>
        <v>3.4000000000000002E-2</v>
      </c>
      <c r="O6" s="1561">
        <f t="shared" si="2"/>
        <v>0.02</v>
      </c>
      <c r="P6" s="1561">
        <f t="shared" si="2"/>
        <v>3.8199999999999998E-2</v>
      </c>
      <c r="Q6" s="1561">
        <f t="shared" si="2"/>
        <v>1.6799999999999999E-2</v>
      </c>
      <c r="R6" s="1552"/>
      <c r="S6" s="1665"/>
      <c r="T6" s="1552"/>
      <c r="U6" s="1552"/>
      <c r="V6" s="1552"/>
    </row>
    <row r="7" spans="1:32" s="1551" customFormat="1" ht="13.5" thickBot="1">
      <c r="A7" s="1553" t="s">
        <v>1663</v>
      </c>
      <c r="B7" s="1564">
        <f>B8*(1+N7)</f>
        <v>405.524</v>
      </c>
      <c r="C7" s="1564">
        <f t="shared" ref="C7" si="3">C8*(1+O7)</f>
        <v>307.79840000000002</v>
      </c>
      <c r="D7" s="1564">
        <f>C7</f>
        <v>307.79840000000002</v>
      </c>
      <c r="E7" s="1564">
        <f t="shared" si="1"/>
        <v>574.67759999999998</v>
      </c>
      <c r="F7" s="1564">
        <f t="shared" si="1"/>
        <v>270.20280000000002</v>
      </c>
      <c r="G7" s="1848"/>
      <c r="H7" s="1557">
        <v>1</v>
      </c>
      <c r="I7" s="1695">
        <v>3.45</v>
      </c>
      <c r="J7" s="1695">
        <v>1.92</v>
      </c>
      <c r="K7" s="1695">
        <v>3.92</v>
      </c>
      <c r="L7" s="1696">
        <v>1.58</v>
      </c>
      <c r="N7" s="1666">
        <f>I7/100</f>
        <v>3.4500000000000003E-2</v>
      </c>
      <c r="O7" s="1561">
        <f t="shared" ref="O7" si="4">J7/100</f>
        <v>1.9199999999999998E-2</v>
      </c>
      <c r="P7" s="1561">
        <f t="shared" ref="P7" si="5">K7/100</f>
        <v>3.9199999999999999E-2</v>
      </c>
      <c r="Q7" s="1561">
        <f t="shared" ref="Q7" si="6">L7/100</f>
        <v>1.5800000000000002E-2</v>
      </c>
      <c r="R7" s="1552"/>
      <c r="S7" s="1668">
        <f>B7/B8-1</f>
        <v>3.4499999999999975E-2</v>
      </c>
      <c r="T7" s="1567">
        <f>C7/C8-1</f>
        <v>1.9200000000000106E-2</v>
      </c>
      <c r="U7" s="1567">
        <f>E7/E8-1</f>
        <v>3.9199999999999902E-2</v>
      </c>
      <c r="V7" s="1567">
        <f>F7/F8-1</f>
        <v>1.5800000000000036E-2</v>
      </c>
    </row>
    <row r="8" spans="1:32">
      <c r="A8" s="1553" t="s">
        <v>280</v>
      </c>
      <c r="B8" s="1559">
        <v>392</v>
      </c>
      <c r="C8" s="1559">
        <v>302</v>
      </c>
      <c r="D8" s="1559">
        <f>C8</f>
        <v>302</v>
      </c>
      <c r="E8" s="1559">
        <v>553</v>
      </c>
      <c r="F8" s="1658">
        <v>266</v>
      </c>
      <c r="G8" s="1850">
        <v>2016</v>
      </c>
      <c r="H8" s="1555">
        <v>4</v>
      </c>
      <c r="I8" s="1555">
        <v>4.5599999999999996</v>
      </c>
      <c r="J8" s="1555">
        <v>2.15</v>
      </c>
      <c r="K8" s="1555">
        <v>5.32</v>
      </c>
      <c r="L8" s="1556">
        <v>1.57</v>
      </c>
      <c r="N8" s="1666">
        <f>I8/100</f>
        <v>4.5599999999999995E-2</v>
      </c>
      <c r="O8" s="1561">
        <f t="shared" ref="O8:Q23" si="7">J8/100</f>
        <v>2.1499999999999998E-2</v>
      </c>
      <c r="P8" s="1561">
        <f t="shared" si="7"/>
        <v>5.3200000000000004E-2</v>
      </c>
      <c r="Q8" s="1561">
        <f t="shared" si="7"/>
        <v>1.5700000000000002E-2</v>
      </c>
      <c r="R8" s="1562"/>
      <c r="S8" s="1676"/>
      <c r="T8" s="1563"/>
      <c r="U8" s="1563"/>
      <c r="V8" s="1563"/>
      <c r="AC8" s="1563"/>
      <c r="AD8" s="1563"/>
      <c r="AE8" s="1563"/>
      <c r="AF8" s="1563"/>
    </row>
    <row r="9" spans="1:32">
      <c r="A9" s="1553" t="s">
        <v>279</v>
      </c>
      <c r="B9" s="1564">
        <f t="shared" ref="B9:C11" si="8">B8/(1+N8)</f>
        <v>374.90436113236416</v>
      </c>
      <c r="C9" s="1564">
        <f t="shared" si="8"/>
        <v>295.64366128242779</v>
      </c>
      <c r="D9" s="1564">
        <f t="shared" ref="D9:D68" si="9">C9</f>
        <v>295.64366128242779</v>
      </c>
      <c r="E9" s="1564">
        <f t="shared" ref="E9:F11" si="10">E8/(1+P8)</f>
        <v>525.06646410938095</v>
      </c>
      <c r="F9" s="1564">
        <f t="shared" si="10"/>
        <v>261.88835286009646</v>
      </c>
      <c r="G9" s="1847"/>
      <c r="H9" s="1557">
        <v>3</v>
      </c>
      <c r="I9" s="1557">
        <v>4.12</v>
      </c>
      <c r="J9" s="1557">
        <v>2</v>
      </c>
      <c r="K9" s="1557">
        <v>4.79</v>
      </c>
      <c r="L9" s="1565">
        <v>1.97</v>
      </c>
      <c r="N9" s="1666">
        <f t="shared" ref="N9:Q43" si="11">I9/100</f>
        <v>4.1200000000000001E-2</v>
      </c>
      <c r="O9" s="1561">
        <f t="shared" si="7"/>
        <v>0.02</v>
      </c>
      <c r="P9" s="1561">
        <f t="shared" si="7"/>
        <v>4.7899999999999998E-2</v>
      </c>
      <c r="Q9" s="1561">
        <f t="shared" si="7"/>
        <v>1.9699999999999999E-2</v>
      </c>
      <c r="R9" s="1562"/>
      <c r="S9" s="1666"/>
      <c r="T9" s="1561"/>
      <c r="U9" s="1561"/>
      <c r="V9" s="1561"/>
    </row>
    <row r="10" spans="1:32">
      <c r="A10" s="1553" t="s">
        <v>269</v>
      </c>
      <c r="B10" s="1564">
        <f t="shared" si="8"/>
        <v>360.06949782209392</v>
      </c>
      <c r="C10" s="1564">
        <f t="shared" si="8"/>
        <v>289.84672674747821</v>
      </c>
      <c r="D10" s="1564">
        <f t="shared" si="9"/>
        <v>289.84672674747821</v>
      </c>
      <c r="E10" s="1564">
        <f t="shared" si="10"/>
        <v>501.06543001181495</v>
      </c>
      <c r="F10" s="1564">
        <f t="shared" si="10"/>
        <v>256.82882500744967</v>
      </c>
      <c r="G10" s="1847"/>
      <c r="H10" s="1558">
        <v>2</v>
      </c>
      <c r="I10" s="1558">
        <v>3.85</v>
      </c>
      <c r="J10" s="1558">
        <v>1.95</v>
      </c>
      <c r="K10" s="1558">
        <v>4.4800000000000004</v>
      </c>
      <c r="L10" s="1566">
        <v>1.41</v>
      </c>
      <c r="N10" s="1666">
        <f t="shared" si="11"/>
        <v>3.85E-2</v>
      </c>
      <c r="O10" s="1561">
        <f t="shared" si="7"/>
        <v>1.95E-2</v>
      </c>
      <c r="P10" s="1561">
        <f t="shared" si="7"/>
        <v>4.4800000000000006E-2</v>
      </c>
      <c r="Q10" s="1561">
        <f t="shared" si="7"/>
        <v>1.41E-2</v>
      </c>
      <c r="R10" s="1562"/>
      <c r="S10" s="1666"/>
      <c r="T10" s="1561"/>
      <c r="U10" s="1561"/>
      <c r="V10" s="1561"/>
    </row>
    <row r="11" spans="1:32" ht="13.5" thickBot="1">
      <c r="A11" s="1553" t="s">
        <v>278</v>
      </c>
      <c r="B11" s="1564">
        <f t="shared" si="8"/>
        <v>346.720748986128</v>
      </c>
      <c r="C11" s="1564">
        <f t="shared" si="8"/>
        <v>284.30282172386285</v>
      </c>
      <c r="D11" s="1564">
        <f t="shared" si="9"/>
        <v>284.30282172386285</v>
      </c>
      <c r="E11" s="1564">
        <f t="shared" si="10"/>
        <v>479.58023546306947</v>
      </c>
      <c r="F11" s="1564">
        <f t="shared" si="10"/>
        <v>253.25788877571213</v>
      </c>
      <c r="G11" s="1848"/>
      <c r="H11" s="1557">
        <v>1</v>
      </c>
      <c r="I11" s="1557">
        <v>4.09</v>
      </c>
      <c r="J11" s="1557">
        <v>2.93</v>
      </c>
      <c r="K11" s="1557">
        <v>4.54</v>
      </c>
      <c r="L11" s="1565">
        <v>1.48</v>
      </c>
      <c r="N11" s="1666">
        <f t="shared" si="11"/>
        <v>4.0899999999999999E-2</v>
      </c>
      <c r="O11" s="1561">
        <f t="shared" si="7"/>
        <v>2.9300000000000003E-2</v>
      </c>
      <c r="P11" s="1561">
        <f t="shared" si="7"/>
        <v>4.5400000000000003E-2</v>
      </c>
      <c r="Q11" s="1561">
        <f t="shared" si="7"/>
        <v>1.4800000000000001E-2</v>
      </c>
      <c r="R11" s="1562"/>
      <c r="S11" s="1668">
        <f>B11/B12-1</f>
        <v>4.1203450408792808E-2</v>
      </c>
      <c r="T11" s="1567">
        <f>C11/C12-1</f>
        <v>2.6363977342465095E-2</v>
      </c>
      <c r="U11" s="1567">
        <f>E11/E12-1</f>
        <v>4.4837114298626357E-2</v>
      </c>
      <c r="V11" s="1567">
        <f>F11/F12-1</f>
        <v>1.7099954922538574E-2</v>
      </c>
      <c r="AC11" s="1568"/>
      <c r="AD11" s="1568"/>
      <c r="AE11" s="1568"/>
      <c r="AF11" s="1568"/>
    </row>
    <row r="12" spans="1:32" ht="13.5" thickBot="1">
      <c r="A12" s="1553" t="s">
        <v>277</v>
      </c>
      <c r="B12" s="1559">
        <v>333</v>
      </c>
      <c r="C12" s="1559">
        <v>277</v>
      </c>
      <c r="D12" s="1559">
        <f t="shared" si="9"/>
        <v>277</v>
      </c>
      <c r="E12" s="1559">
        <v>459</v>
      </c>
      <c r="F12" s="1658">
        <v>249</v>
      </c>
      <c r="G12" s="1846">
        <v>2015</v>
      </c>
      <c r="H12" s="1569">
        <v>4</v>
      </c>
      <c r="I12" s="1569">
        <v>1.63</v>
      </c>
      <c r="J12" s="1569">
        <v>1.1100000000000001</v>
      </c>
      <c r="K12" s="1569">
        <v>1.77</v>
      </c>
      <c r="L12" s="1570">
        <v>1.89</v>
      </c>
      <c r="N12" s="1667">
        <f t="shared" si="11"/>
        <v>1.6299999999999999E-2</v>
      </c>
      <c r="O12" s="1571">
        <f t="shared" si="7"/>
        <v>1.11E-2</v>
      </c>
      <c r="P12" s="1571">
        <f t="shared" si="7"/>
        <v>1.77E-2</v>
      </c>
      <c r="Q12" s="1571">
        <f t="shared" si="7"/>
        <v>1.89E-2</v>
      </c>
      <c r="R12" s="1562"/>
      <c r="AC12" s="1563"/>
      <c r="AD12" s="1563"/>
      <c r="AE12" s="1563"/>
      <c r="AF12" s="1563"/>
    </row>
    <row r="13" spans="1:32">
      <c r="A13" s="1553" t="s">
        <v>276</v>
      </c>
      <c r="B13" s="1564">
        <f t="shared" ref="B13:C15" si="12">B12/(1+N12)</f>
        <v>327.65915576109415</v>
      </c>
      <c r="C13" s="1564">
        <f t="shared" si="12"/>
        <v>273.95905449510434</v>
      </c>
      <c r="D13" s="1564">
        <f t="shared" si="9"/>
        <v>273.95905449510434</v>
      </c>
      <c r="E13" s="1564">
        <f t="shared" ref="E13:F15" si="13">E12/(1+P12)</f>
        <v>451.01699911565294</v>
      </c>
      <c r="F13" s="1564">
        <f t="shared" si="13"/>
        <v>244.38119540681129</v>
      </c>
      <c r="G13" s="1847"/>
      <c r="H13" s="1572">
        <v>3</v>
      </c>
      <c r="I13" s="1572">
        <v>1.65</v>
      </c>
      <c r="J13" s="1572">
        <v>0.92</v>
      </c>
      <c r="K13" s="1572">
        <v>1.88</v>
      </c>
      <c r="L13" s="1573">
        <v>1.26</v>
      </c>
      <c r="N13" s="1666">
        <f t="shared" si="11"/>
        <v>1.6500000000000001E-2</v>
      </c>
      <c r="O13" s="1574">
        <f t="shared" si="7"/>
        <v>9.1999999999999998E-3</v>
      </c>
      <c r="P13" s="1574">
        <f t="shared" si="7"/>
        <v>1.8799999999999997E-2</v>
      </c>
      <c r="Q13" s="1574">
        <f t="shared" si="7"/>
        <v>1.26E-2</v>
      </c>
      <c r="R13" s="1562"/>
      <c r="S13" s="1666"/>
      <c r="T13" s="1561"/>
      <c r="U13" s="1561"/>
      <c r="V13" s="1561"/>
    </row>
    <row r="14" spans="1:32">
      <c r="A14" s="1553" t="s">
        <v>275</v>
      </c>
      <c r="B14" s="1564">
        <f t="shared" si="12"/>
        <v>322.34053690220776</v>
      </c>
      <c r="C14" s="1564">
        <f t="shared" si="12"/>
        <v>271.46160770422546</v>
      </c>
      <c r="D14" s="1564">
        <f t="shared" si="9"/>
        <v>271.46160770422546</v>
      </c>
      <c r="E14" s="1564">
        <f t="shared" si="13"/>
        <v>442.69434542172456</v>
      </c>
      <c r="F14" s="1564">
        <f t="shared" si="13"/>
        <v>241.34030753190925</v>
      </c>
      <c r="G14" s="1847"/>
      <c r="H14" s="1558">
        <v>2</v>
      </c>
      <c r="I14" s="1558">
        <v>0.77</v>
      </c>
      <c r="J14" s="1558">
        <v>0.69</v>
      </c>
      <c r="K14" s="1558">
        <v>0.8</v>
      </c>
      <c r="L14" s="1566">
        <v>0.88</v>
      </c>
      <c r="N14" s="1666">
        <f t="shared" si="11"/>
        <v>7.7000000000000002E-3</v>
      </c>
      <c r="O14" s="1574">
        <f t="shared" si="7"/>
        <v>6.8999999999999999E-3</v>
      </c>
      <c r="P14" s="1574">
        <f t="shared" si="7"/>
        <v>8.0000000000000002E-3</v>
      </c>
      <c r="Q14" s="1574">
        <f t="shared" si="7"/>
        <v>8.8000000000000005E-3</v>
      </c>
      <c r="R14" s="1562"/>
      <c r="S14" s="1666"/>
      <c r="T14" s="1561"/>
      <c r="U14" s="1561"/>
      <c r="V14" s="1561"/>
    </row>
    <row r="15" spans="1:32">
      <c r="A15" s="1553" t="s">
        <v>274</v>
      </c>
      <c r="B15" s="1564">
        <f t="shared" si="12"/>
        <v>319.87748030386797</v>
      </c>
      <c r="C15" s="1564">
        <f t="shared" si="12"/>
        <v>269.60135833173649</v>
      </c>
      <c r="D15" s="1564">
        <f t="shared" si="9"/>
        <v>269.60135833173649</v>
      </c>
      <c r="E15" s="1564">
        <f t="shared" si="13"/>
        <v>439.18089823583784</v>
      </c>
      <c r="F15" s="1564">
        <f t="shared" si="13"/>
        <v>239.23503918706311</v>
      </c>
      <c r="G15" s="1848"/>
      <c r="H15" s="1557">
        <v>1</v>
      </c>
      <c r="I15" s="1557">
        <v>0.51</v>
      </c>
      <c r="J15" s="1557">
        <v>0.54</v>
      </c>
      <c r="K15" s="1557">
        <v>0.48</v>
      </c>
      <c r="L15" s="1565">
        <v>0.93</v>
      </c>
      <c r="N15" s="1668">
        <f t="shared" si="11"/>
        <v>5.1000000000000004E-3</v>
      </c>
      <c r="O15" s="1567">
        <f t="shared" si="7"/>
        <v>5.4000000000000003E-3</v>
      </c>
      <c r="P15" s="1567">
        <f t="shared" si="7"/>
        <v>4.7999999999999996E-3</v>
      </c>
      <c r="Q15" s="1567">
        <f t="shared" si="7"/>
        <v>9.300000000000001E-3</v>
      </c>
      <c r="R15" s="1562"/>
      <c r="S15" s="1668">
        <f>B15/B16-1</f>
        <v>5.9040261127922822E-3</v>
      </c>
      <c r="T15" s="1567">
        <f>C15/C16-1</f>
        <v>5.9752176557332781E-3</v>
      </c>
      <c r="U15" s="1567">
        <f>E15/E16-1</f>
        <v>4.9906138119859556E-3</v>
      </c>
      <c r="V15" s="1567">
        <f>F15/F16-1</f>
        <v>9.4305450930933787E-3</v>
      </c>
      <c r="AC15" s="1568"/>
      <c r="AD15" s="1568"/>
      <c r="AE15" s="1568"/>
      <c r="AF15" s="1568"/>
    </row>
    <row r="16" spans="1:32" ht="13.5" thickBot="1">
      <c r="A16" s="1553" t="s">
        <v>273</v>
      </c>
      <c r="B16" s="1575">
        <v>318</v>
      </c>
      <c r="C16" s="1575">
        <v>268</v>
      </c>
      <c r="D16" s="1575">
        <f t="shared" si="9"/>
        <v>268</v>
      </c>
      <c r="E16" s="1575">
        <v>437</v>
      </c>
      <c r="F16" s="1659">
        <v>237</v>
      </c>
      <c r="G16" s="1846">
        <v>2014</v>
      </c>
      <c r="H16" s="1569">
        <v>4</v>
      </c>
      <c r="I16" s="1569">
        <v>0.21</v>
      </c>
      <c r="J16" s="1569">
        <v>0.41</v>
      </c>
      <c r="K16" s="1569">
        <v>0.12</v>
      </c>
      <c r="L16" s="1570">
        <v>0.89</v>
      </c>
      <c r="N16" s="1666">
        <f t="shared" si="11"/>
        <v>2.0999999999999999E-3</v>
      </c>
      <c r="O16" s="1561">
        <f t="shared" si="7"/>
        <v>4.0999999999999995E-3</v>
      </c>
      <c r="P16" s="1561">
        <f t="shared" si="7"/>
        <v>1.1999999999999999E-3</v>
      </c>
      <c r="Q16" s="1561">
        <f t="shared" si="7"/>
        <v>8.8999999999999999E-3</v>
      </c>
      <c r="R16" s="1562"/>
      <c r="S16" s="1676"/>
      <c r="T16" s="1563"/>
      <c r="U16" s="1563"/>
      <c r="V16" s="1563"/>
      <c r="AC16" s="1563"/>
      <c r="AD16" s="1563"/>
      <c r="AE16" s="1563"/>
      <c r="AF16" s="1563"/>
    </row>
    <row r="17" spans="1:32">
      <c r="A17" s="1553" t="s">
        <v>272</v>
      </c>
      <c r="B17" s="1564">
        <f t="shared" ref="B17:C19" si="14">B16/(1+N16)</f>
        <v>317.33359944117353</v>
      </c>
      <c r="C17" s="1564">
        <f t="shared" si="14"/>
        <v>266.90568668459315</v>
      </c>
      <c r="D17" s="1564">
        <f t="shared" si="9"/>
        <v>266.90568668459315</v>
      </c>
      <c r="E17" s="1564">
        <f t="shared" ref="E17:F19" si="15">E16/(1+P16)</f>
        <v>436.47622852576905</v>
      </c>
      <c r="F17" s="1564">
        <f t="shared" si="15"/>
        <v>234.90930716622066</v>
      </c>
      <c r="G17" s="1847"/>
      <c r="H17" s="1576">
        <v>3</v>
      </c>
      <c r="I17" s="1576">
        <v>0.83</v>
      </c>
      <c r="J17" s="1576">
        <v>1.47</v>
      </c>
      <c r="K17" s="1576">
        <v>0.65</v>
      </c>
      <c r="L17" s="1577">
        <v>0.72</v>
      </c>
      <c r="N17" s="1666">
        <f t="shared" si="11"/>
        <v>8.3000000000000001E-3</v>
      </c>
      <c r="O17" s="1561">
        <f t="shared" si="7"/>
        <v>1.47E-2</v>
      </c>
      <c r="P17" s="1561">
        <f t="shared" si="7"/>
        <v>6.5000000000000006E-3</v>
      </c>
      <c r="Q17" s="1561">
        <f t="shared" si="7"/>
        <v>7.1999999999999998E-3</v>
      </c>
      <c r="R17" s="1562"/>
      <c r="S17" s="1666"/>
      <c r="T17" s="1561"/>
      <c r="U17" s="1561"/>
      <c r="V17" s="1561"/>
    </row>
    <row r="18" spans="1:32" ht="13.5" thickBot="1">
      <c r="A18" s="1553" t="s">
        <v>271</v>
      </c>
      <c r="B18" s="1564">
        <f t="shared" si="14"/>
        <v>314.72141172386546</v>
      </c>
      <c r="C18" s="1564">
        <f t="shared" si="14"/>
        <v>263.03901319069001</v>
      </c>
      <c r="D18" s="1564">
        <f t="shared" si="9"/>
        <v>263.03901319069001</v>
      </c>
      <c r="E18" s="1564">
        <f t="shared" si="15"/>
        <v>433.65745506782821</v>
      </c>
      <c r="F18" s="1564">
        <f t="shared" si="15"/>
        <v>233.23005080045735</v>
      </c>
      <c r="G18" s="1847"/>
      <c r="H18" s="1569">
        <v>2</v>
      </c>
      <c r="I18" s="1569">
        <v>2.4</v>
      </c>
      <c r="J18" s="1569">
        <v>2.0299999999999998</v>
      </c>
      <c r="K18" s="1569">
        <v>2.59</v>
      </c>
      <c r="L18" s="1570">
        <v>1.52</v>
      </c>
      <c r="N18" s="1666">
        <f t="shared" si="11"/>
        <v>2.4E-2</v>
      </c>
      <c r="O18" s="1561">
        <f t="shared" si="7"/>
        <v>2.0299999999999999E-2</v>
      </c>
      <c r="P18" s="1561">
        <f t="shared" si="7"/>
        <v>2.5899999999999999E-2</v>
      </c>
      <c r="Q18" s="1561">
        <f t="shared" si="7"/>
        <v>1.52E-2</v>
      </c>
      <c r="R18" s="1562"/>
      <c r="S18" s="1666"/>
      <c r="T18" s="1561"/>
      <c r="U18" s="1561"/>
      <c r="V18" s="1561"/>
    </row>
    <row r="19" spans="1:32" s="1623" customFormat="1" ht="13.5" thickBot="1">
      <c r="A19" s="1619" t="s">
        <v>270</v>
      </c>
      <c r="B19" s="1620">
        <f t="shared" si="14"/>
        <v>307.34512863658733</v>
      </c>
      <c r="C19" s="1620">
        <f t="shared" si="14"/>
        <v>257.80556031626975</v>
      </c>
      <c r="D19" s="1620">
        <f t="shared" si="9"/>
        <v>257.80556031626975</v>
      </c>
      <c r="E19" s="1620">
        <f t="shared" si="15"/>
        <v>422.70928459677179</v>
      </c>
      <c r="F19" s="1620">
        <f t="shared" si="15"/>
        <v>229.73803270336617</v>
      </c>
      <c r="G19" s="1848"/>
      <c r="H19" s="1621">
        <v>1</v>
      </c>
      <c r="I19" s="1621">
        <v>2.97</v>
      </c>
      <c r="J19" s="1621">
        <v>2.34</v>
      </c>
      <c r="K19" s="1621">
        <v>3.28</v>
      </c>
      <c r="L19" s="1622">
        <v>1.36</v>
      </c>
      <c r="N19" s="1669">
        <f t="shared" si="11"/>
        <v>2.9700000000000001E-2</v>
      </c>
      <c r="O19" s="1624">
        <f t="shared" si="7"/>
        <v>2.3399999999999997E-2</v>
      </c>
      <c r="P19" s="1624">
        <f t="shared" si="7"/>
        <v>3.2799999999999996E-2</v>
      </c>
      <c r="Q19" s="1624">
        <f t="shared" si="7"/>
        <v>1.3600000000000001E-2</v>
      </c>
      <c r="R19" s="1625"/>
      <c r="S19" s="1677">
        <f>B19/B20-1</f>
        <v>2.7910129219355539E-2</v>
      </c>
      <c r="T19" s="1626">
        <f>C19/C20-1</f>
        <v>2.3037937762975247E-2</v>
      </c>
      <c r="U19" s="1626">
        <f>E19/E20-1</f>
        <v>3.3519033243940788E-2</v>
      </c>
      <c r="V19" s="1626">
        <f>F19/F20-1</f>
        <v>1.2061818076502862E-2</v>
      </c>
      <c r="AC19" s="1627"/>
      <c r="AD19" s="1627"/>
      <c r="AE19" s="1627"/>
      <c r="AF19" s="1627"/>
    </row>
    <row r="20" spans="1:32" ht="13.5" thickBot="1">
      <c r="A20" s="1553" t="s">
        <v>1664</v>
      </c>
      <c r="B20" s="1559">
        <v>299</v>
      </c>
      <c r="C20" s="1559">
        <v>252</v>
      </c>
      <c r="D20" s="1559">
        <f t="shared" si="9"/>
        <v>252</v>
      </c>
      <c r="E20" s="1559">
        <v>409</v>
      </c>
      <c r="F20" s="1658">
        <v>227</v>
      </c>
      <c r="G20" s="1851">
        <v>2013</v>
      </c>
      <c r="H20" s="1578">
        <v>4</v>
      </c>
      <c r="I20" s="1578">
        <v>1.83</v>
      </c>
      <c r="J20" s="1578">
        <v>1.68</v>
      </c>
      <c r="K20" s="1578">
        <v>1.97</v>
      </c>
      <c r="L20" s="1579">
        <v>0.87</v>
      </c>
      <c r="N20" s="1667">
        <f t="shared" si="11"/>
        <v>1.83E-2</v>
      </c>
      <c r="O20" s="1571">
        <f t="shared" si="7"/>
        <v>1.6799999999999999E-2</v>
      </c>
      <c r="P20" s="1571">
        <f t="shared" si="7"/>
        <v>1.9699999999999999E-2</v>
      </c>
      <c r="Q20" s="1571">
        <f t="shared" si="7"/>
        <v>8.6999999999999994E-3</v>
      </c>
      <c r="R20" s="1562"/>
      <c r="S20" s="1676"/>
      <c r="T20" s="1563"/>
      <c r="U20" s="1563"/>
      <c r="V20" s="1563"/>
      <c r="AC20" s="1563"/>
      <c r="AD20" s="1563"/>
      <c r="AE20" s="1563"/>
      <c r="AF20" s="1563"/>
    </row>
    <row r="21" spans="1:32">
      <c r="A21" s="1553" t="s">
        <v>1665</v>
      </c>
      <c r="B21" s="1564">
        <f t="shared" ref="B21:C23" si="16">B20/(1+N20)</f>
        <v>293.62663262299913</v>
      </c>
      <c r="C21" s="1564">
        <f t="shared" si="16"/>
        <v>247.83634933123525</v>
      </c>
      <c r="D21" s="1564">
        <f t="shared" si="9"/>
        <v>247.83634933123525</v>
      </c>
      <c r="E21" s="1564">
        <f t="shared" ref="E21:F23" si="17">E20/(1+P20)</f>
        <v>401.09836226341076</v>
      </c>
      <c r="F21" s="1564">
        <f t="shared" si="17"/>
        <v>225.04213343908003</v>
      </c>
      <c r="G21" s="1852"/>
      <c r="H21" s="1572">
        <v>3</v>
      </c>
      <c r="I21" s="1572">
        <v>1.86</v>
      </c>
      <c r="J21" s="1572">
        <v>1.72</v>
      </c>
      <c r="K21" s="1572">
        <v>1.98</v>
      </c>
      <c r="L21" s="1573">
        <v>0.88</v>
      </c>
      <c r="N21" s="1666">
        <f t="shared" si="11"/>
        <v>1.8600000000000002E-2</v>
      </c>
      <c r="O21" s="1574">
        <f t="shared" si="7"/>
        <v>1.72E-2</v>
      </c>
      <c r="P21" s="1574">
        <f t="shared" si="7"/>
        <v>1.9799999999999998E-2</v>
      </c>
      <c r="Q21" s="1574">
        <f t="shared" si="7"/>
        <v>8.8000000000000005E-3</v>
      </c>
      <c r="R21" s="1562"/>
      <c r="S21" s="1666"/>
      <c r="T21" s="1561"/>
      <c r="U21" s="1561"/>
      <c r="V21" s="1561"/>
    </row>
    <row r="22" spans="1:32">
      <c r="A22" s="1553" t="s">
        <v>1666</v>
      </c>
      <c r="B22" s="1564">
        <f t="shared" si="16"/>
        <v>288.2649053828776</v>
      </c>
      <c r="C22" s="1564">
        <f t="shared" si="16"/>
        <v>243.64564425013293</v>
      </c>
      <c r="D22" s="1564">
        <f t="shared" si="9"/>
        <v>243.64564425013293</v>
      </c>
      <c r="E22" s="1564">
        <f t="shared" si="17"/>
        <v>393.31080825986544</v>
      </c>
      <c r="F22" s="1564">
        <f t="shared" si="17"/>
        <v>223.07903790551154</v>
      </c>
      <c r="G22" s="1852"/>
      <c r="H22" s="1558">
        <v>2</v>
      </c>
      <c r="I22" s="1558">
        <v>2.04</v>
      </c>
      <c r="J22" s="1558">
        <v>2.33</v>
      </c>
      <c r="K22" s="1558">
        <v>2.0699999999999998</v>
      </c>
      <c r="L22" s="1566">
        <v>0.69</v>
      </c>
      <c r="N22" s="1666">
        <f t="shared" si="11"/>
        <v>2.0400000000000001E-2</v>
      </c>
      <c r="O22" s="1574">
        <f t="shared" si="7"/>
        <v>2.3300000000000001E-2</v>
      </c>
      <c r="P22" s="1574">
        <f t="shared" si="7"/>
        <v>2.07E-2</v>
      </c>
      <c r="Q22" s="1574">
        <f t="shared" si="7"/>
        <v>6.8999999999999999E-3</v>
      </c>
      <c r="R22" s="1562"/>
      <c r="S22" s="1666"/>
      <c r="T22" s="1561"/>
      <c r="U22" s="1561"/>
      <c r="V22" s="1561"/>
    </row>
    <row r="23" spans="1:32">
      <c r="A23" s="1553" t="s">
        <v>1667</v>
      </c>
      <c r="B23" s="1564">
        <f t="shared" si="16"/>
        <v>282.50186729015837</v>
      </c>
      <c r="C23" s="1564">
        <f t="shared" si="16"/>
        <v>238.09796174155468</v>
      </c>
      <c r="D23" s="1564">
        <f t="shared" si="9"/>
        <v>238.09796174155468</v>
      </c>
      <c r="E23" s="1564">
        <f t="shared" si="17"/>
        <v>385.33438646014054</v>
      </c>
      <c r="F23" s="1564">
        <f t="shared" si="17"/>
        <v>221.55034055567739</v>
      </c>
      <c r="G23" s="1853"/>
      <c r="H23" s="1557">
        <v>1</v>
      </c>
      <c r="I23" s="1557">
        <v>1.67</v>
      </c>
      <c r="J23" s="1557">
        <v>1.31</v>
      </c>
      <c r="K23" s="1557">
        <v>1.85</v>
      </c>
      <c r="L23" s="1565">
        <v>0.96</v>
      </c>
      <c r="N23" s="1668">
        <f t="shared" si="11"/>
        <v>1.67E-2</v>
      </c>
      <c r="O23" s="1567">
        <f t="shared" si="7"/>
        <v>1.3100000000000001E-2</v>
      </c>
      <c r="P23" s="1567">
        <f t="shared" si="7"/>
        <v>1.8500000000000003E-2</v>
      </c>
      <c r="Q23" s="1567">
        <f t="shared" si="7"/>
        <v>9.5999999999999992E-3</v>
      </c>
      <c r="R23" s="1562"/>
      <c r="S23" s="1668">
        <f>B23/B24-1</f>
        <v>1.6193767230785472E-2</v>
      </c>
      <c r="T23" s="1567">
        <f>C23/C24-1</f>
        <v>1.7512657015190891E-2</v>
      </c>
      <c r="U23" s="1567">
        <f>E23/E24-1</f>
        <v>1.6713420739157048E-2</v>
      </c>
      <c r="V23" s="1567">
        <f>F23/F24-1</f>
        <v>7.0470025258062563E-3</v>
      </c>
      <c r="AC23" s="1568"/>
      <c r="AD23" s="1568"/>
      <c r="AE23" s="1568"/>
      <c r="AF23" s="1568"/>
    </row>
    <row r="24" spans="1:32" ht="13.5" thickBot="1">
      <c r="A24" s="1553" t="s">
        <v>1668</v>
      </c>
      <c r="B24" s="1580">
        <v>278</v>
      </c>
      <c r="C24" s="1580">
        <v>234</v>
      </c>
      <c r="D24" s="1580">
        <f t="shared" si="9"/>
        <v>234</v>
      </c>
      <c r="E24" s="1580">
        <v>379</v>
      </c>
      <c r="F24" s="1660">
        <v>220</v>
      </c>
      <c r="G24" s="1846">
        <v>2012</v>
      </c>
      <c r="H24" s="1569">
        <v>4</v>
      </c>
      <c r="I24" s="1569">
        <v>0.91</v>
      </c>
      <c r="J24" s="1569">
        <v>0.68</v>
      </c>
      <c r="K24" s="1569">
        <v>0.98</v>
      </c>
      <c r="L24" s="1570">
        <v>0.9</v>
      </c>
      <c r="N24" s="1666">
        <f t="shared" si="11"/>
        <v>9.1000000000000004E-3</v>
      </c>
      <c r="O24" s="1561">
        <f t="shared" si="11"/>
        <v>6.8000000000000005E-3</v>
      </c>
      <c r="P24" s="1561">
        <f t="shared" si="11"/>
        <v>9.7999999999999997E-3</v>
      </c>
      <c r="Q24" s="1561">
        <f t="shared" si="11"/>
        <v>9.0000000000000011E-3</v>
      </c>
      <c r="R24" s="1562"/>
      <c r="S24" s="1676"/>
      <c r="T24" s="1563"/>
      <c r="U24" s="1563"/>
      <c r="V24" s="1563"/>
      <c r="AC24" s="1563"/>
      <c r="AD24" s="1563"/>
      <c r="AE24" s="1563"/>
      <c r="AF24" s="1563"/>
    </row>
    <row r="25" spans="1:32">
      <c r="A25" s="1553" t="s">
        <v>1669</v>
      </c>
      <c r="B25" s="1564">
        <f>B24/(1+N24)</f>
        <v>275.49301357645425</v>
      </c>
      <c r="C25" s="1564">
        <f>C24/(1+O24)</f>
        <v>232.41954707985698</v>
      </c>
      <c r="D25" s="1564">
        <f t="shared" si="9"/>
        <v>232.41954707985698</v>
      </c>
      <c r="E25" s="1564">
        <f t="shared" ref="E25:F27" si="18">E24/(1+P24)</f>
        <v>375.32184591008121</v>
      </c>
      <c r="F25" s="1564">
        <f t="shared" si="18"/>
        <v>218.03766105054513</v>
      </c>
      <c r="G25" s="1847"/>
      <c r="H25" s="1572">
        <v>3</v>
      </c>
      <c r="I25" s="1572">
        <v>0.09</v>
      </c>
      <c r="J25" s="1572">
        <v>0.28999999999999998</v>
      </c>
      <c r="K25" s="1572">
        <v>-0.01</v>
      </c>
      <c r="L25" s="1573">
        <v>0.57999999999999996</v>
      </c>
      <c r="N25" s="1666">
        <f t="shared" si="11"/>
        <v>8.9999999999999998E-4</v>
      </c>
      <c r="O25" s="1561">
        <f t="shared" si="11"/>
        <v>2.8999999999999998E-3</v>
      </c>
      <c r="P25" s="1561">
        <f t="shared" si="11"/>
        <v>-1E-4</v>
      </c>
      <c r="Q25" s="1561">
        <f t="shared" si="11"/>
        <v>5.7999999999999996E-3</v>
      </c>
      <c r="R25" s="1562"/>
      <c r="S25" s="1666"/>
      <c r="T25" s="1561"/>
      <c r="U25" s="1561"/>
      <c r="V25" s="1561"/>
    </row>
    <row r="26" spans="1:32">
      <c r="A26" s="1553" t="s">
        <v>1670</v>
      </c>
      <c r="B26" s="1564">
        <f>B25/(1+N25)</f>
        <v>275.24529281292263</v>
      </c>
      <c r="C26" s="1564">
        <f>C25/(1+O25)</f>
        <v>231.74747938962707</v>
      </c>
      <c r="D26" s="1564">
        <f t="shared" si="9"/>
        <v>231.74747938962707</v>
      </c>
      <c r="E26" s="1564">
        <f t="shared" si="18"/>
        <v>375.35938184826603</v>
      </c>
      <c r="F26" s="1564">
        <f t="shared" si="18"/>
        <v>216.78033510692495</v>
      </c>
      <c r="G26" s="1847"/>
      <c r="H26" s="1558">
        <v>2</v>
      </c>
      <c r="I26" s="1558">
        <v>0.02</v>
      </c>
      <c r="J26" s="1558">
        <v>0.12</v>
      </c>
      <c r="K26" s="1558">
        <v>-0.08</v>
      </c>
      <c r="L26" s="1566">
        <v>1.24</v>
      </c>
      <c r="N26" s="1666">
        <f t="shared" si="11"/>
        <v>2.0000000000000001E-4</v>
      </c>
      <c r="O26" s="1561">
        <f t="shared" si="11"/>
        <v>1.1999999999999999E-3</v>
      </c>
      <c r="P26" s="1561">
        <f t="shared" si="11"/>
        <v>-8.0000000000000004E-4</v>
      </c>
      <c r="Q26" s="1561">
        <f t="shared" si="11"/>
        <v>1.24E-2</v>
      </c>
      <c r="R26" s="1562"/>
      <c r="S26" s="1666"/>
      <c r="T26" s="1561"/>
      <c r="U26" s="1561"/>
      <c r="V26" s="1561"/>
    </row>
    <row r="27" spans="1:32" ht="13.5" thickBot="1">
      <c r="A27" s="1553" t="s">
        <v>1671</v>
      </c>
      <c r="B27" s="1564">
        <f>B26/(1+N26)</f>
        <v>275.19025476197027</v>
      </c>
      <c r="C27" s="1581">
        <v>232</v>
      </c>
      <c r="D27" s="1581">
        <f t="shared" si="9"/>
        <v>232</v>
      </c>
      <c r="E27" s="1564">
        <f t="shared" si="18"/>
        <v>375.65990977608692</v>
      </c>
      <c r="F27" s="1564">
        <f t="shared" si="18"/>
        <v>214.12518283971252</v>
      </c>
      <c r="G27" s="1848"/>
      <c r="H27" s="1557">
        <v>1</v>
      </c>
      <c r="I27" s="1557">
        <v>0.02</v>
      </c>
      <c r="J27" s="1557">
        <v>0.13</v>
      </c>
      <c r="K27" s="1557">
        <v>-0.04</v>
      </c>
      <c r="L27" s="1565">
        <v>0.46</v>
      </c>
      <c r="N27" s="1666">
        <f t="shared" si="11"/>
        <v>2.0000000000000001E-4</v>
      </c>
      <c r="O27" s="1561">
        <f t="shared" si="11"/>
        <v>1.2999999999999999E-3</v>
      </c>
      <c r="P27" s="1561">
        <f t="shared" si="11"/>
        <v>-4.0000000000000002E-4</v>
      </c>
      <c r="Q27" s="1561">
        <f t="shared" si="11"/>
        <v>4.5999999999999999E-3</v>
      </c>
      <c r="R27" s="1562"/>
      <c r="S27" s="1668">
        <f>B27/B28-1</f>
        <v>6.9183549807361189E-4</v>
      </c>
      <c r="T27" s="1567">
        <f>C27/C28-1</f>
        <v>0</v>
      </c>
      <c r="U27" s="1567">
        <f>E27/E28-1</f>
        <v>-9.0449527636460303E-4</v>
      </c>
      <c r="V27" s="1567">
        <f>F27/F28-1</f>
        <v>5.2825485432512753E-3</v>
      </c>
      <c r="AC27" s="1568"/>
      <c r="AD27" s="1568"/>
      <c r="AE27" s="1568"/>
      <c r="AF27" s="1568"/>
    </row>
    <row r="28" spans="1:32" ht="13.5" thickBot="1">
      <c r="A28" s="1553" t="s">
        <v>1672</v>
      </c>
      <c r="B28" s="1559">
        <v>275</v>
      </c>
      <c r="C28" s="1559">
        <v>232</v>
      </c>
      <c r="D28" s="1559">
        <f t="shared" si="9"/>
        <v>232</v>
      </c>
      <c r="E28" s="1559">
        <v>376</v>
      </c>
      <c r="F28" s="1658">
        <v>213</v>
      </c>
      <c r="G28" s="1846">
        <v>2011</v>
      </c>
      <c r="H28" s="1569">
        <v>4</v>
      </c>
      <c r="I28" s="1569">
        <v>-0.2</v>
      </c>
      <c r="J28" s="1569">
        <v>0.04</v>
      </c>
      <c r="K28" s="1569">
        <v>-0.34</v>
      </c>
      <c r="L28" s="1570">
        <v>0.46</v>
      </c>
      <c r="N28" s="1667">
        <f t="shared" si="11"/>
        <v>-2E-3</v>
      </c>
      <c r="O28" s="1571">
        <f t="shared" si="11"/>
        <v>4.0000000000000002E-4</v>
      </c>
      <c r="P28" s="1571">
        <f t="shared" si="11"/>
        <v>-3.4000000000000002E-3</v>
      </c>
      <c r="Q28" s="1571">
        <f t="shared" si="11"/>
        <v>4.5999999999999999E-3</v>
      </c>
      <c r="R28" s="1562"/>
      <c r="S28" s="1676"/>
      <c r="T28" s="1563"/>
      <c r="U28" s="1563"/>
      <c r="V28" s="1563"/>
      <c r="AC28" s="1563"/>
      <c r="AD28" s="1563"/>
      <c r="AE28" s="1563"/>
      <c r="AF28" s="1563"/>
    </row>
    <row r="29" spans="1:32">
      <c r="A29" s="1553" t="s">
        <v>1673</v>
      </c>
      <c r="B29" s="1564">
        <f t="shared" ref="B29:C31" si="19">B28/(1+N28)</f>
        <v>275.55110220440883</v>
      </c>
      <c r="C29" s="1564">
        <f t="shared" si="19"/>
        <v>231.90723710515795</v>
      </c>
      <c r="D29" s="1564">
        <f t="shared" si="9"/>
        <v>231.90723710515795</v>
      </c>
      <c r="E29" s="1564">
        <f t="shared" ref="E29:F31" si="20">E28/(1+P28)</f>
        <v>377.28276138872161</v>
      </c>
      <c r="F29" s="1564">
        <f t="shared" si="20"/>
        <v>212.02468644236512</v>
      </c>
      <c r="G29" s="1847">
        <v>2011</v>
      </c>
      <c r="H29" s="1572">
        <v>3</v>
      </c>
      <c r="I29" s="1572">
        <v>0.13</v>
      </c>
      <c r="J29" s="1572">
        <v>0.75</v>
      </c>
      <c r="K29" s="1572">
        <v>-0.08</v>
      </c>
      <c r="L29" s="1573">
        <v>0.53</v>
      </c>
      <c r="N29" s="1666">
        <f t="shared" si="11"/>
        <v>1.2999999999999999E-3</v>
      </c>
      <c r="O29" s="1574">
        <f t="shared" si="11"/>
        <v>7.4999999999999997E-3</v>
      </c>
      <c r="P29" s="1574">
        <f t="shared" si="11"/>
        <v>-8.0000000000000004E-4</v>
      </c>
      <c r="Q29" s="1574">
        <f t="shared" si="11"/>
        <v>5.3E-3</v>
      </c>
      <c r="R29" s="1562"/>
      <c r="S29" s="1666"/>
      <c r="T29" s="1561"/>
      <c r="U29" s="1561"/>
      <c r="V29" s="1561"/>
    </row>
    <row r="30" spans="1:32">
      <c r="A30" s="1553" t="s">
        <v>1674</v>
      </c>
      <c r="B30" s="1564">
        <f t="shared" si="19"/>
        <v>275.19335084830601</v>
      </c>
      <c r="C30" s="1564">
        <f t="shared" si="19"/>
        <v>230.18088050139744</v>
      </c>
      <c r="D30" s="1564">
        <f t="shared" si="9"/>
        <v>230.18088050139744</v>
      </c>
      <c r="E30" s="1564">
        <f t="shared" si="20"/>
        <v>377.58482925212331</v>
      </c>
      <c r="F30" s="1564">
        <f t="shared" si="20"/>
        <v>210.90687997847917</v>
      </c>
      <c r="G30" s="1847">
        <v>2011</v>
      </c>
      <c r="H30" s="1558">
        <v>2</v>
      </c>
      <c r="I30" s="1558">
        <v>-0.4</v>
      </c>
      <c r="J30" s="1558">
        <v>0.17</v>
      </c>
      <c r="K30" s="1558">
        <v>-0.57999999999999996</v>
      </c>
      <c r="L30" s="1566">
        <v>-0.2</v>
      </c>
      <c r="N30" s="1666">
        <f t="shared" si="11"/>
        <v>-4.0000000000000001E-3</v>
      </c>
      <c r="O30" s="1574">
        <f t="shared" si="11"/>
        <v>1.7000000000000001E-3</v>
      </c>
      <c r="P30" s="1574">
        <f t="shared" si="11"/>
        <v>-5.7999999999999996E-3</v>
      </c>
      <c r="Q30" s="1574">
        <f t="shared" si="11"/>
        <v>-2E-3</v>
      </c>
      <c r="R30" s="1562"/>
      <c r="S30" s="1666"/>
      <c r="T30" s="1561"/>
      <c r="U30" s="1561"/>
      <c r="V30" s="1561"/>
    </row>
    <row r="31" spans="1:32" ht="13.5" thickBot="1">
      <c r="A31" s="1553" t="s">
        <v>1675</v>
      </c>
      <c r="B31" s="1564">
        <f t="shared" si="19"/>
        <v>276.29854502841971</v>
      </c>
      <c r="C31" s="1564">
        <f t="shared" si="19"/>
        <v>229.79023709833027</v>
      </c>
      <c r="D31" s="1564">
        <f t="shared" si="9"/>
        <v>229.79023709833027</v>
      </c>
      <c r="E31" s="1564">
        <f t="shared" si="20"/>
        <v>379.78759731655936</v>
      </c>
      <c r="F31" s="1564">
        <f t="shared" si="20"/>
        <v>211.32953905659235</v>
      </c>
      <c r="G31" s="1848">
        <v>2011</v>
      </c>
      <c r="H31" s="1557">
        <v>1</v>
      </c>
      <c r="I31" s="1557">
        <v>2.65</v>
      </c>
      <c r="J31" s="1557">
        <v>3.76</v>
      </c>
      <c r="K31" s="1557">
        <v>1.89</v>
      </c>
      <c r="L31" s="1565">
        <v>7.95</v>
      </c>
      <c r="N31" s="1668">
        <f t="shared" si="11"/>
        <v>2.6499999999999999E-2</v>
      </c>
      <c r="O31" s="1567">
        <f t="shared" si="11"/>
        <v>3.7599999999999995E-2</v>
      </c>
      <c r="P31" s="1567">
        <f t="shared" si="11"/>
        <v>1.89E-2</v>
      </c>
      <c r="Q31" s="1567">
        <f t="shared" si="11"/>
        <v>7.9500000000000001E-2</v>
      </c>
      <c r="R31" s="1562"/>
      <c r="S31" s="1668">
        <f>B31/B32-1</f>
        <v>2.713213765211786E-2</v>
      </c>
      <c r="T31" s="1567">
        <f>C31/C32-1</f>
        <v>3.9774828499231862E-2</v>
      </c>
      <c r="U31" s="1567">
        <f>E31/E32-1</f>
        <v>1.8197311840641772E-2</v>
      </c>
      <c r="V31" s="1567">
        <f>F31/F32-1</f>
        <v>7.8211933962205826E-2</v>
      </c>
      <c r="AC31" s="1568"/>
      <c r="AD31" s="1568"/>
      <c r="AE31" s="1568"/>
      <c r="AF31" s="1568"/>
    </row>
    <row r="32" spans="1:32" ht="13.5" thickBot="1">
      <c r="A32" s="1553" t="s">
        <v>1676</v>
      </c>
      <c r="B32" s="1559">
        <v>269</v>
      </c>
      <c r="C32" s="1559">
        <v>221</v>
      </c>
      <c r="D32" s="1559">
        <f t="shared" si="9"/>
        <v>221</v>
      </c>
      <c r="E32" s="1559">
        <v>373</v>
      </c>
      <c r="F32" s="1658">
        <v>196</v>
      </c>
      <c r="G32" s="1846">
        <v>2010</v>
      </c>
      <c r="H32" s="1569">
        <v>4</v>
      </c>
      <c r="I32" s="1569">
        <v>5.72</v>
      </c>
      <c r="J32" s="1569">
        <v>6.57</v>
      </c>
      <c r="K32" s="1569">
        <v>5.72</v>
      </c>
      <c r="L32" s="1570">
        <v>2.72</v>
      </c>
      <c r="N32" s="1666">
        <f t="shared" si="11"/>
        <v>5.7200000000000001E-2</v>
      </c>
      <c r="O32" s="1561">
        <f t="shared" si="11"/>
        <v>6.5700000000000008E-2</v>
      </c>
      <c r="P32" s="1561">
        <f t="shared" si="11"/>
        <v>5.7200000000000001E-2</v>
      </c>
      <c r="Q32" s="1561">
        <f t="shared" si="11"/>
        <v>2.7200000000000002E-2</v>
      </c>
      <c r="R32" s="1562"/>
      <c r="S32" s="1676"/>
      <c r="T32" s="1563"/>
      <c r="U32" s="1563"/>
      <c r="V32" s="1563"/>
      <c r="AC32" s="1563"/>
      <c r="AD32" s="1563"/>
      <c r="AE32" s="1563"/>
      <c r="AF32" s="1563"/>
    </row>
    <row r="33" spans="1:32">
      <c r="A33" s="1553" t="s">
        <v>1677</v>
      </c>
      <c r="B33" s="1564">
        <f t="shared" ref="B33:C35" si="21">B32/(1+N32)</f>
        <v>254.44570563753314</v>
      </c>
      <c r="C33" s="1564">
        <f t="shared" si="21"/>
        <v>207.37543398705074</v>
      </c>
      <c r="D33" s="1564">
        <f t="shared" si="9"/>
        <v>207.37543398705074</v>
      </c>
      <c r="E33" s="1564">
        <f t="shared" ref="E33:F35" si="22">E32/(1+P32)</f>
        <v>352.81876655315932</v>
      </c>
      <c r="F33" s="1564">
        <f t="shared" si="22"/>
        <v>190.809968847352</v>
      </c>
      <c r="G33" s="1847">
        <v>2010</v>
      </c>
      <c r="H33" s="1572">
        <v>3</v>
      </c>
      <c r="I33" s="1572">
        <v>4.7300000000000004</v>
      </c>
      <c r="J33" s="1572">
        <v>3.9</v>
      </c>
      <c r="K33" s="1572">
        <v>5.03</v>
      </c>
      <c r="L33" s="1573">
        <v>4.21</v>
      </c>
      <c r="N33" s="1666">
        <f t="shared" si="11"/>
        <v>4.7300000000000002E-2</v>
      </c>
      <c r="O33" s="1561">
        <f t="shared" si="11"/>
        <v>3.9E-2</v>
      </c>
      <c r="P33" s="1561">
        <f t="shared" si="11"/>
        <v>5.0300000000000004E-2</v>
      </c>
      <c r="Q33" s="1561">
        <f t="shared" si="11"/>
        <v>4.2099999999999999E-2</v>
      </c>
      <c r="R33" s="1562"/>
      <c r="S33" s="1666"/>
      <c r="T33" s="1561"/>
      <c r="U33" s="1561"/>
      <c r="V33" s="1561"/>
    </row>
    <row r="34" spans="1:32">
      <c r="A34" s="1553" t="s">
        <v>1678</v>
      </c>
      <c r="B34" s="1564">
        <f t="shared" si="21"/>
        <v>242.95398227588385</v>
      </c>
      <c r="C34" s="1564">
        <f t="shared" si="21"/>
        <v>199.59137053614126</v>
      </c>
      <c r="D34" s="1564">
        <f t="shared" si="9"/>
        <v>199.59137053614126</v>
      </c>
      <c r="E34" s="1564">
        <f t="shared" si="22"/>
        <v>335.92189522342125</v>
      </c>
      <c r="F34" s="1564">
        <f t="shared" si="22"/>
        <v>183.10139991109489</v>
      </c>
      <c r="G34" s="1847">
        <v>2010</v>
      </c>
      <c r="H34" s="1558">
        <v>2</v>
      </c>
      <c r="I34" s="1558">
        <v>4.6900000000000004</v>
      </c>
      <c r="J34" s="1558">
        <v>3.55</v>
      </c>
      <c r="K34" s="1558">
        <v>5.07</v>
      </c>
      <c r="L34" s="1566">
        <v>4.2300000000000004</v>
      </c>
      <c r="N34" s="1666">
        <f t="shared" si="11"/>
        <v>4.6900000000000004E-2</v>
      </c>
      <c r="O34" s="1561">
        <f t="shared" si="11"/>
        <v>3.5499999999999997E-2</v>
      </c>
      <c r="P34" s="1561">
        <f t="shared" si="11"/>
        <v>5.0700000000000002E-2</v>
      </c>
      <c r="Q34" s="1561">
        <f t="shared" si="11"/>
        <v>4.2300000000000004E-2</v>
      </c>
      <c r="R34" s="1562"/>
      <c r="S34" s="1666"/>
      <c r="T34" s="1561"/>
      <c r="U34" s="1561"/>
      <c r="V34" s="1561"/>
    </row>
    <row r="35" spans="1:32" ht="13.5" thickBot="1">
      <c r="A35" s="1553" t="s">
        <v>1679</v>
      </c>
      <c r="B35" s="1564">
        <f t="shared" si="21"/>
        <v>232.06990378821649</v>
      </c>
      <c r="C35" s="1564">
        <f t="shared" si="21"/>
        <v>192.74878854286936</v>
      </c>
      <c r="D35" s="1564">
        <f t="shared" si="9"/>
        <v>192.74878854286936</v>
      </c>
      <c r="E35" s="1564">
        <f t="shared" si="22"/>
        <v>319.71247284992984</v>
      </c>
      <c r="F35" s="1564">
        <f t="shared" si="22"/>
        <v>175.67053622862409</v>
      </c>
      <c r="G35" s="1848">
        <v>2010</v>
      </c>
      <c r="H35" s="1557">
        <v>1</v>
      </c>
      <c r="I35" s="1557">
        <v>5.4</v>
      </c>
      <c r="J35" s="1557">
        <v>3.2</v>
      </c>
      <c r="K35" s="1557">
        <v>6.16</v>
      </c>
      <c r="L35" s="1565">
        <v>4.51</v>
      </c>
      <c r="N35" s="1666">
        <f t="shared" si="11"/>
        <v>5.4000000000000006E-2</v>
      </c>
      <c r="O35" s="1561">
        <f t="shared" si="11"/>
        <v>3.2000000000000001E-2</v>
      </c>
      <c r="P35" s="1561">
        <f t="shared" si="11"/>
        <v>6.1600000000000002E-2</v>
      </c>
      <c r="Q35" s="1561">
        <f t="shared" si="11"/>
        <v>4.5100000000000001E-2</v>
      </c>
      <c r="R35" s="1562"/>
      <c r="S35" s="1668">
        <f>B35/B36-1</f>
        <v>5.4863199037347599E-2</v>
      </c>
      <c r="T35" s="1567">
        <f>C35/C36-1</f>
        <v>3.0742184721226584E-2</v>
      </c>
      <c r="U35" s="1567">
        <f>E35/E36-1</f>
        <v>6.2167683886810154E-2</v>
      </c>
      <c r="V35" s="1567">
        <f>F35/F36-1</f>
        <v>4.5657953741810031E-2</v>
      </c>
      <c r="AC35" s="1568"/>
      <c r="AD35" s="1568"/>
      <c r="AE35" s="1568"/>
      <c r="AF35" s="1568"/>
    </row>
    <row r="36" spans="1:32" ht="13.5" thickBot="1">
      <c r="A36" s="1553" t="s">
        <v>1680</v>
      </c>
      <c r="B36" s="1559">
        <v>220</v>
      </c>
      <c r="C36" s="1559">
        <v>187</v>
      </c>
      <c r="D36" s="1559">
        <f t="shared" si="9"/>
        <v>187</v>
      </c>
      <c r="E36" s="1559">
        <v>301</v>
      </c>
      <c r="F36" s="1658">
        <v>168</v>
      </c>
      <c r="G36" s="1846">
        <v>2009</v>
      </c>
      <c r="H36" s="1569">
        <v>4</v>
      </c>
      <c r="I36" s="1569">
        <v>2.2999999999999998</v>
      </c>
      <c r="J36" s="1569">
        <v>1.04</v>
      </c>
      <c r="K36" s="1569">
        <v>2.84</v>
      </c>
      <c r="L36" s="1570">
        <v>0.67</v>
      </c>
      <c r="N36" s="1667">
        <f t="shared" si="11"/>
        <v>2.3E-2</v>
      </c>
      <c r="O36" s="1571">
        <f t="shared" si="11"/>
        <v>1.04E-2</v>
      </c>
      <c r="P36" s="1571">
        <f t="shared" si="11"/>
        <v>2.8399999999999998E-2</v>
      </c>
      <c r="Q36" s="1571">
        <f t="shared" si="11"/>
        <v>6.7000000000000002E-3</v>
      </c>
      <c r="R36" s="1562"/>
      <c r="S36" s="1676"/>
      <c r="T36" s="1563"/>
      <c r="U36" s="1563"/>
      <c r="V36" s="1563"/>
      <c r="AC36" s="1563"/>
      <c r="AD36" s="1563"/>
      <c r="AE36" s="1563"/>
      <c r="AF36" s="1563"/>
    </row>
    <row r="37" spans="1:32">
      <c r="A37" s="1553" t="s">
        <v>1681</v>
      </c>
      <c r="B37" s="1564">
        <f t="shared" ref="B37:C39" si="23">B36/(1+N36)</f>
        <v>215.05376344086022</v>
      </c>
      <c r="C37" s="1564">
        <f t="shared" si="23"/>
        <v>185.0752177355503</v>
      </c>
      <c r="D37" s="1564">
        <f t="shared" si="9"/>
        <v>185.0752177355503</v>
      </c>
      <c r="E37" s="1564">
        <f t="shared" ref="E37:F39" si="24">E36/(1+P36)</f>
        <v>292.68767016725008</v>
      </c>
      <c r="F37" s="1564">
        <f t="shared" si="24"/>
        <v>166.88189132810174</v>
      </c>
      <c r="G37" s="1847">
        <v>2009</v>
      </c>
      <c r="H37" s="1572">
        <v>3</v>
      </c>
      <c r="I37" s="1572">
        <v>2.1</v>
      </c>
      <c r="J37" s="1572">
        <v>1.86</v>
      </c>
      <c r="K37" s="1572">
        <v>2.29</v>
      </c>
      <c r="L37" s="1573">
        <v>0.85</v>
      </c>
      <c r="N37" s="1666">
        <f t="shared" si="11"/>
        <v>2.1000000000000001E-2</v>
      </c>
      <c r="O37" s="1574">
        <f t="shared" si="11"/>
        <v>1.8600000000000002E-2</v>
      </c>
      <c r="P37" s="1574">
        <f t="shared" si="11"/>
        <v>2.29E-2</v>
      </c>
      <c r="Q37" s="1574">
        <f t="shared" si="11"/>
        <v>8.5000000000000006E-3</v>
      </c>
      <c r="R37" s="1562"/>
      <c r="S37" s="1666"/>
      <c r="T37" s="1561"/>
      <c r="U37" s="1561"/>
      <c r="V37" s="1561"/>
    </row>
    <row r="38" spans="1:32">
      <c r="A38" s="1553" t="s">
        <v>1682</v>
      </c>
      <c r="B38" s="1564">
        <f t="shared" si="23"/>
        <v>210.630522469011</v>
      </c>
      <c r="C38" s="1564">
        <f t="shared" si="23"/>
        <v>181.69567812247232</v>
      </c>
      <c r="D38" s="1564">
        <f t="shared" si="9"/>
        <v>181.69567812247232</v>
      </c>
      <c r="E38" s="1564">
        <f t="shared" si="24"/>
        <v>286.13517466736738</v>
      </c>
      <c r="F38" s="1564">
        <f t="shared" si="24"/>
        <v>165.47535084591149</v>
      </c>
      <c r="G38" s="1847">
        <v>2009</v>
      </c>
      <c r="H38" s="1558">
        <v>2</v>
      </c>
      <c r="I38" s="1558">
        <v>0.86</v>
      </c>
      <c r="J38" s="1558">
        <v>-1.1299999999999999</v>
      </c>
      <c r="K38" s="1558">
        <v>1.79</v>
      </c>
      <c r="L38" s="1566">
        <v>-2.0699999999999998</v>
      </c>
      <c r="N38" s="1666">
        <f t="shared" si="11"/>
        <v>8.6E-3</v>
      </c>
      <c r="O38" s="1574">
        <f t="shared" si="11"/>
        <v>-1.1299999999999999E-2</v>
      </c>
      <c r="P38" s="1574">
        <f t="shared" si="11"/>
        <v>1.7899999999999999E-2</v>
      </c>
      <c r="Q38" s="1574">
        <f t="shared" si="11"/>
        <v>-2.07E-2</v>
      </c>
      <c r="R38" s="1562"/>
      <c r="S38" s="1666"/>
      <c r="T38" s="1561"/>
      <c r="U38" s="1561"/>
      <c r="V38" s="1561"/>
    </row>
    <row r="39" spans="1:32">
      <c r="A39" s="1553" t="s">
        <v>1683</v>
      </c>
      <c r="B39" s="1564">
        <f t="shared" si="23"/>
        <v>208.83454537875372</v>
      </c>
      <c r="C39" s="1564">
        <f t="shared" si="23"/>
        <v>183.77230517090351</v>
      </c>
      <c r="D39" s="1564">
        <f t="shared" si="9"/>
        <v>183.77230517090351</v>
      </c>
      <c r="E39" s="1564">
        <f t="shared" si="24"/>
        <v>281.10342338870947</v>
      </c>
      <c r="F39" s="1564">
        <f t="shared" si="24"/>
        <v>168.97309388942256</v>
      </c>
      <c r="G39" s="1848">
        <v>2009</v>
      </c>
      <c r="H39" s="1557">
        <v>1</v>
      </c>
      <c r="I39" s="1557">
        <v>-2.64</v>
      </c>
      <c r="J39" s="1557">
        <v>-2.5299999999999998</v>
      </c>
      <c r="K39" s="1557">
        <v>-3.02</v>
      </c>
      <c r="L39" s="1565">
        <v>1.52</v>
      </c>
      <c r="N39" s="1668">
        <f t="shared" si="11"/>
        <v>-2.64E-2</v>
      </c>
      <c r="O39" s="1567">
        <f t="shared" si="11"/>
        <v>-2.53E-2</v>
      </c>
      <c r="P39" s="1567">
        <f t="shared" si="11"/>
        <v>-3.0200000000000001E-2</v>
      </c>
      <c r="Q39" s="1567">
        <f t="shared" si="11"/>
        <v>1.52E-2</v>
      </c>
      <c r="R39" s="1562"/>
      <c r="S39" s="1668">
        <f>B39/B40-1</f>
        <v>-2.4137638417038754E-2</v>
      </c>
      <c r="T39" s="1567">
        <f>C39/C40-1</f>
        <v>-2.248773845264096E-2</v>
      </c>
      <c r="U39" s="1567">
        <f>E39/E40-1</f>
        <v>-2.7323794502735366E-2</v>
      </c>
      <c r="V39" s="1567">
        <f>F39/F40-1</f>
        <v>1.7910204153148035E-2</v>
      </c>
      <c r="AC39" s="1568"/>
      <c r="AD39" s="1568"/>
      <c r="AE39" s="1568"/>
      <c r="AF39" s="1568"/>
    </row>
    <row r="40" spans="1:32" ht="13.5" thickBot="1">
      <c r="A40" s="1553" t="s">
        <v>1684</v>
      </c>
      <c r="B40" s="1580">
        <v>214</v>
      </c>
      <c r="C40" s="1580">
        <v>188</v>
      </c>
      <c r="D40" s="1580">
        <f t="shared" si="9"/>
        <v>188</v>
      </c>
      <c r="E40" s="1580">
        <v>289</v>
      </c>
      <c r="F40" s="1660">
        <v>166</v>
      </c>
      <c r="G40" s="1846">
        <v>2008</v>
      </c>
      <c r="H40" s="1569">
        <v>4</v>
      </c>
      <c r="I40" s="1569">
        <v>1.73</v>
      </c>
      <c r="J40" s="1569">
        <v>0.03</v>
      </c>
      <c r="K40" s="1569">
        <v>2.59</v>
      </c>
      <c r="L40" s="1570">
        <v>-1.66</v>
      </c>
      <c r="N40" s="1666">
        <f t="shared" si="11"/>
        <v>1.7299999999999999E-2</v>
      </c>
      <c r="O40" s="1561">
        <f t="shared" si="11"/>
        <v>2.9999999999999997E-4</v>
      </c>
      <c r="P40" s="1561">
        <f t="shared" si="11"/>
        <v>2.5899999999999999E-2</v>
      </c>
      <c r="Q40" s="1561">
        <f t="shared" si="11"/>
        <v>-1.66E-2</v>
      </c>
      <c r="R40" s="1562"/>
      <c r="S40" s="1676"/>
      <c r="T40" s="1563"/>
      <c r="U40" s="1563"/>
      <c r="V40" s="1563"/>
      <c r="AC40" s="1563"/>
      <c r="AD40" s="1563"/>
      <c r="AE40" s="1563"/>
      <c r="AF40" s="1563"/>
    </row>
    <row r="41" spans="1:32">
      <c r="A41" s="1553" t="s">
        <v>1685</v>
      </c>
      <c r="B41" s="1564">
        <f t="shared" ref="B41:C43" si="25">B40/(1+N40)</f>
        <v>210.36075887152265</v>
      </c>
      <c r="C41" s="1564">
        <f t="shared" si="25"/>
        <v>187.94361691492554</v>
      </c>
      <c r="D41" s="1564">
        <f t="shared" si="9"/>
        <v>187.94361691492554</v>
      </c>
      <c r="E41" s="1564">
        <f t="shared" ref="E41:F43" si="26">E40/(1+P40)</f>
        <v>281.70386977288234</v>
      </c>
      <c r="F41" s="1564">
        <f t="shared" si="26"/>
        <v>168.80211511083994</v>
      </c>
      <c r="G41" s="1847">
        <v>2008</v>
      </c>
      <c r="H41" s="1572">
        <v>3</v>
      </c>
      <c r="I41" s="1572">
        <v>1.96</v>
      </c>
      <c r="J41" s="1572">
        <v>2.36</v>
      </c>
      <c r="K41" s="1572">
        <v>1.82</v>
      </c>
      <c r="L41" s="1573">
        <v>2.2200000000000002</v>
      </c>
      <c r="N41" s="1666">
        <f t="shared" si="11"/>
        <v>1.9599999999999999E-2</v>
      </c>
      <c r="O41" s="1561">
        <f t="shared" si="11"/>
        <v>2.3599999999999999E-2</v>
      </c>
      <c r="P41" s="1561">
        <f t="shared" si="11"/>
        <v>1.8200000000000001E-2</v>
      </c>
      <c r="Q41" s="1561">
        <f t="shared" si="11"/>
        <v>2.2200000000000001E-2</v>
      </c>
      <c r="R41" s="1562"/>
      <c r="S41" s="1666"/>
      <c r="T41" s="1561"/>
      <c r="U41" s="1561"/>
      <c r="V41" s="1561"/>
    </row>
    <row r="42" spans="1:32">
      <c r="A42" s="1553" t="s">
        <v>1686</v>
      </c>
      <c r="B42" s="1564">
        <f t="shared" si="25"/>
        <v>206.31694671589116</v>
      </c>
      <c r="C42" s="1564">
        <f t="shared" si="25"/>
        <v>183.61041121036101</v>
      </c>
      <c r="D42" s="1564">
        <f t="shared" si="9"/>
        <v>183.61041121036101</v>
      </c>
      <c r="E42" s="1564">
        <f t="shared" si="26"/>
        <v>276.66850301795557</v>
      </c>
      <c r="F42" s="1564">
        <f t="shared" si="26"/>
        <v>165.1360938278614</v>
      </c>
      <c r="G42" s="1847">
        <v>2008</v>
      </c>
      <c r="H42" s="1558">
        <v>2</v>
      </c>
      <c r="I42" s="1558">
        <v>4.93</v>
      </c>
      <c r="J42" s="1558">
        <v>7.38</v>
      </c>
      <c r="K42" s="1558">
        <v>3.98</v>
      </c>
      <c r="L42" s="1566">
        <v>6.86</v>
      </c>
      <c r="N42" s="1666">
        <f t="shared" si="11"/>
        <v>4.9299999999999997E-2</v>
      </c>
      <c r="O42" s="1561">
        <f t="shared" si="11"/>
        <v>7.3800000000000004E-2</v>
      </c>
      <c r="P42" s="1561">
        <f t="shared" si="11"/>
        <v>3.9800000000000002E-2</v>
      </c>
      <c r="Q42" s="1561">
        <f t="shared" si="11"/>
        <v>6.8600000000000008E-2</v>
      </c>
      <c r="R42" s="1562"/>
      <c r="S42" s="1666"/>
      <c r="T42" s="1561"/>
      <c r="U42" s="1561"/>
      <c r="V42" s="1561"/>
    </row>
    <row r="43" spans="1:32" s="1585" customFormat="1" ht="13.5" thickBot="1">
      <c r="A43" s="1553" t="s">
        <v>1687</v>
      </c>
      <c r="B43" s="1582">
        <f t="shared" si="25"/>
        <v>196.62341248059772</v>
      </c>
      <c r="C43" s="1582">
        <f t="shared" si="25"/>
        <v>170.99125648199012</v>
      </c>
      <c r="D43" s="1582">
        <f t="shared" si="9"/>
        <v>170.99125648199012</v>
      </c>
      <c r="E43" s="1582">
        <f t="shared" si="26"/>
        <v>266.07857570490052</v>
      </c>
      <c r="F43" s="1582">
        <f t="shared" si="26"/>
        <v>154.53499328828505</v>
      </c>
      <c r="G43" s="1848">
        <v>2008</v>
      </c>
      <c r="H43" s="1583">
        <v>1</v>
      </c>
      <c r="I43" s="1583">
        <v>4.1399999999999997</v>
      </c>
      <c r="J43" s="1583">
        <v>3.45</v>
      </c>
      <c r="K43" s="1583">
        <v>4.95</v>
      </c>
      <c r="L43" s="1584">
        <v>4.82</v>
      </c>
      <c r="N43" s="1670">
        <f t="shared" si="11"/>
        <v>4.1399999999999999E-2</v>
      </c>
      <c r="O43" s="1586">
        <f t="shared" si="11"/>
        <v>3.4500000000000003E-2</v>
      </c>
      <c r="P43" s="1586">
        <f t="shared" si="11"/>
        <v>4.9500000000000002E-2</v>
      </c>
      <c r="Q43" s="1586">
        <f t="shared" si="11"/>
        <v>4.82E-2</v>
      </c>
      <c r="R43" s="1587"/>
      <c r="S43" s="1670">
        <f>B43/B44-1</f>
        <v>4.5869215322328349E-2</v>
      </c>
      <c r="T43" s="1586">
        <f>C43/C44-1</f>
        <v>3.6310645345394743E-2</v>
      </c>
      <c r="U43" s="1586">
        <f>E43/E44-1</f>
        <v>4.7553447657088688E-2</v>
      </c>
      <c r="V43" s="1586">
        <f>F43/F44-1</f>
        <v>4.4155360055980086E-2</v>
      </c>
      <c r="AC43" s="1588"/>
      <c r="AD43" s="1588"/>
      <c r="AE43" s="1588"/>
      <c r="AF43" s="1588"/>
    </row>
    <row r="44" spans="1:32" ht="13.5" thickBot="1">
      <c r="A44" s="1553" t="s">
        <v>1688</v>
      </c>
      <c r="B44" s="1559">
        <v>188</v>
      </c>
      <c r="C44" s="1559">
        <v>165</v>
      </c>
      <c r="D44" s="1559">
        <f t="shared" si="9"/>
        <v>165</v>
      </c>
      <c r="E44" s="1559">
        <v>254</v>
      </c>
      <c r="F44" s="1658">
        <v>148</v>
      </c>
      <c r="G44" s="1846">
        <v>2007</v>
      </c>
      <c r="H44" s="1589">
        <v>4</v>
      </c>
      <c r="I44" s="1589">
        <v>5.51</v>
      </c>
      <c r="J44" s="1589">
        <v>4.8899999999999997</v>
      </c>
      <c r="K44" s="1589">
        <v>6.43</v>
      </c>
      <c r="L44" s="1590">
        <v>5.36</v>
      </c>
      <c r="N44" s="1671">
        <f t="shared" ref="N44:O47" si="27">B44/B45-1</f>
        <v>4.1339718365245526E-2</v>
      </c>
      <c r="O44" s="1591">
        <f t="shared" si="27"/>
        <v>4.0324492593776018E-2</v>
      </c>
      <c r="P44" s="1591">
        <f t="shared" ref="P44:Q47" si="28">E44/E45-1</f>
        <v>6.1625555347990968E-2</v>
      </c>
      <c r="Q44" s="1591">
        <f t="shared" si="28"/>
        <v>4.6757569250590603E-2</v>
      </c>
      <c r="R44" s="1562"/>
      <c r="S44" s="1676"/>
      <c r="T44" s="1563"/>
      <c r="U44" s="1563"/>
      <c r="V44" s="1563"/>
      <c r="AC44" s="1563"/>
      <c r="AD44" s="1563"/>
      <c r="AE44" s="1563"/>
      <c r="AF44" s="1563"/>
    </row>
    <row r="45" spans="1:32">
      <c r="A45" s="1553" t="s">
        <v>1689</v>
      </c>
      <c r="B45" s="1564">
        <f t="shared" ref="B45:C47" si="29">B46+(B$44-B$48)*I45/SUM(I$44:I$47)</f>
        <v>180.5366651097618</v>
      </c>
      <c r="C45" s="1564">
        <f t="shared" si="29"/>
        <v>158.60435967302453</v>
      </c>
      <c r="D45" s="1564">
        <f t="shared" si="9"/>
        <v>158.60435967302453</v>
      </c>
      <c r="E45" s="1564">
        <f t="shared" ref="E45:F47" si="30">E46+(E$44-E$48)*K45/SUM(K$44:K$47)</f>
        <v>239.25573260785075</v>
      </c>
      <c r="F45" s="1564">
        <f t="shared" si="30"/>
        <v>141.38899430740037</v>
      </c>
      <c r="G45" s="1847">
        <v>2007</v>
      </c>
      <c r="H45" s="1572">
        <v>3</v>
      </c>
      <c r="I45" s="1572">
        <v>8.65</v>
      </c>
      <c r="J45" s="1572">
        <v>8.06</v>
      </c>
      <c r="K45" s="1572">
        <v>9.94</v>
      </c>
      <c r="L45" s="1573">
        <v>5.8</v>
      </c>
      <c r="N45" s="1671">
        <f t="shared" si="27"/>
        <v>6.940217571740015E-2</v>
      </c>
      <c r="O45" s="1591">
        <f t="shared" si="27"/>
        <v>7.1197482471153428E-2</v>
      </c>
      <c r="P45" s="1591">
        <f t="shared" si="28"/>
        <v>0.10529679922579582</v>
      </c>
      <c r="Q45" s="1591">
        <f t="shared" si="28"/>
        <v>5.3292245059512133E-2</v>
      </c>
      <c r="R45" s="1562"/>
      <c r="S45" s="1666"/>
      <c r="T45" s="1561"/>
      <c r="U45" s="1561"/>
      <c r="V45" s="1561"/>
      <c r="AC45" s="1592"/>
      <c r="AD45" s="1592"/>
      <c r="AE45" s="1592"/>
      <c r="AF45" s="1592"/>
    </row>
    <row r="46" spans="1:32">
      <c r="A46" s="1553" t="s">
        <v>1690</v>
      </c>
      <c r="B46" s="1564">
        <f t="shared" si="29"/>
        <v>168.82017748715555</v>
      </c>
      <c r="C46" s="1564">
        <f t="shared" si="29"/>
        <v>148.06267029972753</v>
      </c>
      <c r="D46" s="1564">
        <f t="shared" si="9"/>
        <v>148.06267029972753</v>
      </c>
      <c r="E46" s="1564">
        <f t="shared" si="30"/>
        <v>216.46288379323747</v>
      </c>
      <c r="F46" s="1564">
        <f t="shared" si="30"/>
        <v>134.23529411764704</v>
      </c>
      <c r="G46" s="1847">
        <v>2007</v>
      </c>
      <c r="H46" s="1558">
        <v>2</v>
      </c>
      <c r="I46" s="1558">
        <v>3.67</v>
      </c>
      <c r="J46" s="1558">
        <v>2.3199999999999998</v>
      </c>
      <c r="K46" s="1558">
        <v>5.0199999999999996</v>
      </c>
      <c r="L46" s="1566">
        <v>6.71</v>
      </c>
      <c r="N46" s="1671">
        <f t="shared" si="27"/>
        <v>3.0339138143848032E-2</v>
      </c>
      <c r="O46" s="1591">
        <f t="shared" si="27"/>
        <v>2.0922341588790472E-2</v>
      </c>
      <c r="P46" s="1591">
        <f t="shared" si="28"/>
        <v>5.6164796592717003E-2</v>
      </c>
      <c r="Q46" s="1591">
        <f t="shared" si="28"/>
        <v>6.5704536723887319E-2</v>
      </c>
      <c r="R46" s="1562"/>
      <c r="S46" s="1666"/>
      <c r="T46" s="1561"/>
      <c r="U46" s="1561"/>
      <c r="V46" s="1561"/>
      <c r="AC46" s="1592"/>
      <c r="AD46" s="1592"/>
      <c r="AE46" s="1592"/>
      <c r="AF46" s="1592"/>
    </row>
    <row r="47" spans="1:32">
      <c r="A47" s="1553" t="s">
        <v>1691</v>
      </c>
      <c r="B47" s="1564">
        <f t="shared" si="29"/>
        <v>163.84913591779542</v>
      </c>
      <c r="C47" s="1564">
        <f t="shared" si="29"/>
        <v>145.0283378746594</v>
      </c>
      <c r="D47" s="1564">
        <f t="shared" si="9"/>
        <v>145.0283378746594</v>
      </c>
      <c r="E47" s="1564">
        <f t="shared" si="30"/>
        <v>204.95180722891567</v>
      </c>
      <c r="F47" s="1564">
        <f t="shared" si="30"/>
        <v>125.95920303605313</v>
      </c>
      <c r="G47" s="1848">
        <v>2007</v>
      </c>
      <c r="H47" s="1557">
        <v>1</v>
      </c>
      <c r="I47" s="1557">
        <v>3.58</v>
      </c>
      <c r="J47" s="1557">
        <v>3.08</v>
      </c>
      <c r="K47" s="1557">
        <v>4.34</v>
      </c>
      <c r="L47" s="1565">
        <v>3.21</v>
      </c>
      <c r="N47" s="1672">
        <f t="shared" si="27"/>
        <v>3.0497710174814063E-2</v>
      </c>
      <c r="O47" s="1593">
        <f t="shared" si="27"/>
        <v>2.8569772160704998E-2</v>
      </c>
      <c r="P47" s="1593">
        <f t="shared" si="28"/>
        <v>5.1034908866234296E-2</v>
      </c>
      <c r="Q47" s="1593">
        <f t="shared" si="28"/>
        <v>3.245248390207478E-2</v>
      </c>
      <c r="R47" s="1562"/>
      <c r="S47" s="1668">
        <f>B47/B48-1</f>
        <v>3.0497710174814063E-2</v>
      </c>
      <c r="T47" s="1567">
        <f>C47/C48-1</f>
        <v>2.8569772160704998E-2</v>
      </c>
      <c r="U47" s="1567">
        <f>E47/E48-1</f>
        <v>5.1034908866234296E-2</v>
      </c>
      <c r="V47" s="1567">
        <f>F47/F48-1</f>
        <v>3.245248390207478E-2</v>
      </c>
      <c r="AC47" s="1592"/>
      <c r="AD47" s="1592"/>
      <c r="AE47" s="1592"/>
      <c r="AF47" s="1592"/>
    </row>
    <row r="48" spans="1:32" ht="13.5" thickBot="1">
      <c r="A48" s="1553" t="s">
        <v>1692</v>
      </c>
      <c r="B48" s="1575">
        <v>159</v>
      </c>
      <c r="C48" s="1575">
        <v>141</v>
      </c>
      <c r="D48" s="1575">
        <f t="shared" si="9"/>
        <v>141</v>
      </c>
      <c r="E48" s="1575">
        <v>195</v>
      </c>
      <c r="F48" s="1659">
        <v>122</v>
      </c>
      <c r="G48" s="1846">
        <v>2006</v>
      </c>
      <c r="H48" s="1569">
        <v>4</v>
      </c>
      <c r="I48" s="1569">
        <v>3.79</v>
      </c>
      <c r="J48" s="1569">
        <v>2.21</v>
      </c>
      <c r="K48" s="1569">
        <v>5.65</v>
      </c>
      <c r="L48" s="1570">
        <v>5.41</v>
      </c>
      <c r="N48" s="1671">
        <f t="shared" ref="N48:O51" si="31">I48/SUM(I$48:I$51)*(B$48/B$52-1)</f>
        <v>7.245466462748526E-2</v>
      </c>
      <c r="O48" s="1591">
        <f t="shared" si="31"/>
        <v>2.3237230038062766E-2</v>
      </c>
      <c r="P48" s="1591">
        <f t="shared" ref="P48:Q51" si="32">K48/SUM(K$48:K$51)*(E$48/E$52-1)</f>
        <v>0.16146893866323722</v>
      </c>
      <c r="Q48" s="1591">
        <f t="shared" si="32"/>
        <v>5.0755230321793784E-2</v>
      </c>
      <c r="R48" s="1562"/>
      <c r="S48" s="1676"/>
      <c r="T48" s="1563"/>
      <c r="U48" s="1563"/>
      <c r="V48" s="1563"/>
      <c r="AC48" s="1592"/>
      <c r="AD48" s="1592"/>
      <c r="AE48" s="1592"/>
      <c r="AF48" s="1592"/>
    </row>
    <row r="49" spans="1:32">
      <c r="A49" s="1553" t="s">
        <v>1693</v>
      </c>
      <c r="B49" s="1564">
        <f t="shared" ref="B49:C51" si="33">B50+(B$48-B$52)*I49/SUM(I$48:I$51)</f>
        <v>149.00125628140702</v>
      </c>
      <c r="C49" s="1564">
        <f t="shared" si="33"/>
        <v>137.95592286501378</v>
      </c>
      <c r="D49" s="1564">
        <f t="shared" si="9"/>
        <v>137.95592286501378</v>
      </c>
      <c r="E49" s="1564">
        <f t="shared" ref="E49:F51" si="34">E50+(E$48-E$52)*K49/SUM(K$48:K$51)</f>
        <v>169.97231450719823</v>
      </c>
      <c r="F49" s="1564">
        <f t="shared" si="34"/>
        <v>116.21390374331551</v>
      </c>
      <c r="G49" s="1847">
        <v>2006</v>
      </c>
      <c r="H49" s="1572">
        <v>3</v>
      </c>
      <c r="I49" s="1572">
        <v>0.92</v>
      </c>
      <c r="J49" s="1572">
        <v>1.08</v>
      </c>
      <c r="K49" s="1572">
        <v>0.73</v>
      </c>
      <c r="L49" s="1573">
        <v>1.08</v>
      </c>
      <c r="N49" s="1671">
        <f t="shared" si="31"/>
        <v>1.7587939698492462E-2</v>
      </c>
      <c r="O49" s="1591">
        <f t="shared" si="31"/>
        <v>1.1355750425840628E-2</v>
      </c>
      <c r="P49" s="1591">
        <f t="shared" si="32"/>
        <v>2.0862358446754544E-2</v>
      </c>
      <c r="Q49" s="1591">
        <f t="shared" si="32"/>
        <v>1.0132282578103011E-2</v>
      </c>
      <c r="R49" s="1562"/>
      <c r="S49" s="1666"/>
      <c r="T49" s="1561"/>
      <c r="U49" s="1561"/>
      <c r="V49" s="1561"/>
      <c r="AC49" s="1592"/>
      <c r="AD49" s="1592"/>
      <c r="AE49" s="1592"/>
      <c r="AF49" s="1592"/>
    </row>
    <row r="50" spans="1:32">
      <c r="A50" s="1553" t="s">
        <v>1694</v>
      </c>
      <c r="B50" s="1564">
        <f t="shared" si="33"/>
        <v>146.57412060301507</v>
      </c>
      <c r="C50" s="1564">
        <f t="shared" si="33"/>
        <v>136.46831955922866</v>
      </c>
      <c r="D50" s="1564">
        <f t="shared" si="9"/>
        <v>136.46831955922866</v>
      </c>
      <c r="E50" s="1564">
        <f t="shared" si="34"/>
        <v>166.73864894795128</v>
      </c>
      <c r="F50" s="1564">
        <f t="shared" si="34"/>
        <v>115.05882352941177</v>
      </c>
      <c r="G50" s="1847">
        <v>2006</v>
      </c>
      <c r="H50" s="1558">
        <v>2</v>
      </c>
      <c r="I50" s="1558">
        <v>0.96</v>
      </c>
      <c r="J50" s="1558">
        <v>0.25</v>
      </c>
      <c r="K50" s="1558">
        <v>1.9</v>
      </c>
      <c r="L50" s="1566">
        <v>0.95</v>
      </c>
      <c r="N50" s="1671">
        <f t="shared" si="31"/>
        <v>1.8352632728861701E-2</v>
      </c>
      <c r="O50" s="1591">
        <f t="shared" si="31"/>
        <v>2.6286459319075526E-3</v>
      </c>
      <c r="P50" s="1591">
        <f t="shared" si="32"/>
        <v>5.4299289107991269E-2</v>
      </c>
      <c r="Q50" s="1591">
        <f t="shared" si="32"/>
        <v>8.9126559714794995E-3</v>
      </c>
      <c r="R50" s="1562"/>
      <c r="S50" s="1666"/>
      <c r="T50" s="1561"/>
      <c r="U50" s="1561"/>
      <c r="V50" s="1561"/>
      <c r="AC50" s="1592"/>
      <c r="AD50" s="1592"/>
      <c r="AE50" s="1592"/>
      <c r="AF50" s="1592"/>
    </row>
    <row r="51" spans="1:32">
      <c r="A51" s="1553" t="s">
        <v>1695</v>
      </c>
      <c r="B51" s="1564">
        <f t="shared" si="33"/>
        <v>144.04145728643215</v>
      </c>
      <c r="C51" s="1564">
        <f t="shared" si="33"/>
        <v>136.12396694214877</v>
      </c>
      <c r="D51" s="1564">
        <f t="shared" si="9"/>
        <v>136.12396694214877</v>
      </c>
      <c r="E51" s="1564">
        <f t="shared" si="34"/>
        <v>158.32225913621264</v>
      </c>
      <c r="F51" s="1564">
        <f t="shared" si="34"/>
        <v>114.04278074866311</v>
      </c>
      <c r="G51" s="1848">
        <v>2006</v>
      </c>
      <c r="H51" s="1557">
        <v>1</v>
      </c>
      <c r="I51" s="1557">
        <v>2.29</v>
      </c>
      <c r="J51" s="1557">
        <v>3.72</v>
      </c>
      <c r="K51" s="1557">
        <v>0.75</v>
      </c>
      <c r="L51" s="1565">
        <v>0.04</v>
      </c>
      <c r="N51" s="1672">
        <f t="shared" si="31"/>
        <v>4.3778675988638847E-2</v>
      </c>
      <c r="O51" s="1593">
        <f t="shared" si="31"/>
        <v>3.9114251466784385E-2</v>
      </c>
      <c r="P51" s="1593">
        <f t="shared" si="32"/>
        <v>2.1433929911049188E-2</v>
      </c>
      <c r="Q51" s="1593">
        <f t="shared" si="32"/>
        <v>3.7526972511492629E-4</v>
      </c>
      <c r="R51" s="1562"/>
      <c r="S51" s="1668">
        <f>B51/B52-1</f>
        <v>4.3778675988638716E-2</v>
      </c>
      <c r="T51" s="1567">
        <f>C51/C52-1</f>
        <v>3.91142514667846E-2</v>
      </c>
      <c r="U51" s="1567">
        <f>E51/E52-1</f>
        <v>2.143392991104931E-2</v>
      </c>
      <c r="V51" s="1567">
        <f>F51/F52-1</f>
        <v>3.7526972511492396E-4</v>
      </c>
      <c r="AC51" s="1592"/>
      <c r="AD51" s="1592"/>
      <c r="AE51" s="1592"/>
      <c r="AF51" s="1592"/>
    </row>
    <row r="52" spans="1:32" ht="13.5" thickBot="1">
      <c r="A52" s="1553" t="s">
        <v>1696</v>
      </c>
      <c r="B52" s="1575">
        <v>138</v>
      </c>
      <c r="C52" s="1575">
        <v>131</v>
      </c>
      <c r="D52" s="1575">
        <f t="shared" si="9"/>
        <v>131</v>
      </c>
      <c r="E52" s="1575">
        <v>155</v>
      </c>
      <c r="F52" s="1659">
        <v>114</v>
      </c>
      <c r="G52" s="1846">
        <v>2005</v>
      </c>
      <c r="H52" s="1569">
        <v>4</v>
      </c>
      <c r="I52" s="1569">
        <v>3.29</v>
      </c>
      <c r="J52" s="1569">
        <v>1.44</v>
      </c>
      <c r="K52" s="1569">
        <v>0.66</v>
      </c>
      <c r="L52" s="1570">
        <v>7.78</v>
      </c>
      <c r="N52" s="1671">
        <f t="shared" ref="N52:O55" si="35">I52/SUM(I$52:I$55)*(B$52/B$56-1)</f>
        <v>9.9404603216919935E-2</v>
      </c>
      <c r="O52" s="1591">
        <f t="shared" si="35"/>
        <v>4.7636550760861554E-2</v>
      </c>
      <c r="P52" s="1591">
        <f t="shared" ref="P52:Q55" si="36">K52/SUM(K$52:K$55)*(E$52/E$56-1)</f>
        <v>8.3756345177664976E-2</v>
      </c>
      <c r="Q52" s="1591">
        <f t="shared" si="36"/>
        <v>5.2148766661559584E-2</v>
      </c>
      <c r="R52" s="1562"/>
      <c r="S52" s="1676"/>
      <c r="T52" s="1563"/>
      <c r="U52" s="1563"/>
      <c r="V52" s="1563"/>
      <c r="AC52" s="1592"/>
      <c r="AD52" s="1592"/>
      <c r="AE52" s="1592"/>
      <c r="AF52" s="1592"/>
    </row>
    <row r="53" spans="1:32">
      <c r="A53" s="1553" t="s">
        <v>1697</v>
      </c>
      <c r="B53" s="1564">
        <f t="shared" ref="B53:C55" si="37">B54+(B$52-B$56)*I53/SUM(I$52:I$55)</f>
        <v>125.9720430107527</v>
      </c>
      <c r="C53" s="1564">
        <f t="shared" si="37"/>
        <v>125.1883408071749</v>
      </c>
      <c r="D53" s="1564">
        <f t="shared" si="9"/>
        <v>125.1883408071749</v>
      </c>
      <c r="E53" s="1564">
        <f t="shared" ref="E53:F55" si="38">E54+(E$52-E$56)*K53/SUM(K$52:K$55)</f>
        <v>144.61421319796952</v>
      </c>
      <c r="F53" s="1564">
        <f t="shared" si="38"/>
        <v>108.42008196721311</v>
      </c>
      <c r="G53" s="1847">
        <v>2005</v>
      </c>
      <c r="H53" s="1572">
        <v>3</v>
      </c>
      <c r="I53" s="1572">
        <v>0.46</v>
      </c>
      <c r="J53" s="1572">
        <v>0.32</v>
      </c>
      <c r="K53" s="1572">
        <v>0.42</v>
      </c>
      <c r="L53" s="1573">
        <v>0.64</v>
      </c>
      <c r="N53" s="1671">
        <f t="shared" si="35"/>
        <v>1.3898515951301874E-2</v>
      </c>
      <c r="O53" s="1591">
        <f t="shared" si="35"/>
        <v>1.0585900169080346E-2</v>
      </c>
      <c r="P53" s="1591">
        <f t="shared" si="36"/>
        <v>5.3299492385786795E-2</v>
      </c>
      <c r="Q53" s="1591">
        <f t="shared" si="36"/>
        <v>4.2898728359123568E-3</v>
      </c>
      <c r="R53" s="1562"/>
      <c r="S53" s="1666"/>
      <c r="T53" s="1561"/>
      <c r="U53" s="1561"/>
      <c r="V53" s="1561"/>
      <c r="AC53" s="1592"/>
      <c r="AD53" s="1592"/>
      <c r="AE53" s="1592"/>
      <c r="AF53" s="1592"/>
    </row>
    <row r="54" spans="1:32">
      <c r="A54" s="1553" t="s">
        <v>1698</v>
      </c>
      <c r="B54" s="1564">
        <f t="shared" si="37"/>
        <v>124.29032258064517</v>
      </c>
      <c r="C54" s="1564">
        <f t="shared" si="37"/>
        <v>123.8968609865471</v>
      </c>
      <c r="D54" s="1564">
        <f t="shared" si="9"/>
        <v>123.8968609865471</v>
      </c>
      <c r="E54" s="1564">
        <f t="shared" si="38"/>
        <v>138.00507614213197</v>
      </c>
      <c r="F54" s="1564">
        <f t="shared" si="38"/>
        <v>107.96106557377048</v>
      </c>
      <c r="G54" s="1847">
        <v>2005</v>
      </c>
      <c r="H54" s="1558">
        <v>2</v>
      </c>
      <c r="I54" s="1558">
        <v>0.47</v>
      </c>
      <c r="J54" s="1558">
        <v>0.1</v>
      </c>
      <c r="K54" s="1558">
        <v>0.52</v>
      </c>
      <c r="L54" s="1566">
        <v>0.79</v>
      </c>
      <c r="N54" s="1671">
        <f t="shared" si="35"/>
        <v>1.420065760241713E-2</v>
      </c>
      <c r="O54" s="1591">
        <f t="shared" si="35"/>
        <v>3.3080938028376083E-3</v>
      </c>
      <c r="P54" s="1591">
        <f t="shared" si="36"/>
        <v>6.598984771573603E-2</v>
      </c>
      <c r="Q54" s="1591">
        <f t="shared" si="36"/>
        <v>5.2953117818293153E-3</v>
      </c>
      <c r="R54" s="1562"/>
      <c r="S54" s="1666"/>
      <c r="T54" s="1561"/>
      <c r="U54" s="1561"/>
      <c r="V54" s="1561"/>
      <c r="AC54" s="1592"/>
      <c r="AD54" s="1592"/>
      <c r="AE54" s="1592"/>
      <c r="AF54" s="1592"/>
    </row>
    <row r="55" spans="1:32">
      <c r="A55" s="1553" t="s">
        <v>1699</v>
      </c>
      <c r="B55" s="1564">
        <f t="shared" si="37"/>
        <v>122.57204301075269</v>
      </c>
      <c r="C55" s="1564">
        <f t="shared" si="37"/>
        <v>123.4932735426009</v>
      </c>
      <c r="D55" s="1564">
        <f t="shared" si="9"/>
        <v>123.4932735426009</v>
      </c>
      <c r="E55" s="1564">
        <f t="shared" si="38"/>
        <v>129.82233502538071</v>
      </c>
      <c r="F55" s="1564">
        <f t="shared" si="38"/>
        <v>107.39446721311475</v>
      </c>
      <c r="G55" s="1848">
        <v>2005</v>
      </c>
      <c r="H55" s="1557">
        <v>1</v>
      </c>
      <c r="I55" s="1557">
        <v>0.43</v>
      </c>
      <c r="J55" s="1557">
        <v>0.37</v>
      </c>
      <c r="K55" s="1557">
        <v>0.37</v>
      </c>
      <c r="L55" s="1565">
        <v>0.55000000000000004</v>
      </c>
      <c r="N55" s="1672">
        <f t="shared" si="35"/>
        <v>1.2992090997956099E-2</v>
      </c>
      <c r="O55" s="1593">
        <f t="shared" si="35"/>
        <v>1.2239947070499151E-2</v>
      </c>
      <c r="P55" s="1593">
        <f t="shared" si="36"/>
        <v>4.6954314720812178E-2</v>
      </c>
      <c r="Q55" s="1593">
        <f t="shared" si="36"/>
        <v>3.6866094683621815E-3</v>
      </c>
      <c r="R55" s="1562"/>
      <c r="S55" s="1668">
        <f>B55/B56-1</f>
        <v>1.2992090997956174E-2</v>
      </c>
      <c r="T55" s="1567">
        <f>C55/C56-1</f>
        <v>1.2239947070499246E-2</v>
      </c>
      <c r="U55" s="1567">
        <f>E55/E56-1</f>
        <v>4.695431472081224E-2</v>
      </c>
      <c r="V55" s="1567">
        <f>F55/F56-1</f>
        <v>3.6866094683620787E-3</v>
      </c>
      <c r="AC55" s="1592"/>
      <c r="AD55" s="1592"/>
      <c r="AE55" s="1592"/>
      <c r="AF55" s="1592"/>
    </row>
    <row r="56" spans="1:32" ht="13.5" thickBot="1">
      <c r="A56" s="1553" t="s">
        <v>1700</v>
      </c>
      <c r="B56" s="1580">
        <v>121</v>
      </c>
      <c r="C56" s="1580">
        <v>122</v>
      </c>
      <c r="D56" s="1580">
        <f t="shared" si="9"/>
        <v>122</v>
      </c>
      <c r="E56" s="1580">
        <v>124</v>
      </c>
      <c r="F56" s="1660">
        <v>107</v>
      </c>
      <c r="G56" s="1846">
        <v>2004</v>
      </c>
      <c r="H56" s="1569">
        <v>4</v>
      </c>
      <c r="I56" s="1569">
        <v>0.33</v>
      </c>
      <c r="J56" s="1569">
        <v>0.5</v>
      </c>
      <c r="K56" s="1569">
        <v>0.5</v>
      </c>
      <c r="L56" s="1570">
        <v>0</v>
      </c>
      <c r="N56" s="1671">
        <f t="shared" ref="N56:O59" si="39">I56/SUM(I$56:I$59)*(B$56/B$60-1)</f>
        <v>1.3391770148526898E-2</v>
      </c>
      <c r="O56" s="1591">
        <f t="shared" si="39"/>
        <v>1.063264221158958E-2</v>
      </c>
      <c r="P56" s="1591">
        <f t="shared" ref="P56:Q59" si="40">K56/SUM(K$56:K$59)*(E$56/E$60-1)</f>
        <v>2.2244466688911134E-2</v>
      </c>
      <c r="Q56" s="1591">
        <f t="shared" si="40"/>
        <v>0</v>
      </c>
      <c r="R56" s="1562"/>
      <c r="S56" s="1676"/>
      <c r="T56" s="1563"/>
      <c r="U56" s="1563"/>
      <c r="V56" s="1563"/>
      <c r="AC56" s="1592"/>
      <c r="AD56" s="1592"/>
      <c r="AE56" s="1592"/>
      <c r="AF56" s="1592"/>
    </row>
    <row r="57" spans="1:32">
      <c r="A57" s="1553" t="s">
        <v>1701</v>
      </c>
      <c r="B57" s="1564">
        <f t="shared" ref="B57:C59" si="41">B58+(B$56-B$60)*I57/SUM(I$56:I$59)</f>
        <v>119.51351351351352</v>
      </c>
      <c r="C57" s="1564">
        <f t="shared" si="41"/>
        <v>120.7878787878788</v>
      </c>
      <c r="D57" s="1564">
        <f t="shared" si="9"/>
        <v>120.7878787878788</v>
      </c>
      <c r="E57" s="1564">
        <f t="shared" ref="E57:F59" si="42">E58+(E$56-E$60)*K57/SUM(K$56:K$59)</f>
        <v>121.5975975975976</v>
      </c>
      <c r="F57" s="1564">
        <f t="shared" si="42"/>
        <v>107</v>
      </c>
      <c r="G57" s="1847">
        <v>2004</v>
      </c>
      <c r="H57" s="1572">
        <v>3</v>
      </c>
      <c r="I57" s="1572">
        <v>0.56000000000000005</v>
      </c>
      <c r="J57" s="1572">
        <v>0.8</v>
      </c>
      <c r="K57" s="1572">
        <v>0.83</v>
      </c>
      <c r="L57" s="1573">
        <v>0.06</v>
      </c>
      <c r="N57" s="1671">
        <f t="shared" si="39"/>
        <v>2.2725428130833527E-2</v>
      </c>
      <c r="O57" s="1591">
        <f t="shared" si="39"/>
        <v>1.7012227538543329E-2</v>
      </c>
      <c r="P57" s="1591">
        <f t="shared" si="40"/>
        <v>3.6925814703592477E-2</v>
      </c>
      <c r="Q57" s="1591">
        <f t="shared" si="40"/>
        <v>2.8846153846153744E-2</v>
      </c>
      <c r="R57" s="1562"/>
      <c r="S57" s="1666"/>
      <c r="T57" s="1561"/>
      <c r="U57" s="1561"/>
      <c r="V57" s="1561"/>
      <c r="AC57" s="1592"/>
      <c r="AD57" s="1592"/>
      <c r="AE57" s="1592"/>
      <c r="AF57" s="1592"/>
    </row>
    <row r="58" spans="1:32">
      <c r="A58" s="1553" t="s">
        <v>1702</v>
      </c>
      <c r="B58" s="1564">
        <f t="shared" si="41"/>
        <v>116.99099099099099</v>
      </c>
      <c r="C58" s="1564">
        <f t="shared" si="41"/>
        <v>118.84848484848486</v>
      </c>
      <c r="D58" s="1564">
        <f t="shared" si="9"/>
        <v>118.84848484848486</v>
      </c>
      <c r="E58" s="1564">
        <f t="shared" si="42"/>
        <v>117.60960960960961</v>
      </c>
      <c r="F58" s="1564">
        <f t="shared" si="42"/>
        <v>104</v>
      </c>
      <c r="G58" s="1847">
        <v>2004</v>
      </c>
      <c r="H58" s="1558">
        <v>2</v>
      </c>
      <c r="I58" s="1558">
        <v>1</v>
      </c>
      <c r="J58" s="1558">
        <v>1.5</v>
      </c>
      <c r="K58" s="1558">
        <v>1.5</v>
      </c>
      <c r="L58" s="1566">
        <v>0</v>
      </c>
      <c r="N58" s="1671">
        <f t="shared" si="39"/>
        <v>4.0581121662202721E-2</v>
      </c>
      <c r="O58" s="1591">
        <f t="shared" si="39"/>
        <v>3.1897926634768738E-2</v>
      </c>
      <c r="P58" s="1591">
        <f t="shared" si="40"/>
        <v>6.6733400066733395E-2</v>
      </c>
      <c r="Q58" s="1591">
        <f t="shared" si="40"/>
        <v>0</v>
      </c>
      <c r="R58" s="1562"/>
      <c r="S58" s="1666"/>
      <c r="T58" s="1561"/>
      <c r="U58" s="1561"/>
      <c r="V58" s="1561"/>
      <c r="AC58" s="1592"/>
      <c r="AD58" s="1592"/>
      <c r="AE58" s="1592"/>
      <c r="AF58" s="1592"/>
    </row>
    <row r="59" spans="1:32" s="1585" customFormat="1" ht="13.5" thickBot="1">
      <c r="A59" s="1553" t="s">
        <v>1703</v>
      </c>
      <c r="B59" s="1582">
        <f t="shared" si="41"/>
        <v>112.48648648648648</v>
      </c>
      <c r="C59" s="1582">
        <f t="shared" si="41"/>
        <v>115.21212121212122</v>
      </c>
      <c r="D59" s="1582">
        <f t="shared" si="9"/>
        <v>115.21212121212122</v>
      </c>
      <c r="E59" s="1582">
        <f t="shared" si="42"/>
        <v>110.4024024024024</v>
      </c>
      <c r="F59" s="1582">
        <f t="shared" si="42"/>
        <v>104</v>
      </c>
      <c r="G59" s="1848">
        <v>2004</v>
      </c>
      <c r="H59" s="1583">
        <v>1</v>
      </c>
      <c r="I59" s="1583">
        <v>0.33</v>
      </c>
      <c r="J59" s="1583">
        <v>0.5</v>
      </c>
      <c r="K59" s="1583">
        <v>0.5</v>
      </c>
      <c r="L59" s="1584">
        <v>0</v>
      </c>
      <c r="N59" s="1673">
        <f t="shared" si="39"/>
        <v>1.3391770148526898E-2</v>
      </c>
      <c r="O59" s="1594">
        <f t="shared" si="39"/>
        <v>1.063264221158958E-2</v>
      </c>
      <c r="P59" s="1594">
        <f t="shared" si="40"/>
        <v>2.2244466688911134E-2</v>
      </c>
      <c r="Q59" s="1594">
        <f t="shared" si="40"/>
        <v>0</v>
      </c>
      <c r="R59" s="1587"/>
      <c r="S59" s="1670">
        <f>B59/B60-1</f>
        <v>1.3391770148526883E-2</v>
      </c>
      <c r="T59" s="1586">
        <f>C59/C60-1</f>
        <v>1.063264221158966E-2</v>
      </c>
      <c r="U59" s="1586">
        <f>E59/E60-1</f>
        <v>2.2244466688911224E-2</v>
      </c>
      <c r="V59" s="1586">
        <f>F59/F60-1</f>
        <v>0</v>
      </c>
      <c r="AC59" s="1595"/>
      <c r="AD59" s="1595"/>
      <c r="AE59" s="1595"/>
      <c r="AF59" s="1595"/>
    </row>
    <row r="60" spans="1:32" ht="13.5" thickBot="1">
      <c r="A60" s="1553" t="s">
        <v>1704</v>
      </c>
      <c r="B60" s="1596">
        <v>111</v>
      </c>
      <c r="C60" s="1596">
        <v>114</v>
      </c>
      <c r="D60" s="1596">
        <f t="shared" si="9"/>
        <v>114</v>
      </c>
      <c r="E60" s="1596">
        <v>108</v>
      </c>
      <c r="F60" s="1661">
        <v>104</v>
      </c>
      <c r="G60" s="1846">
        <v>2003</v>
      </c>
      <c r="H60" s="1589">
        <v>4</v>
      </c>
      <c r="I60" s="1597"/>
      <c r="J60" s="1597"/>
      <c r="K60" s="1597"/>
      <c r="L60" s="1597"/>
      <c r="N60" s="1674"/>
      <c r="O60" s="1597"/>
      <c r="P60" s="1597"/>
      <c r="Q60" s="1597"/>
      <c r="S60" s="1674"/>
      <c r="T60" s="1597"/>
      <c r="U60" s="1597"/>
      <c r="V60" s="1597"/>
      <c r="AC60" s="1592"/>
      <c r="AD60" s="1592"/>
      <c r="AE60" s="1592"/>
      <c r="AF60" s="1592"/>
    </row>
    <row r="61" spans="1:32">
      <c r="A61" s="1553" t="s">
        <v>1705</v>
      </c>
      <c r="B61" s="1598">
        <f t="shared" ref="B61:C63" si="43">B62+(B$60-B$64)/4</f>
        <v>109.75</v>
      </c>
      <c r="C61" s="1598">
        <f t="shared" si="43"/>
        <v>112.25</v>
      </c>
      <c r="D61" s="1598">
        <f t="shared" si="9"/>
        <v>112.25</v>
      </c>
      <c r="E61" s="1598">
        <f t="shared" ref="E61:F63" si="44">E62+(E$60-E$64)/4</f>
        <v>107.25</v>
      </c>
      <c r="F61" s="1598">
        <f t="shared" si="44"/>
        <v>103.5</v>
      </c>
      <c r="G61" s="1847">
        <v>2003</v>
      </c>
      <c r="H61" s="1572">
        <v>3</v>
      </c>
      <c r="I61" s="1597"/>
      <c r="J61" s="1597"/>
      <c r="K61" s="1597"/>
      <c r="L61" s="1597"/>
      <c r="AC61" s="1592"/>
      <c r="AD61" s="1592"/>
      <c r="AE61" s="1592"/>
      <c r="AF61" s="1592"/>
    </row>
    <row r="62" spans="1:32">
      <c r="A62" s="1553" t="s">
        <v>1706</v>
      </c>
      <c r="B62" s="1598">
        <f t="shared" si="43"/>
        <v>108.5</v>
      </c>
      <c r="C62" s="1598">
        <f t="shared" si="43"/>
        <v>110.5</v>
      </c>
      <c r="D62" s="1598">
        <f t="shared" si="9"/>
        <v>110.5</v>
      </c>
      <c r="E62" s="1598">
        <f t="shared" si="44"/>
        <v>106.5</v>
      </c>
      <c r="F62" s="1598">
        <f t="shared" si="44"/>
        <v>103</v>
      </c>
      <c r="G62" s="1847">
        <v>2003</v>
      </c>
      <c r="H62" s="1558">
        <v>2</v>
      </c>
      <c r="I62" s="1597"/>
      <c r="J62" s="1597"/>
      <c r="K62" s="1597"/>
      <c r="L62" s="1597"/>
      <c r="AC62" s="1592"/>
      <c r="AD62" s="1592"/>
      <c r="AE62" s="1592"/>
      <c r="AF62" s="1592"/>
    </row>
    <row r="63" spans="1:32" ht="13.5" thickBot="1">
      <c r="A63" s="1553" t="s">
        <v>1707</v>
      </c>
      <c r="B63" s="1598">
        <f t="shared" si="43"/>
        <v>107.25</v>
      </c>
      <c r="C63" s="1598">
        <f t="shared" si="43"/>
        <v>108.75</v>
      </c>
      <c r="D63" s="1598">
        <f t="shared" si="9"/>
        <v>108.75</v>
      </c>
      <c r="E63" s="1598">
        <f t="shared" si="44"/>
        <v>105.75</v>
      </c>
      <c r="F63" s="1598">
        <f t="shared" si="44"/>
        <v>102.5</v>
      </c>
      <c r="G63" s="1848">
        <v>2003</v>
      </c>
      <c r="H63" s="1599">
        <v>1</v>
      </c>
      <c r="I63" s="1597"/>
      <c r="J63" s="1597"/>
      <c r="K63" s="1597"/>
      <c r="L63" s="1597"/>
      <c r="S63" s="1666"/>
      <c r="T63" s="1561"/>
      <c r="U63" s="1561"/>
      <c r="AC63" s="1592"/>
      <c r="AD63" s="1592"/>
      <c r="AE63" s="1592"/>
      <c r="AF63" s="1592"/>
    </row>
    <row r="64" spans="1:32" ht="13.5" thickBot="1">
      <c r="A64" s="1553" t="s">
        <v>1708</v>
      </c>
      <c r="B64" s="1600">
        <v>106</v>
      </c>
      <c r="C64" s="1600">
        <v>107</v>
      </c>
      <c r="D64" s="1600">
        <f t="shared" si="9"/>
        <v>107</v>
      </c>
      <c r="E64" s="1600">
        <v>105</v>
      </c>
      <c r="F64" s="1662">
        <v>102</v>
      </c>
      <c r="G64" s="1846">
        <v>2002</v>
      </c>
      <c r="H64" s="1569">
        <v>4</v>
      </c>
      <c r="I64" s="1597"/>
      <c r="J64" s="1597"/>
      <c r="K64" s="1597"/>
      <c r="L64" s="1597"/>
      <c r="N64" s="1674"/>
      <c r="O64" s="1597"/>
      <c r="P64" s="1597"/>
      <c r="Q64" s="1597"/>
      <c r="S64" s="1674"/>
      <c r="T64" s="1597"/>
      <c r="U64" s="1597"/>
      <c r="V64" s="1597"/>
      <c r="AC64" s="1592"/>
      <c r="AD64" s="1592"/>
      <c r="AE64" s="1592"/>
      <c r="AF64" s="1592"/>
    </row>
    <row r="65" spans="1:32">
      <c r="A65" s="1553" t="s">
        <v>1709</v>
      </c>
      <c r="B65" s="1598">
        <f t="shared" ref="B65:C67" si="45">B66+(B$64-B$68)/4</f>
        <v>105</v>
      </c>
      <c r="C65" s="1598">
        <f t="shared" si="45"/>
        <v>106</v>
      </c>
      <c r="D65" s="1598">
        <f t="shared" si="9"/>
        <v>106</v>
      </c>
      <c r="E65" s="1598">
        <f t="shared" ref="E65:F67" si="46">E66+(E$64-E$68)/4</f>
        <v>104.5</v>
      </c>
      <c r="F65" s="1598">
        <f t="shared" si="46"/>
        <v>101.5</v>
      </c>
      <c r="G65" s="1847">
        <v>2002</v>
      </c>
      <c r="H65" s="1572">
        <v>3</v>
      </c>
      <c r="I65" s="1597"/>
      <c r="J65" s="1597"/>
      <c r="K65" s="1597"/>
      <c r="L65" s="1597"/>
      <c r="AC65" s="1592"/>
      <c r="AD65" s="1592"/>
      <c r="AE65" s="1592"/>
      <c r="AF65" s="1592"/>
    </row>
    <row r="66" spans="1:32">
      <c r="A66" s="1553" t="s">
        <v>1710</v>
      </c>
      <c r="B66" s="1598">
        <f t="shared" si="45"/>
        <v>104</v>
      </c>
      <c r="C66" s="1598">
        <f t="shared" si="45"/>
        <v>105</v>
      </c>
      <c r="D66" s="1598">
        <f t="shared" si="9"/>
        <v>105</v>
      </c>
      <c r="E66" s="1598">
        <f t="shared" si="46"/>
        <v>104</v>
      </c>
      <c r="F66" s="1598">
        <f t="shared" si="46"/>
        <v>101</v>
      </c>
      <c r="G66" s="1847">
        <v>2002</v>
      </c>
      <c r="H66" s="1558">
        <v>2</v>
      </c>
      <c r="I66" s="1597"/>
      <c r="J66" s="1597"/>
      <c r="K66" s="1597"/>
      <c r="L66" s="1597"/>
      <c r="AC66" s="1592"/>
      <c r="AD66" s="1592"/>
      <c r="AE66" s="1592"/>
      <c r="AF66" s="1592"/>
    </row>
    <row r="67" spans="1:32" s="1623" customFormat="1" ht="13.5" thickBot="1">
      <c r="A67" s="1619" t="s">
        <v>1711</v>
      </c>
      <c r="B67" s="1628">
        <f t="shared" si="45"/>
        <v>103</v>
      </c>
      <c r="C67" s="1628">
        <f t="shared" si="45"/>
        <v>104</v>
      </c>
      <c r="D67" s="1628">
        <f t="shared" si="9"/>
        <v>104</v>
      </c>
      <c r="E67" s="1628">
        <f t="shared" si="46"/>
        <v>103.5</v>
      </c>
      <c r="F67" s="1628">
        <f t="shared" si="46"/>
        <v>100.5</v>
      </c>
      <c r="G67" s="1848">
        <v>2002</v>
      </c>
      <c r="H67" s="1629">
        <v>1</v>
      </c>
      <c r="I67" s="1630"/>
      <c r="J67" s="1630"/>
      <c r="K67" s="1630"/>
      <c r="L67" s="1630"/>
      <c r="N67" s="1675"/>
      <c r="S67" s="1675"/>
      <c r="AC67" s="1631"/>
      <c r="AD67" s="1631"/>
      <c r="AE67" s="1631"/>
      <c r="AF67" s="1631"/>
    </row>
    <row r="68" spans="1:32" ht="13.5" thickBot="1">
      <c r="B68" s="1601">
        <v>102</v>
      </c>
      <c r="C68" s="1602">
        <v>103</v>
      </c>
      <c r="D68" s="1602">
        <f t="shared" si="9"/>
        <v>103</v>
      </c>
      <c r="E68" s="1602">
        <v>103</v>
      </c>
      <c r="F68" s="1663">
        <v>100</v>
      </c>
      <c r="I68" s="1597"/>
      <c r="J68" s="1597"/>
      <c r="K68" s="1597"/>
      <c r="L68" s="1597"/>
      <c r="N68" s="1674"/>
      <c r="O68" s="1597"/>
      <c r="P68" s="1597"/>
      <c r="Q68" s="1597"/>
      <c r="S68" s="1674"/>
      <c r="T68" s="1597"/>
      <c r="U68" s="1597"/>
      <c r="V68" s="1597"/>
      <c r="AC68" s="1563"/>
      <c r="AD68" s="1563"/>
      <c r="AE68" s="1563"/>
      <c r="AF68" s="1563"/>
    </row>
    <row r="70" spans="1:32" s="1683" customFormat="1">
      <c r="A70" s="1682" t="s">
        <v>1718</v>
      </c>
      <c r="G70" s="1684"/>
      <c r="N70" s="1684"/>
      <c r="S70" s="1684"/>
    </row>
    <row r="71" spans="1:32" s="1683" customFormat="1">
      <c r="A71" s="1683" t="s">
        <v>1719</v>
      </c>
      <c r="G71" s="1684"/>
      <c r="N71" s="1684"/>
      <c r="S71" s="1684"/>
    </row>
    <row r="72" spans="1:32" s="1683" customFormat="1">
      <c r="A72" s="1683" t="s">
        <v>1720</v>
      </c>
      <c r="G72" s="1684"/>
      <c r="I72" s="1685"/>
      <c r="J72" s="1685"/>
      <c r="K72" s="1685"/>
      <c r="L72" s="1685"/>
      <c r="N72" s="1686"/>
      <c r="O72" s="1685"/>
      <c r="P72" s="1685"/>
      <c r="Q72" s="1685"/>
      <c r="S72" s="1686"/>
      <c r="T72" s="1685"/>
      <c r="U72" s="1685"/>
      <c r="V72" s="1685"/>
    </row>
    <row r="73" spans="1:32" s="1683" customFormat="1">
      <c r="A73" s="1683" t="s">
        <v>1721</v>
      </c>
      <c r="G73" s="1684"/>
      <c r="N73" s="1684"/>
      <c r="S73" s="1684"/>
    </row>
    <row r="80" spans="1:32" ht="13.5" thickBot="1"/>
    <row r="81" spans="14:29" ht="24">
      <c r="S81" s="1678" t="s">
        <v>1712</v>
      </c>
      <c r="T81" s="1603" t="s">
        <v>1713</v>
      </c>
      <c r="U81" s="1603" t="s">
        <v>1714</v>
      </c>
      <c r="V81" s="1603" t="s">
        <v>1715</v>
      </c>
      <c r="W81" s="1604" t="s">
        <v>1716</v>
      </c>
      <c r="X81" s="1605">
        <v>2006</v>
      </c>
      <c r="Y81" s="1606">
        <v>4</v>
      </c>
      <c r="Z81" s="1606">
        <v>3.79</v>
      </c>
      <c r="AA81" s="1606">
        <v>2.21</v>
      </c>
      <c r="AB81" s="1606">
        <v>5.65</v>
      </c>
      <c r="AC81" s="1607">
        <v>5.41</v>
      </c>
    </row>
    <row r="82" spans="14:29">
      <c r="N82" s="1676"/>
      <c r="O82" s="1563"/>
      <c r="P82" s="1563"/>
      <c r="Q82" s="1563"/>
      <c r="S82" s="1679">
        <v>2006</v>
      </c>
      <c r="T82" s="1609">
        <v>15.1</v>
      </c>
      <c r="U82" s="1609">
        <v>7.43</v>
      </c>
      <c r="V82" s="1609">
        <v>26.26</v>
      </c>
      <c r="W82" s="1610">
        <v>7.6</v>
      </c>
      <c r="X82" s="1611">
        <v>2006</v>
      </c>
      <c r="Y82" s="1612">
        <v>3</v>
      </c>
      <c r="Z82" s="1612">
        <v>0.92</v>
      </c>
      <c r="AA82" s="1612">
        <v>1.08</v>
      </c>
      <c r="AB82" s="1612">
        <v>0.73</v>
      </c>
      <c r="AC82" s="1613">
        <v>1.08</v>
      </c>
    </row>
    <row r="83" spans="14:29">
      <c r="N83" s="1676"/>
      <c r="O83" s="1563"/>
      <c r="P83" s="1563"/>
      <c r="Q83" s="1563"/>
      <c r="S83" s="1680">
        <v>2005</v>
      </c>
      <c r="T83" s="1612">
        <v>13.9</v>
      </c>
      <c r="U83" s="1612">
        <v>7.49</v>
      </c>
      <c r="V83" s="1612">
        <v>24.92</v>
      </c>
      <c r="W83" s="1613">
        <v>6.51</v>
      </c>
      <c r="X83" s="1608">
        <v>2006</v>
      </c>
      <c r="Y83" s="1609">
        <v>2</v>
      </c>
      <c r="Z83" s="1609">
        <v>0.96</v>
      </c>
      <c r="AA83" s="1609">
        <v>0.25</v>
      </c>
      <c r="AB83" s="1609">
        <v>1.9</v>
      </c>
      <c r="AC83" s="1610">
        <v>0.95</v>
      </c>
    </row>
    <row r="84" spans="14:29" ht="13.5" thickBot="1">
      <c r="N84" s="1676"/>
      <c r="O84" s="1563"/>
      <c r="P84" s="1563"/>
      <c r="Q84" s="1563"/>
      <c r="S84" s="1679">
        <v>2004</v>
      </c>
      <c r="T84" s="1609">
        <v>9.48</v>
      </c>
      <c r="U84" s="1609">
        <v>7.2</v>
      </c>
      <c r="V84" s="1609">
        <v>14.68</v>
      </c>
      <c r="W84" s="1610">
        <v>2.2000000000000002</v>
      </c>
      <c r="X84" s="1614">
        <v>2006</v>
      </c>
      <c r="Y84" s="1615">
        <v>1</v>
      </c>
      <c r="Z84" s="1615">
        <v>2.29</v>
      </c>
      <c r="AA84" s="1615">
        <v>3.72</v>
      </c>
      <c r="AB84" s="1615">
        <v>0.75</v>
      </c>
      <c r="AC84" s="1616">
        <v>0.04</v>
      </c>
    </row>
    <row r="85" spans="14:29">
      <c r="N85" s="1676"/>
      <c r="O85" s="1563"/>
      <c r="P85" s="1563"/>
      <c r="Q85" s="1563"/>
      <c r="S85" s="1680">
        <v>2003</v>
      </c>
      <c r="T85" s="1612">
        <v>4.5</v>
      </c>
      <c r="U85" s="1612">
        <v>6.12</v>
      </c>
      <c r="V85" s="1612">
        <v>2.34</v>
      </c>
      <c r="W85" s="1613">
        <v>2.36</v>
      </c>
    </row>
    <row r="86" spans="14:29" ht="13.5" thickBot="1">
      <c r="N86" s="1676"/>
      <c r="O86" s="1563"/>
      <c r="P86" s="1563"/>
      <c r="Q86" s="1563"/>
      <c r="S86" s="1681">
        <v>2002</v>
      </c>
      <c r="T86" s="1617">
        <v>3.59</v>
      </c>
      <c r="U86" s="1617">
        <v>4.54</v>
      </c>
      <c r="V86" s="1617">
        <v>2.5499999999999998</v>
      </c>
      <c r="W86" s="1618">
        <v>1.52</v>
      </c>
    </row>
    <row r="87" spans="14:29">
      <c r="N87" s="1676"/>
      <c r="O87" s="1563"/>
      <c r="P87" s="1563"/>
      <c r="Q87" s="1563"/>
    </row>
    <row r="88" spans="14:29">
      <c r="N88" s="1676"/>
      <c r="O88" s="1563"/>
      <c r="P88" s="1563"/>
      <c r="Q88" s="1563"/>
    </row>
    <row r="89" spans="14:29">
      <c r="N89" s="1676"/>
      <c r="O89" s="1563"/>
      <c r="P89" s="1563"/>
      <c r="Q89" s="1563"/>
    </row>
    <row r="90" spans="14:29">
      <c r="N90" s="1676"/>
      <c r="O90" s="1563"/>
      <c r="P90" s="1563"/>
      <c r="Q90" s="1563"/>
    </row>
    <row r="91" spans="14:29">
      <c r="N91" s="1676"/>
      <c r="O91" s="1563"/>
      <c r="P91" s="1563"/>
      <c r="Q91" s="1563"/>
    </row>
    <row r="92" spans="14:29">
      <c r="N92" s="1676"/>
      <c r="O92" s="1563"/>
      <c r="P92" s="1563"/>
      <c r="Q92" s="1563"/>
    </row>
    <row r="93" spans="14:29">
      <c r="N93" s="1676"/>
      <c r="O93" s="1563"/>
      <c r="P93" s="1563"/>
      <c r="Q93" s="1563"/>
    </row>
    <row r="94" spans="14:29">
      <c r="N94" s="1676"/>
      <c r="O94" s="1563"/>
      <c r="P94" s="1563"/>
      <c r="Q94" s="1563"/>
    </row>
    <row r="95" spans="14:29">
      <c r="N95" s="1676"/>
      <c r="O95" s="1563"/>
      <c r="P95" s="1563"/>
      <c r="Q95" s="1563"/>
    </row>
    <row r="96" spans="14:29">
      <c r="N96" s="1676"/>
      <c r="O96" s="1563"/>
      <c r="P96" s="1563"/>
      <c r="Q96" s="1563"/>
    </row>
    <row r="97" spans="14:17">
      <c r="N97" s="1676"/>
      <c r="O97" s="1563"/>
      <c r="P97" s="1563"/>
      <c r="Q97" s="1563"/>
    </row>
    <row r="98" spans="14:17">
      <c r="N98" s="1676"/>
      <c r="O98" s="1563"/>
      <c r="P98" s="1563"/>
      <c r="Q98" s="1563"/>
    </row>
    <row r="99" spans="14:17">
      <c r="N99" s="1676"/>
      <c r="O99" s="1563"/>
      <c r="P99" s="1563"/>
      <c r="Q99" s="1563"/>
    </row>
    <row r="100" spans="14:17">
      <c r="N100" s="1676"/>
      <c r="O100" s="1563"/>
      <c r="P100" s="1563"/>
      <c r="Q100" s="1563"/>
    </row>
    <row r="101" spans="14:17">
      <c r="N101" s="1676"/>
      <c r="O101" s="1563"/>
      <c r="P101" s="1563"/>
      <c r="Q101" s="1563"/>
    </row>
    <row r="102" spans="14:17">
      <c r="N102" s="1676"/>
      <c r="O102" s="1563"/>
      <c r="P102" s="1563"/>
      <c r="Q102" s="1563"/>
    </row>
  </sheetData>
  <sheetProtection sheet="1" objects="1" scenarios="1"/>
  <mergeCells count="19"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  <mergeCell ref="G60:G63"/>
    <mergeCell ref="G64:G67"/>
    <mergeCell ref="G36:G39"/>
    <mergeCell ref="G40:G43"/>
    <mergeCell ref="G44:G47"/>
    <mergeCell ref="G48:G51"/>
    <mergeCell ref="G52:G55"/>
    <mergeCell ref="G56:G59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974</v>
      </c>
      <c r="H1" s="249">
        <f>'2014基准地价'!M18</f>
        <v>47</v>
      </c>
      <c r="I1" s="1450" t="s">
        <v>1649</v>
      </c>
      <c r="J1" s="1464" t="str">
        <f>'2014基准地价'!N19</f>
        <v>2017-1</v>
      </c>
      <c r="K1" s="298"/>
      <c r="L1" s="1462" t="s">
        <v>974</v>
      </c>
      <c r="M1" s="249">
        <f>'2002基准地价'!B24</f>
        <v>1</v>
      </c>
      <c r="N1" s="1450" t="s">
        <v>1649</v>
      </c>
      <c r="O1" s="1464" t="str">
        <f>'2002基准地价'!C25</f>
        <v>2002-1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2">
        <f ca="1">ROUND(SUMIF(季度2014,$J$1,K4:K19),4)</f>
        <v>1.32E-2</v>
      </c>
      <c r="L2" s="1457">
        <f>ROUND(SUMIF($A$17:$A$67,$O$1,L17:L67),4)</f>
        <v>0</v>
      </c>
      <c r="M2" s="28">
        <f>ROUND(SUMIF($A$17:$A$67,$O$1,M17:M67),4)</f>
        <v>0</v>
      </c>
      <c r="N2" s="28">
        <f>ROUND(SUMIF($A$17:$A$67,$O$1,N17:N67),4)</f>
        <v>0</v>
      </c>
      <c r="O2" s="28">
        <f>ROUND(SUMIF($A$17:$A$67,$O$1,O17:O67),4)</f>
        <v>0</v>
      </c>
      <c r="P2" s="28">
        <f>ROUND(SUMIF($A$17:$A$67,$O$1,P17:P67),4)</f>
        <v>0</v>
      </c>
    </row>
    <row r="3" spans="1:23">
      <c r="A3" s="1451" t="s">
        <v>267</v>
      </c>
      <c r="B3" s="1448" t="s">
        <v>281</v>
      </c>
      <c r="C3" s="1448" t="s">
        <v>283</v>
      </c>
      <c r="D3" s="1448" t="s">
        <v>1315</v>
      </c>
      <c r="E3" s="1448" t="s">
        <v>1362</v>
      </c>
      <c r="F3" s="1453" t="s">
        <v>2</v>
      </c>
      <c r="G3" s="1456" t="s">
        <v>281</v>
      </c>
      <c r="H3" s="1448" t="s">
        <v>0</v>
      </c>
      <c r="I3" s="1448" t="s">
        <v>1315</v>
      </c>
      <c r="J3" s="1448" t="s">
        <v>1362</v>
      </c>
      <c r="K3" s="1453" t="s">
        <v>2</v>
      </c>
      <c r="L3" s="1456" t="s">
        <v>281</v>
      </c>
      <c r="M3" s="1448" t="s">
        <v>0</v>
      </c>
      <c r="N3" s="1448" t="s">
        <v>1315</v>
      </c>
      <c r="O3" s="1448" t="s">
        <v>1362</v>
      </c>
      <c r="P3" s="1448" t="s">
        <v>2</v>
      </c>
    </row>
    <row r="4" spans="1:23">
      <c r="A4" s="684" t="s">
        <v>1600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1641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1642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1646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7" sqref="C17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7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1756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 ht="37.5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C30" sqref="C30"/>
    </sheetView>
  </sheetViews>
  <sheetFormatPr defaultRowHeight="13.5"/>
  <cols>
    <col min="1" max="1" width="23.375" style="1700" customWidth="1"/>
    <col min="2" max="9" width="15.75" style="1700" customWidth="1"/>
    <col min="10" max="16384" width="9" style="1700"/>
  </cols>
  <sheetData>
    <row r="1" spans="1:10" ht="16.5">
      <c r="A1" s="1697" t="s">
        <v>1724</v>
      </c>
      <c r="B1" s="1697">
        <f>SUM(B14:B23)</f>
        <v>130.81</v>
      </c>
      <c r="C1" s="1698"/>
      <c r="D1" s="1698"/>
      <c r="E1" s="1698"/>
      <c r="F1" s="1698"/>
      <c r="G1" s="1699"/>
    </row>
    <row r="2" spans="1:10" ht="16.5">
      <c r="A2" s="1697" t="s">
        <v>1725</v>
      </c>
      <c r="B2" s="1697">
        <f>SUM(C14:C23)</f>
        <v>1</v>
      </c>
      <c r="C2" s="1698"/>
      <c r="D2" s="1698"/>
      <c r="E2" s="1698"/>
      <c r="F2" s="1698"/>
      <c r="G2" s="1699"/>
    </row>
    <row r="3" spans="1:10" ht="16.5">
      <c r="A3" s="1697" t="s">
        <v>1726</v>
      </c>
      <c r="B3" s="1701">
        <f>主表!B3</f>
        <v>43039</v>
      </c>
      <c r="C3" s="1698"/>
      <c r="D3" s="1698"/>
      <c r="E3" s="1698"/>
      <c r="F3" s="1698"/>
      <c r="G3" s="1699"/>
    </row>
    <row r="4" spans="1:10" ht="33">
      <c r="A4" s="1697" t="s">
        <v>1727</v>
      </c>
      <c r="B4" s="1697" t="s">
        <v>1728</v>
      </c>
      <c r="C4" s="1697" t="s">
        <v>1729</v>
      </c>
      <c r="D4" s="1697" t="s">
        <v>1730</v>
      </c>
      <c r="E4" s="1698"/>
      <c r="F4" s="1699"/>
      <c r="G4" s="1699"/>
    </row>
    <row r="5" spans="1:10" ht="16.5">
      <c r="A5" s="1697" t="s">
        <v>1731</v>
      </c>
      <c r="B5" s="1697">
        <f>SUM(D14:D23)</f>
        <v>0</v>
      </c>
      <c r="C5" s="1697">
        <f>ROUND(B5*10000/$B$1,0)</f>
        <v>0</v>
      </c>
      <c r="D5" s="1697">
        <f>ROUND(B5*10000/$B$2,0)</f>
        <v>0</v>
      </c>
      <c r="E5" s="1698"/>
      <c r="F5" s="1699"/>
      <c r="G5" s="1699"/>
    </row>
    <row r="6" spans="1:10" ht="16.5">
      <c r="A6" s="1697" t="s">
        <v>1732</v>
      </c>
      <c r="B6" s="1697">
        <f>SUM(G14:G23)</f>
        <v>0</v>
      </c>
      <c r="C6" s="1697">
        <f>ROUND(B6*10000/$B$1,0)</f>
        <v>0</v>
      </c>
      <c r="D6" s="1697">
        <f>ROUND(B6*10000/$B$2,0)</f>
        <v>0</v>
      </c>
      <c r="E6" s="1698"/>
      <c r="F6" s="1699"/>
      <c r="G6" s="1699"/>
    </row>
    <row r="7" spans="1:10" ht="16.5">
      <c r="A7" s="1697" t="s">
        <v>1733</v>
      </c>
      <c r="B7" s="1697">
        <f>SUM(H14:H23)</f>
        <v>0</v>
      </c>
      <c r="C7" s="1697">
        <f>ROUND(B7*10000/$B$1,0)</f>
        <v>0</v>
      </c>
      <c r="D7" s="1697">
        <f>ROUND(B7*10000/$B$2,0)</f>
        <v>0</v>
      </c>
      <c r="E7" s="1698"/>
      <c r="F7" s="1699"/>
      <c r="G7" s="1699"/>
    </row>
    <row r="8" spans="1:10" ht="16.5">
      <c r="A8" s="1697" t="s">
        <v>1734</v>
      </c>
      <c r="B8" s="1697">
        <f>SUM(I14:I23)</f>
        <v>0</v>
      </c>
      <c r="C8" s="1697">
        <f>ROUND(B8*10000/$B$1,0)</f>
        <v>0</v>
      </c>
      <c r="D8" s="1697">
        <f>ROUND(B8*10000/$B$2,0)</f>
        <v>0</v>
      </c>
      <c r="E8" s="1698"/>
      <c r="F8" s="1699"/>
      <c r="G8" s="1699"/>
    </row>
    <row r="9" spans="1:10" ht="16.5">
      <c r="A9" s="1697" t="s">
        <v>1735</v>
      </c>
      <c r="B9" s="1702"/>
      <c r="C9" s="1698"/>
      <c r="D9" s="1698"/>
      <c r="E9" s="1698"/>
      <c r="F9" s="1699"/>
      <c r="G9" s="1699"/>
    </row>
    <row r="10" spans="1:10" ht="16.5">
      <c r="A10" s="1697" t="s">
        <v>1736</v>
      </c>
      <c r="B10" s="1702"/>
      <c r="C10" s="1698"/>
      <c r="D10" s="1698"/>
      <c r="E10" s="1698"/>
      <c r="F10" s="1699"/>
      <c r="G10" s="1699"/>
    </row>
    <row r="11" spans="1:10" ht="16.5">
      <c r="A11" s="1697" t="s">
        <v>1755</v>
      </c>
      <c r="B11" s="1697">
        <f ca="1">结果表!B19</f>
        <v>113.0907</v>
      </c>
      <c r="C11" s="1697">
        <f ca="1">结果表!B18</f>
        <v>8645</v>
      </c>
      <c r="D11" s="1698"/>
      <c r="E11" s="1698"/>
      <c r="F11" s="1699"/>
      <c r="G11" s="1699"/>
    </row>
    <row r="12" spans="1:10" ht="16.5">
      <c r="A12" s="1698"/>
      <c r="B12" s="1698"/>
      <c r="C12" s="1698"/>
      <c r="D12" s="1698"/>
      <c r="E12" s="1698"/>
      <c r="F12" s="1699"/>
      <c r="G12" s="1699"/>
    </row>
    <row r="13" spans="1:10" ht="33">
      <c r="A13" s="1703" t="s">
        <v>1737</v>
      </c>
      <c r="B13" s="1704" t="s">
        <v>1738</v>
      </c>
      <c r="C13" s="1704" t="s">
        <v>1739</v>
      </c>
      <c r="D13" s="1704" t="s">
        <v>1740</v>
      </c>
      <c r="E13" s="1697" t="s">
        <v>1729</v>
      </c>
      <c r="F13" s="1697" t="s">
        <v>1741</v>
      </c>
      <c r="G13" s="1704" t="s">
        <v>1742</v>
      </c>
      <c r="H13" s="1704" t="s">
        <v>1743</v>
      </c>
      <c r="I13" s="1704" t="s">
        <v>1744</v>
      </c>
      <c r="J13" s="1699"/>
    </row>
    <row r="14" spans="1:10" ht="16.5">
      <c r="A14" s="1705" t="s">
        <v>1745</v>
      </c>
      <c r="B14" s="1704">
        <f>主表!B7</f>
        <v>130.81</v>
      </c>
      <c r="C14" s="1704">
        <f>主表!B6</f>
        <v>1</v>
      </c>
      <c r="D14" s="1704"/>
      <c r="E14" s="1704">
        <f>ROUND(D14*10000/B14,0)</f>
        <v>0</v>
      </c>
      <c r="F14" s="1704">
        <f>ROUND(D14*10000/C14,0)</f>
        <v>0</v>
      </c>
      <c r="G14" s="1704"/>
      <c r="H14" s="1704"/>
      <c r="I14" s="1704"/>
      <c r="J14" s="1699"/>
    </row>
    <row r="15" spans="1:10" ht="16.5">
      <c r="A15" s="1705" t="s">
        <v>1746</v>
      </c>
      <c r="B15" s="1706"/>
      <c r="C15" s="1706"/>
      <c r="D15" s="1706"/>
      <c r="E15" s="1704" t="e">
        <f t="shared" ref="E15:E23" si="0">ROUND(D15*10000/B15,0)</f>
        <v>#DIV/0!</v>
      </c>
      <c r="F15" s="1704" t="e">
        <f t="shared" ref="F15:F23" si="1">ROUND(D15*10000/C15,0)</f>
        <v>#DIV/0!</v>
      </c>
      <c r="G15" s="1707"/>
      <c r="H15" s="1707"/>
      <c r="I15" s="1706"/>
      <c r="J15" s="1699"/>
    </row>
    <row r="16" spans="1:10" ht="16.5">
      <c r="A16" s="1705" t="s">
        <v>1747</v>
      </c>
      <c r="B16" s="1706"/>
      <c r="C16" s="1706"/>
      <c r="D16" s="1706"/>
      <c r="E16" s="1704" t="e">
        <f t="shared" si="0"/>
        <v>#DIV/0!</v>
      </c>
      <c r="F16" s="1704" t="e">
        <f t="shared" si="1"/>
        <v>#DIV/0!</v>
      </c>
      <c r="G16" s="1707"/>
      <c r="H16" s="1707"/>
      <c r="I16" s="1706"/>
    </row>
    <row r="17" spans="1:9" ht="16.5">
      <c r="A17" s="1705" t="s">
        <v>1748</v>
      </c>
      <c r="B17" s="1706"/>
      <c r="C17" s="1706"/>
      <c r="D17" s="1706"/>
      <c r="E17" s="1704" t="e">
        <f t="shared" si="0"/>
        <v>#DIV/0!</v>
      </c>
      <c r="F17" s="1704" t="e">
        <f t="shared" si="1"/>
        <v>#DIV/0!</v>
      </c>
      <c r="G17" s="1707"/>
      <c r="H17" s="1707"/>
      <c r="I17" s="1706"/>
    </row>
    <row r="18" spans="1:9" ht="16.5">
      <c r="A18" s="1705" t="s">
        <v>1749</v>
      </c>
      <c r="B18" s="1706"/>
      <c r="C18" s="1706"/>
      <c r="D18" s="1706"/>
      <c r="E18" s="1704" t="e">
        <f t="shared" si="0"/>
        <v>#DIV/0!</v>
      </c>
      <c r="F18" s="1704" t="e">
        <f t="shared" si="1"/>
        <v>#DIV/0!</v>
      </c>
      <c r="G18" s="1706"/>
      <c r="H18" s="1706"/>
      <c r="I18" s="1706"/>
    </row>
    <row r="19" spans="1:9" ht="16.5">
      <c r="A19" s="1705" t="s">
        <v>1750</v>
      </c>
      <c r="B19" s="1706"/>
      <c r="C19" s="1706"/>
      <c r="D19" s="1706"/>
      <c r="E19" s="1704" t="e">
        <f t="shared" si="0"/>
        <v>#DIV/0!</v>
      </c>
      <c r="F19" s="1704" t="e">
        <f t="shared" si="1"/>
        <v>#DIV/0!</v>
      </c>
      <c r="G19" s="1706"/>
      <c r="H19" s="1706"/>
      <c r="I19" s="1706"/>
    </row>
    <row r="20" spans="1:9" ht="16.5">
      <c r="A20" s="1705" t="s">
        <v>1751</v>
      </c>
      <c r="B20" s="1706"/>
      <c r="C20" s="1706"/>
      <c r="D20" s="1706"/>
      <c r="E20" s="1704" t="e">
        <f t="shared" si="0"/>
        <v>#DIV/0!</v>
      </c>
      <c r="F20" s="1704" t="e">
        <f t="shared" si="1"/>
        <v>#DIV/0!</v>
      </c>
      <c r="G20" s="1706"/>
      <c r="H20" s="1706"/>
      <c r="I20" s="1706"/>
    </row>
    <row r="21" spans="1:9" ht="16.5">
      <c r="A21" s="1705" t="s">
        <v>1752</v>
      </c>
      <c r="B21" s="1706"/>
      <c r="C21" s="1706"/>
      <c r="D21" s="1706"/>
      <c r="E21" s="1704" t="e">
        <f t="shared" si="0"/>
        <v>#DIV/0!</v>
      </c>
      <c r="F21" s="1704" t="e">
        <f t="shared" si="1"/>
        <v>#DIV/0!</v>
      </c>
      <c r="G21" s="1706"/>
      <c r="H21" s="1706"/>
      <c r="I21" s="1706"/>
    </row>
    <row r="22" spans="1:9" ht="16.5">
      <c r="A22" s="1705" t="s">
        <v>1753</v>
      </c>
      <c r="B22" s="1706"/>
      <c r="C22" s="1706"/>
      <c r="D22" s="1706"/>
      <c r="E22" s="1704" t="e">
        <f t="shared" si="0"/>
        <v>#DIV/0!</v>
      </c>
      <c r="F22" s="1704" t="e">
        <f t="shared" si="1"/>
        <v>#DIV/0!</v>
      </c>
      <c r="G22" s="1706"/>
      <c r="H22" s="1706"/>
      <c r="I22" s="1706"/>
    </row>
    <row r="23" spans="1:9" ht="16.5">
      <c r="A23" s="1705" t="s">
        <v>1754</v>
      </c>
      <c r="B23" s="1706"/>
      <c r="C23" s="1706"/>
      <c r="D23" s="1706"/>
      <c r="E23" s="1704" t="e">
        <f t="shared" si="0"/>
        <v>#DIV/0!</v>
      </c>
      <c r="F23" s="1704" t="e">
        <f t="shared" si="1"/>
        <v>#DIV/0!</v>
      </c>
      <c r="G23" s="1706"/>
      <c r="H23" s="1706"/>
      <c r="I23" s="1706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B19" sqref="B19:C19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26" t="s">
        <v>1368</v>
      </c>
      <c r="B2" s="1726"/>
      <c r="C2" s="1726"/>
      <c r="D2" s="1726"/>
      <c r="E2" s="1726"/>
      <c r="F2" s="1726"/>
      <c r="G2" s="1726"/>
      <c r="H2" s="665"/>
      <c r="I2" s="227"/>
      <c r="X2" s="221"/>
      <c r="AG2" s="189"/>
    </row>
    <row r="3" spans="1:33" ht="13.5">
      <c r="A3" s="1727" t="s">
        <v>1369</v>
      </c>
      <c r="B3" s="1728"/>
      <c r="C3" s="1729"/>
      <c r="D3" s="1730" t="s">
        <v>1370</v>
      </c>
      <c r="E3" s="1728"/>
      <c r="F3" s="1728"/>
      <c r="G3" s="1731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32" t="s">
        <v>1371</v>
      </c>
      <c r="E4" s="1733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34" t="s">
        <v>1375</v>
      </c>
      <c r="B5" s="1735">
        <f ca="1">主表!F5</f>
        <v>4266</v>
      </c>
      <c r="C5" s="1736" t="s">
        <v>1376</v>
      </c>
      <c r="D5" s="1733" t="s">
        <v>1377</v>
      </c>
      <c r="E5" s="1737"/>
      <c r="F5" s="1336">
        <f>SUM(F6:F10)</f>
        <v>3597</v>
      </c>
      <c r="G5" s="1337" t="s">
        <v>1654</v>
      </c>
      <c r="H5" s="665"/>
      <c r="I5" s="227"/>
      <c r="X5" s="221"/>
      <c r="AG5" s="189"/>
    </row>
    <row r="6" spans="1:33" ht="27">
      <c r="A6" s="1734"/>
      <c r="B6" s="1735"/>
      <c r="C6" s="1736"/>
      <c r="D6" s="1738" t="s">
        <v>1398</v>
      </c>
      <c r="E6" s="1336" t="s">
        <v>1378</v>
      </c>
      <c r="F6" s="1336">
        <f>主表!F14</f>
        <v>2310</v>
      </c>
      <c r="G6" s="1337" t="s">
        <v>1379</v>
      </c>
      <c r="H6" s="665"/>
      <c r="I6" s="227"/>
      <c r="X6" s="221"/>
      <c r="AG6" s="189"/>
    </row>
    <row r="7" spans="1:33" ht="13.5">
      <c r="A7" s="1734"/>
      <c r="B7" s="1735"/>
      <c r="C7" s="1736"/>
      <c r="D7" s="1738"/>
      <c r="E7" s="1336" t="s">
        <v>1380</v>
      </c>
      <c r="F7" s="1336">
        <f>主表!F15</f>
        <v>500</v>
      </c>
      <c r="G7" s="1337"/>
      <c r="H7" s="665"/>
      <c r="I7" s="227"/>
      <c r="X7" s="221"/>
      <c r="AG7" s="189"/>
    </row>
    <row r="8" spans="1:33" ht="13.5">
      <c r="A8" s="1734"/>
      <c r="B8" s="1735"/>
      <c r="C8" s="1736"/>
      <c r="D8" s="1739" t="s">
        <v>1399</v>
      </c>
      <c r="E8" s="1740"/>
      <c r="F8" s="1336">
        <f>主表!F16</f>
        <v>169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34"/>
      <c r="B9" s="1735"/>
      <c r="C9" s="1736"/>
      <c r="D9" s="1739" t="s">
        <v>1400</v>
      </c>
      <c r="E9" s="1740"/>
      <c r="F9" s="1336">
        <f>主表!F18</f>
        <v>337</v>
      </c>
      <c r="G9" s="1337" t="str">
        <f>"按建安工程费的"&amp;TEXT(主表!G18,"0.0%")&amp;"计取"</f>
        <v>按建安工程费的12.0%计取</v>
      </c>
      <c r="H9" s="665"/>
      <c r="I9" s="227"/>
      <c r="X9" s="221"/>
      <c r="AG9" s="189"/>
    </row>
    <row r="10" spans="1:33" ht="13.5">
      <c r="A10" s="1734"/>
      <c r="B10" s="1735"/>
      <c r="C10" s="1736"/>
      <c r="D10" s="1739" t="s">
        <v>1401</v>
      </c>
      <c r="E10" s="1740"/>
      <c r="F10" s="1336">
        <f>主表!F19</f>
        <v>281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1381</v>
      </c>
      <c r="B11" s="1336">
        <f ca="1">主表!F8</f>
        <v>85</v>
      </c>
      <c r="C11" s="1338" t="str">
        <f>"按前期开发成本的"&amp;TEXT(主表!G8,"0.0%")&amp;"计取"</f>
        <v>按前期开发成本的2.0%计取</v>
      </c>
      <c r="D11" s="1733" t="s">
        <v>1382</v>
      </c>
      <c r="E11" s="1737"/>
      <c r="F11" s="1336">
        <f>主表!F20</f>
        <v>108</v>
      </c>
      <c r="G11" s="1337" t="str">
        <f>"按房屋建设成本的"&amp;主表!G20&amp;"计取"</f>
        <v>按房屋建设成本的0.03计取</v>
      </c>
      <c r="H11" s="665"/>
      <c r="I11" s="227"/>
      <c r="X11" s="221"/>
      <c r="AG11" s="189"/>
    </row>
    <row r="12" spans="1:33" ht="40.5">
      <c r="A12" s="1332" t="s">
        <v>1383</v>
      </c>
      <c r="B12" s="1336">
        <f ca="1">主表!F9</f>
        <v>229</v>
      </c>
      <c r="C12" s="1339" t="str">
        <f ca="1">"前期开发期为"&amp;主表!B24&amp;"年，贷款利率为"&amp;TEXT(主表!G9,"0.00%")&amp;"，"&amp;主表!H9</f>
        <v>前期开发期为1年，贷款利率为5.31%，计息期为1年，单利计息</v>
      </c>
      <c r="D12" s="1733" t="s">
        <v>1384</v>
      </c>
      <c r="E12" s="1737"/>
      <c r="F12" s="1336">
        <f ca="1">主表!F21</f>
        <v>176</v>
      </c>
      <c r="G12" s="1337" t="str">
        <f ca="1">"房屋建设期为"&amp;主表!B23&amp;"年，贷款利率为"&amp;TEXT(主表!G21,"0.00%")&amp;"，"&amp;主表!H21</f>
        <v>房屋建设期为2年，贷款利率为4.75%，计息期为2年，复利计息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>
        <f ca="1">主表!F10</f>
        <v>1740</v>
      </c>
      <c r="C13" s="1339" t="str">
        <f>"按前期开发成本及其管理费用的"&amp;TEXT(主表!G10,"0%")&amp;"计取"</f>
        <v>按前期开发成本及其管理费用的40%计取</v>
      </c>
      <c r="D13" s="1733" t="s">
        <v>1385</v>
      </c>
      <c r="E13" s="1737"/>
      <c r="F13" s="1336">
        <f>主表!F22</f>
        <v>1482</v>
      </c>
      <c r="G13" s="1337" t="str">
        <f>"按房屋建设成本及其管理费用的"&amp;TEXT(主表!G22,"0%")&amp;"计取"</f>
        <v>按房屋建设成本及其管理费用的40%计取</v>
      </c>
      <c r="H13" s="665"/>
      <c r="I13" s="227"/>
      <c r="X13" s="221"/>
      <c r="AG13" s="189"/>
    </row>
    <row r="14" spans="1:33" ht="13.5">
      <c r="A14" s="1332" t="s">
        <v>1386</v>
      </c>
      <c r="B14" s="1336">
        <f ca="1">SUM(B5:B13)</f>
        <v>6320</v>
      </c>
      <c r="C14" s="1339" t="s">
        <v>1387</v>
      </c>
      <c r="D14" s="1733" t="s">
        <v>1386</v>
      </c>
      <c r="E14" s="1737"/>
      <c r="F14" s="1336">
        <f ca="1">F5+F11+F12+F13</f>
        <v>5363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35">
        <f ca="1">主表!F24</f>
        <v>11683</v>
      </c>
      <c r="C15" s="1741"/>
      <c r="D15" s="1739" t="s">
        <v>1389</v>
      </c>
      <c r="E15" s="1740"/>
      <c r="F15" s="1740"/>
      <c r="G15" s="1742"/>
      <c r="H15" s="665"/>
      <c r="I15" s="227"/>
      <c r="X15" s="221"/>
      <c r="AG15" s="189"/>
    </row>
    <row r="16" spans="1:33" ht="27.75" thickBot="1">
      <c r="A16" s="1332" t="s">
        <v>1390</v>
      </c>
      <c r="B16" s="1735">
        <f ca="1">主表!F25</f>
        <v>152.8253</v>
      </c>
      <c r="C16" s="1741"/>
      <c r="D16" s="1739" t="s">
        <v>1391</v>
      </c>
      <c r="E16" s="1740"/>
      <c r="F16" s="1740"/>
      <c r="G16" s="1742"/>
      <c r="H16" s="1341" t="str">
        <f ca="1">NUMBERSTRING(INT(B16*10000),2)&amp;"元整"</f>
        <v>壹佰伍拾贰万捌仟贰佰伍拾叁元整</v>
      </c>
      <c r="I16" s="1342"/>
      <c r="X16" s="221"/>
      <c r="AG16" s="189"/>
    </row>
    <row r="17" spans="1:33" ht="13.5">
      <c r="A17" s="1332" t="s">
        <v>1392</v>
      </c>
      <c r="B17" s="1748">
        <f>主表!F33</f>
        <v>0.74</v>
      </c>
      <c r="C17" s="1741"/>
      <c r="D17" s="1739" t="s">
        <v>1393</v>
      </c>
      <c r="E17" s="1740"/>
      <c r="F17" s="1740"/>
      <c r="G17" s="1742"/>
      <c r="H17" s="665"/>
      <c r="I17" s="227"/>
      <c r="X17" s="221"/>
      <c r="AG17" s="189"/>
    </row>
    <row r="18" spans="1:33" ht="27.75" thickBot="1">
      <c r="A18" s="1332" t="s">
        <v>1394</v>
      </c>
      <c r="B18" s="1735">
        <f ca="1">主表!F35</f>
        <v>8645</v>
      </c>
      <c r="C18" s="1741"/>
      <c r="D18" s="1739" t="s">
        <v>1395</v>
      </c>
      <c r="E18" s="1740"/>
      <c r="F18" s="1740"/>
      <c r="G18" s="1742"/>
      <c r="H18" s="663"/>
      <c r="I18" s="227"/>
      <c r="X18" s="221"/>
      <c r="AG18" s="189"/>
    </row>
    <row r="19" spans="1:33" ht="27.75" thickBot="1">
      <c r="A19" s="1340" t="s">
        <v>1396</v>
      </c>
      <c r="B19" s="1743">
        <f ca="1">主表!F36</f>
        <v>113.0907</v>
      </c>
      <c r="C19" s="1744"/>
      <c r="D19" s="1745" t="s">
        <v>1397</v>
      </c>
      <c r="E19" s="1746"/>
      <c r="F19" s="1746"/>
      <c r="G19" s="1747"/>
      <c r="H19" s="1341" t="str">
        <f ca="1">NUMBERSTRING(INT(B19*10000),2)&amp;"元整"</f>
        <v>壹佰壹拾叁万零玖佰零柒元整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opLeftCell="A2" zoomScale="90" zoomScaleNormal="90" workbookViewId="0">
      <selection activeCell="B23" sqref="B23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54" t="s">
        <v>1288</v>
      </c>
      <c r="E2" s="1755"/>
      <c r="F2" s="1755"/>
      <c r="G2" s="1755"/>
      <c r="H2" s="1756"/>
      <c r="I2" s="1199"/>
      <c r="J2" s="1199"/>
      <c r="K2" s="1250"/>
      <c r="L2" s="1250"/>
      <c r="N2" s="516" t="s">
        <v>1161</v>
      </c>
      <c r="O2" s="487">
        <f>SUMPRODUCT((N6:N12=B20)*(O5:Q5=B21)*(O6:Q12))</f>
        <v>60</v>
      </c>
    </row>
    <row r="3" spans="1:18" ht="15.75" customHeight="1">
      <c r="A3" s="1200" t="s">
        <v>1279</v>
      </c>
      <c r="B3" s="518">
        <v>43039</v>
      </c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5">
        <f>IF(B22="",O2,YEAR(B3)-B22)</f>
        <v>17</v>
      </c>
    </row>
    <row r="4" spans="1:18" ht="15.75" customHeight="1">
      <c r="A4" s="1200" t="s">
        <v>1546</v>
      </c>
      <c r="B4" s="518">
        <v>37337</v>
      </c>
      <c r="C4" s="1198"/>
      <c r="D4" s="1206" t="s">
        <v>1289</v>
      </c>
      <c r="E4" s="1207" t="s">
        <v>1585</v>
      </c>
      <c r="F4" s="1208">
        <f ca="1">F5+F8+F9+F10</f>
        <v>6320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1586</v>
      </c>
      <c r="F5" s="1053">
        <f ca="1">IF(B4&lt;DATE(2002,12,10),F6,F6-F7)</f>
        <v>4266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>
        <v>1</v>
      </c>
      <c r="C6" s="1198"/>
      <c r="D6" s="1219" t="s">
        <v>1281</v>
      </c>
      <c r="E6" s="1215" t="s">
        <v>1234</v>
      </c>
      <c r="F6" s="1053">
        <f ca="1">IF(B4&lt;DATE(2002,12,10),'1993基准地价'!B3,IF(B4&gt;=DATE(2014,8,28),'2014基准地价'!B3,'2002基准地价'!B3))</f>
        <v>4266</v>
      </c>
      <c r="G6" s="1216"/>
      <c r="H6" s="1220" t="str">
        <f>"采用"&amp;IF(B4&lt;DATE(2002,12,10),"1993版",IF(B4&gt;=DATE(2014,8,28),"2014版","2002版"))&amp;"基准地价系数修正法计算"</f>
        <v>采用1993版基准地价系数修正法计算</v>
      </c>
      <c r="I6" s="1690" t="s">
        <v>1580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>
        <v>130.81</v>
      </c>
      <c r="C7" s="1198"/>
      <c r="D7" s="1219" t="s">
        <v>1282</v>
      </c>
      <c r="E7" s="1215" t="s">
        <v>1235</v>
      </c>
      <c r="F7" s="1053">
        <f>IF(B4&lt;DATE(2002,12,10),'1993基准地价'!C14,IF(B4&gt;=DATE(2014,8,28),'2014基准地价'!C30,IF(H7="采用比较法计算",比较法!B3,IF(H7="扣毛地价",'2002基准地价'!B4,'2002基准地价'!B5))))</f>
        <v>1250</v>
      </c>
      <c r="G7" s="1224"/>
      <c r="H7" s="1386" t="s">
        <v>1764</v>
      </c>
      <c r="I7" s="1225" t="s">
        <v>1573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>
        <f>ROUND(B7/B6,2)</f>
        <v>130.81</v>
      </c>
      <c r="C8" s="1198"/>
      <c r="D8" s="1227">
        <v>2</v>
      </c>
      <c r="E8" s="1228" t="s">
        <v>1237</v>
      </c>
      <c r="F8" s="1229">
        <f ca="1">ROUND(F5*G8,0)</f>
        <v>85</v>
      </c>
      <c r="G8" s="664">
        <v>0.02</v>
      </c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1650</v>
      </c>
      <c r="B9" s="1288">
        <v>2</v>
      </c>
      <c r="C9" s="1198"/>
      <c r="D9" s="1227">
        <v>3</v>
      </c>
      <c r="E9" s="1228" t="s">
        <v>1238</v>
      </c>
      <c r="F9" s="1229">
        <f ca="1">ROUND(F5*(POWER((1+G9),B24)-1)+F8*(POWER((1+G9),B24/2)-1),0)</f>
        <v>229</v>
      </c>
      <c r="G9" s="1231">
        <f ca="1">存贷款利率!G2</f>
        <v>5.3099999999999994E-2</v>
      </c>
      <c r="H9" s="1232" t="str">
        <f>"计息期为"&amp;B24&amp;"年，"&amp;IF(B24&lt;=1,"单利计息","复利计息")</f>
        <v>计息期为1年，单利计息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 t="s">
        <v>584</v>
      </c>
      <c r="C10" s="1198"/>
      <c r="D10" s="1236">
        <v>4</v>
      </c>
      <c r="E10" s="1237" t="s">
        <v>1239</v>
      </c>
      <c r="F10" s="1238">
        <f ca="1">ROUND((F5+F8)*G10,0)</f>
        <v>1740</v>
      </c>
      <c r="G10" s="521">
        <v>0.4</v>
      </c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 t="s">
        <v>584</v>
      </c>
      <c r="C11" s="1198"/>
      <c r="D11" s="1242" t="s">
        <v>1295</v>
      </c>
      <c r="E11" s="1243" t="s">
        <v>1587</v>
      </c>
      <c r="F11" s="1208">
        <f ca="1">F12+F20+F21+F22</f>
        <v>5363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1762</v>
      </c>
      <c r="C12" s="1198"/>
      <c r="D12" s="1227">
        <v>1</v>
      </c>
      <c r="E12" s="1228" t="s">
        <v>1588</v>
      </c>
      <c r="F12" s="1229">
        <f>F13+F16+F17</f>
        <v>3597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>
        <v>70</v>
      </c>
      <c r="C13" s="1198"/>
      <c r="D13" s="1219" t="s">
        <v>1281</v>
      </c>
      <c r="E13" s="1228" t="s">
        <v>1243</v>
      </c>
      <c r="F13" s="1229">
        <f>F14+F15</f>
        <v>2810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/>
      <c r="C14" s="1198"/>
      <c r="D14" s="1227" t="s">
        <v>1284</v>
      </c>
      <c r="E14" s="1228" t="s">
        <v>1244</v>
      </c>
      <c r="F14" s="522">
        <v>2310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65</v>
      </c>
      <c r="C15" s="1198"/>
      <c r="D15" s="1227" t="s">
        <v>1285</v>
      </c>
      <c r="E15" s="1228" t="s">
        <v>1245</v>
      </c>
      <c r="F15" s="522">
        <v>500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1651</v>
      </c>
      <c r="B16" s="1288"/>
      <c r="C16" s="1198"/>
      <c r="D16" s="1219" t="s">
        <v>1282</v>
      </c>
      <c r="E16" s="1228" t="s">
        <v>1246</v>
      </c>
      <c r="F16" s="1053">
        <f>ROUND(F13*G16,0)</f>
        <v>169</v>
      </c>
      <c r="G16" s="520">
        <v>0.06</v>
      </c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1652</v>
      </c>
      <c r="B17" s="1503">
        <f ca="1">IF(B4&lt;DATE(2002,12,10),'1993基准地价'!C23,IF(B4&gt;=DATE(2014,8,28),'2014基准地价'!G20,'2002基准地价'!E10))</f>
        <v>4.0050000000000002E-2</v>
      </c>
      <c r="C17" s="1198"/>
      <c r="D17" s="1219" t="s">
        <v>1283</v>
      </c>
      <c r="E17" s="1228" t="s">
        <v>1249</v>
      </c>
      <c r="F17" s="1229">
        <f>F18+F19</f>
        <v>618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 ca="1">IF(ISERROR(ROUND(POWER(1+B17,B13-B15)*(POWER(1+B17,B15)-1)/(POWER(1+B17,B13)-1),3)),0,ROUND(POWER(1+B17,B13-B15)*(POWER(1+B17,B15)-1)/(POWER(1+B17,B13)-1),3))</f>
        <v>0.98499999999999999</v>
      </c>
      <c r="C18" s="1198"/>
      <c r="D18" s="1227" t="s">
        <v>1286</v>
      </c>
      <c r="E18" s="1228" t="s">
        <v>1296</v>
      </c>
      <c r="F18" s="1053">
        <f>ROUND(IF(B12="住宅/居住",F13*G18,0),0)</f>
        <v>337</v>
      </c>
      <c r="G18" s="520">
        <v>0.12</v>
      </c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281</v>
      </c>
      <c r="G19" s="520">
        <v>0.1</v>
      </c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 t="s">
        <v>1763</v>
      </c>
      <c r="C20" s="1198"/>
      <c r="D20" s="1227">
        <v>2</v>
      </c>
      <c r="E20" s="1228" t="s">
        <v>1237</v>
      </c>
      <c r="F20" s="1229">
        <f>ROUND(F12*G20,0)</f>
        <v>108</v>
      </c>
      <c r="G20" s="664">
        <v>0.03</v>
      </c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 t="s">
        <v>1150</v>
      </c>
      <c r="C21" s="1198"/>
      <c r="D21" s="1421">
        <v>3</v>
      </c>
      <c r="E21" s="1422" t="s">
        <v>1589</v>
      </c>
      <c r="F21" s="1423">
        <f ca="1">ROUND((F12+F20)*(POWER((1+G21),B23/2)-1),0)</f>
        <v>176</v>
      </c>
      <c r="G21" s="1424">
        <f ca="1">存贷款利率!G1</f>
        <v>4.7500000000000001E-2</v>
      </c>
      <c r="H21" s="1232" t="str">
        <f>"计息期为"&amp;B23&amp;"年，"&amp;"复利计息"</f>
        <v>计息期为2年，复利计息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>
        <v>2000</v>
      </c>
      <c r="C22" s="1198"/>
      <c r="D22" s="1236">
        <v>4</v>
      </c>
      <c r="E22" s="1237" t="s">
        <v>1590</v>
      </c>
      <c r="F22" s="1238">
        <f>ROUND((F12+F20)*G22,0)</f>
        <v>1482</v>
      </c>
      <c r="G22" s="521">
        <f>G10</f>
        <v>0.4</v>
      </c>
      <c r="H22" s="1239" t="s">
        <v>1241</v>
      </c>
      <c r="I22" s="1292" t="str">
        <f>IF(B12="商业","商业用途35%-50%",IF(B12="工业","工业用途18%-28%",IF(B12="办公/综合","办公用途25%-40%","居住用途30%-50%")))</f>
        <v>居住用途30%-50%</v>
      </c>
      <c r="J22" s="1194"/>
      <c r="K22" s="1250"/>
      <c r="L22" s="1250"/>
    </row>
    <row r="23" spans="1:18" ht="15.75" customHeight="1" thickTop="1">
      <c r="A23" s="515" t="s">
        <v>1278</v>
      </c>
      <c r="B23" s="519">
        <v>2</v>
      </c>
      <c r="C23" s="1250"/>
      <c r="D23" s="1242" t="s">
        <v>1591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1655</v>
      </c>
      <c r="B24" s="519">
        <v>1</v>
      </c>
      <c r="C24" s="1250"/>
      <c r="D24" s="1214">
        <v>1</v>
      </c>
      <c r="E24" s="1215" t="s">
        <v>1255</v>
      </c>
      <c r="F24" s="1053">
        <f ca="1">F4+F11</f>
        <v>11683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>
        <f ca="1">ROUND(F24*B7/10000,4)</f>
        <v>152.8253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57" t="s">
        <v>1290</v>
      </c>
      <c r="E26" s="1758"/>
      <c r="F26" s="1758"/>
      <c r="G26" s="1758"/>
      <c r="H26" s="1759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>
        <f>ROUND(1-(1-O4)*O3/O2,2)</f>
        <v>0.72</v>
      </c>
      <c r="G28" s="523">
        <v>0.5</v>
      </c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0.75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1595</v>
      </c>
      <c r="P29" s="1442" t="s">
        <v>1596</v>
      </c>
      <c r="Q29" s="1442" t="s">
        <v>1597</v>
      </c>
      <c r="R29" s="1443" t="s">
        <v>1598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>
        <v>75</v>
      </c>
      <c r="G30" s="1266">
        <f>IF(ISNUMBER(FIND("砖木",B20)),O30,SUMPRODUCT((N30:N32=E30)*(O29:R29=B20)*(O30:R32)))</f>
        <v>0.2</v>
      </c>
      <c r="H30" s="1267"/>
      <c r="I30" s="1749" t="s">
        <v>1599</v>
      </c>
      <c r="J30" s="1436"/>
      <c r="K30" s="1250"/>
      <c r="L30" s="1250"/>
      <c r="N30" s="1444" t="s">
        <v>1592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75</v>
      </c>
      <c r="G31" s="1266">
        <f>IF(ISNUMBER(FIND("砖木",B20)),O31,SUMPRODUCT((N30:N32=E31)*(O29:R29=B20)*(O30:R32)))</f>
        <v>0.5</v>
      </c>
      <c r="H31" s="1267"/>
      <c r="I31" s="1749"/>
      <c r="J31" s="1436"/>
      <c r="K31" s="1250"/>
      <c r="L31" s="1250"/>
      <c r="N31" s="1444" t="s">
        <v>1593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75</v>
      </c>
      <c r="G32" s="1266">
        <f>IF(ISNUMBER(FIND("砖木",B20)),O32,SUMPRODUCT((N30:N32=E32)*(O29:R29=B20)*(O30:R32)))</f>
        <v>0.3</v>
      </c>
      <c r="H32" s="1267"/>
      <c r="I32" s="1749"/>
      <c r="J32" s="1436"/>
      <c r="K32" s="1250"/>
      <c r="L32" s="1250"/>
      <c r="N32" s="1444" t="s">
        <v>1594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>
        <f>ROUND(F28*G28+F29*G29,2)</f>
        <v>0.74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57" t="s">
        <v>1293</v>
      </c>
      <c r="E34" s="1758"/>
      <c r="F34" s="1758"/>
      <c r="G34" s="1758"/>
      <c r="H34" s="1759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>
        <f ca="1">ROUND(F24*F33,0)</f>
        <v>8645</v>
      </c>
      <c r="G35" s="1750" t="s">
        <v>1267</v>
      </c>
      <c r="H35" s="1751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>
        <f ca="1">ROUND(F25*F33,4)</f>
        <v>113.0907</v>
      </c>
      <c r="G36" s="1752" t="s">
        <v>1269</v>
      </c>
      <c r="H36" s="1753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41" sqref="I41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130.81</v>
      </c>
      <c r="E1" s="725" t="s">
        <v>1571</v>
      </c>
      <c r="F1" s="1352"/>
      <c r="G1" s="1531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>
        <f ca="1">C26</f>
        <v>0</v>
      </c>
      <c r="C2" s="686" t="s">
        <v>986</v>
      </c>
      <c r="D2" s="733" t="s">
        <v>989</v>
      </c>
      <c r="E2" s="734" t="str">
        <f>主表!B12</f>
        <v>住宅/居住</v>
      </c>
      <c r="F2" s="733" t="s">
        <v>914</v>
      </c>
      <c r="G2" s="735" t="str">
        <f>主表!B10</f>
        <v>三级</v>
      </c>
      <c r="H2" s="830" t="s">
        <v>915</v>
      </c>
      <c r="I2" s="684" t="str">
        <f>主表!B11</f>
        <v>三级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916</v>
      </c>
      <c r="B3" s="32">
        <f>IF(F1="地上",C29,SUMIF(B33:B39,G1,C33:C39))</f>
        <v>0</v>
      </c>
      <c r="C3" s="686" t="s">
        <v>917</v>
      </c>
      <c r="D3" s="733" t="s">
        <v>256</v>
      </c>
      <c r="E3" s="737"/>
      <c r="F3" s="1500" t="s">
        <v>1229</v>
      </c>
      <c r="G3" s="238">
        <f>IF(F3="容积率",主表!B8,主表!B9)</f>
        <v>130.81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60"/>
      <c r="B4" s="1761"/>
      <c r="C4" s="1761"/>
      <c r="D4" s="1762"/>
      <c r="E4" s="1762"/>
      <c r="F4" s="1762"/>
      <c r="G4" s="1762"/>
      <c r="H4" s="1762"/>
      <c r="I4" s="1762"/>
      <c r="J4" s="1763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2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64" t="str">
        <f>IF(E2="商业",IF(C8="不临58条商业街","",2),"")</f>
        <v/>
      </c>
      <c r="B7" s="845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65"/>
      <c r="B8" s="833" t="s">
        <v>922</v>
      </c>
      <c r="C8" s="963"/>
      <c r="D8" s="374" t="s">
        <v>259</v>
      </c>
      <c r="E8" s="375" t="e">
        <f>ROUND(C11/E7,4)</f>
        <v>#DIV/0!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65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65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65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64">
        <f>IF(E2="住宅/居住",2,"")</f>
        <v>2</v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66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66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67"/>
      <c r="B15" s="873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64">
        <f>IF(E2="办公/综合",2,IF(E2="工业",2,IF(E2="住宅/居住",3,IF(E2="商业",IF(C8="不临58条商业街",2,3)))))</f>
        <v>3</v>
      </c>
      <c r="B16" s="845" t="s">
        <v>928</v>
      </c>
      <c r="C16" s="1513">
        <f>ROUND(SUM(G17:J17)/C17,0)</f>
        <v>0</v>
      </c>
      <c r="D16" s="1515" t="s">
        <v>929</v>
      </c>
      <c r="E16" s="876"/>
      <c r="F16" s="877"/>
      <c r="G16" s="801"/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65"/>
      <c r="B17" s="880" t="s">
        <v>930</v>
      </c>
      <c r="C17" s="1514">
        <f>SUMPRODUCT(('2014修正'!A2:A5=E2)*('2014修正'!B1:M1=G2)*('2014修正'!B2:M5))</f>
        <v>2.5</v>
      </c>
      <c r="D17" s="1516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6.6000000000000003E-2</v>
      </c>
      <c r="N17" s="625">
        <f ca="1">ROUND($E$20*(1+N16),3)</f>
        <v>6.4000000000000001E-2</v>
      </c>
      <c r="O17" s="625">
        <f ca="1">ROUND($E$20*(1+O16),3)</f>
        <v>6.0999999999999999E-2</v>
      </c>
      <c r="P17" s="965">
        <f ca="1">ROUND($E$20*(1+P16),3)</f>
        <v>5.8000000000000003E-2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47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5">
        <f>IF(H19&lt;DATE(2014,8,28),0,ROUND(I19/F19,4))</f>
        <v>0</v>
      </c>
      <c r="D19" s="1508" t="s">
        <v>265</v>
      </c>
      <c r="E19" s="1550">
        <v>41640</v>
      </c>
      <c r="F19" s="1633">
        <f>ROUND(SUMIF(地价!B3:F3,E2,地价!B19:F19),0)</f>
        <v>423</v>
      </c>
      <c r="G19" s="1508" t="s">
        <v>266</v>
      </c>
      <c r="H19" s="1349">
        <f>主表!B4</f>
        <v>37337</v>
      </c>
      <c r="I19" s="1634">
        <f>ROUND(SUMPRODUCT((地价!A4:A19=YEAR(H19)&amp;"-"&amp;ROUNDUP(MONTH(H19)/3,0))*(地价!B3:F3=E2)*(地价!B4:F19)),0)</f>
        <v>0</v>
      </c>
      <c r="J19" s="1635"/>
      <c r="K19" s="784"/>
      <c r="L19" s="799" t="s">
        <v>267</v>
      </c>
      <c r="M19" s="800" t="s">
        <v>268</v>
      </c>
      <c r="N19" s="623" t="s">
        <v>1757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6">
        <f ca="1">ROUND(POWER(1+G20,J20-I20)*(POWER(1+G20,I20)-1)/(POWER(1+G20,J20)-1),4)</f>
        <v>0.99450000000000005</v>
      </c>
      <c r="D20" s="1509" t="s">
        <v>939</v>
      </c>
      <c r="E20" s="1510">
        <f ca="1">INDIRECT("'存贷款利率'!e"&amp;存贷款利率!$K$4)/100</f>
        <v>5.3099999999999994E-2</v>
      </c>
      <c r="F20" s="1507" t="s">
        <v>940</v>
      </c>
      <c r="G20" s="1511">
        <f ca="1">SUMIF(M15:P15,E2,M17:P17)</f>
        <v>6.0999999999999999E-2</v>
      </c>
      <c r="H20" s="1512" t="s">
        <v>1653</v>
      </c>
      <c r="I20" s="1054">
        <f>IF(H20="剩余土地使用年限",主表!B15,主表!B16)</f>
        <v>65</v>
      </c>
      <c r="J20" s="390">
        <f>IF(E2="住宅/居住",70,IF(E2="商业",40,50))</f>
        <v>70</v>
      </c>
      <c r="K20" s="784"/>
      <c r="L20" s="803" t="s">
        <v>281</v>
      </c>
      <c r="M20" s="673"/>
      <c r="N20" s="28">
        <f ca="1">'地价（废）'!G2</f>
        <v>2.24E-2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>
        <f>IF(B21="容积率修正",IF(G3&lt;=10,D22,J22),C23)</f>
        <v>-0.17169999999999999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1.47E-2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1" t="s">
        <v>1496</v>
      </c>
      <c r="D22" s="1501" t="str">
        <f>IF(E22=G22,F22,IF(G3&lt;=10,ROUND(F22+(H22-F22)*(G3-E22)/(G22-E22),4),"——"))</f>
        <v>——</v>
      </c>
      <c r="E22" s="1519">
        <f>ROUNDDOWN(G3,1)</f>
        <v>130.80000000000001</v>
      </c>
      <c r="F22" s="1520" t="str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——</v>
      </c>
      <c r="G22" s="1518">
        <f>ROUNDUP(G3,1)</f>
        <v>130.9</v>
      </c>
      <c r="H22" s="1501" t="str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——</v>
      </c>
      <c r="I22" s="1517" t="s">
        <v>284</v>
      </c>
      <c r="J22" s="392">
        <f>IF(G3&gt;10,D114,"——")</f>
        <v>-0.17169999999999999</v>
      </c>
      <c r="K22" s="784"/>
      <c r="L22" s="803" t="s">
        <v>1317</v>
      </c>
      <c r="M22" s="630"/>
      <c r="N22" s="28">
        <f ca="1">'地价（废）'!I2</f>
        <v>1.47E-2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2.4899999999999999E-2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1.32E-2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>
        <f ca="1">E29+SUM(E33:E39)</f>
        <v>0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>
        <f ca="1">ROUND(C5*C18*C19*C20*C21*C24,0)</f>
        <v>0</v>
      </c>
      <c r="D29" s="624"/>
      <c r="E29" s="400">
        <f ca="1">ROUND(C29*D29,0)</f>
        <v>0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>
        <f ca="1">ROUND(IF(E2="工业",C29*M39,C29*M38),0)</f>
        <v>0</v>
      </c>
      <c r="D30" s="626"/>
      <c r="E30" s="400">
        <f ca="1">ROUND(C30*D30,0)</f>
        <v>0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769" t="s">
        <v>1761</v>
      </c>
      <c r="B33" s="942" t="s">
        <v>285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770"/>
      <c r="B34" s="325" t="s">
        <v>286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770"/>
      <c r="B35" s="325" t="s">
        <v>287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771"/>
      <c r="B36" s="325" t="s">
        <v>288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>
        <f ca="1">ROUND(C5*C19*C20*C24*F37,0)</f>
        <v>0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>
        <f ca="1">ROUND(C5*C19*C20*C24*F38,0)</f>
        <v>0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>
        <f ca="1">ROUND(C5*C19*C20*C24*F39,0)</f>
        <v>0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8" t="s">
        <v>1758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9" t="s">
        <v>1759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8" t="s">
        <v>1758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9" t="s">
        <v>1759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>
        <f>IF(E2="住宅/居住",SUMIF(L1:L12,G2,N1:N12),"——")</f>
        <v>0</v>
      </c>
      <c r="G70" s="494"/>
      <c r="H70" s="497">
        <f t="shared" ref="H70:H78" si="15">IFERROR($F$70*I70/2,"——")</f>
        <v>0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>
        <f t="shared" si="15"/>
        <v>0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>
        <f t="shared" si="15"/>
        <v>0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>
        <f t="shared" si="15"/>
        <v>0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>
        <f t="shared" si="15"/>
        <v>0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>
        <f t="shared" si="15"/>
        <v>0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9" t="s">
        <v>1759</v>
      </c>
      <c r="C76" s="814"/>
      <c r="D76" s="493">
        <f t="shared" si="14"/>
        <v>0</v>
      </c>
      <c r="E76" s="263"/>
      <c r="F76" s="968"/>
      <c r="G76" s="494"/>
      <c r="H76" s="497">
        <f t="shared" si="15"/>
        <v>0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>
        <f t="shared" si="15"/>
        <v>0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8"/>
      <c r="G78" s="494"/>
      <c r="H78" s="497">
        <f t="shared" si="15"/>
        <v>0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9" t="s">
        <v>1759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68" t="s">
        <v>1167</v>
      </c>
      <c r="B91" s="1768"/>
      <c r="C91" s="1768"/>
      <c r="D91" s="1768"/>
      <c r="E91" s="1768"/>
      <c r="F91" s="1768"/>
      <c r="G91" s="1768"/>
      <c r="H91" s="1768"/>
      <c r="I91" s="1768"/>
      <c r="J91" s="1768"/>
      <c r="K91" s="672"/>
      <c r="L91" s="672"/>
      <c r="M91" s="672"/>
      <c r="N91" s="672"/>
    </row>
    <row r="92" spans="1:37">
      <c r="A92" s="1773" t="s">
        <v>1168</v>
      </c>
      <c r="B92" s="1773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73"/>
      <c r="B93" s="1773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774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775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775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775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775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775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775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776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74" t="s">
        <v>1495</v>
      </c>
      <c r="B102" s="973" t="s">
        <v>1498</v>
      </c>
      <c r="C102" s="974">
        <f>$G$3</f>
        <v>130.81</v>
      </c>
      <c r="D102" s="974">
        <f t="shared" ref="D102:N102" si="25">$G$3</f>
        <v>130.81</v>
      </c>
      <c r="E102" s="974">
        <f t="shared" si="25"/>
        <v>130.81</v>
      </c>
      <c r="F102" s="974">
        <f t="shared" si="25"/>
        <v>130.81</v>
      </c>
      <c r="G102" s="974">
        <f t="shared" si="25"/>
        <v>130.81</v>
      </c>
      <c r="H102" s="974">
        <f t="shared" si="25"/>
        <v>130.81</v>
      </c>
      <c r="I102" s="974">
        <f t="shared" si="25"/>
        <v>130.81</v>
      </c>
      <c r="J102" s="974">
        <f t="shared" si="25"/>
        <v>130.81</v>
      </c>
      <c r="K102" s="974">
        <f t="shared" si="25"/>
        <v>130.81</v>
      </c>
      <c r="L102" s="974">
        <f t="shared" si="25"/>
        <v>130.81</v>
      </c>
      <c r="M102" s="974">
        <f t="shared" si="25"/>
        <v>130.81</v>
      </c>
      <c r="N102" s="974">
        <f t="shared" si="25"/>
        <v>130.81</v>
      </c>
    </row>
    <row r="103" spans="1:14" ht="12.75">
      <c r="A103" s="1775"/>
      <c r="B103" s="969">
        <v>1</v>
      </c>
      <c r="C103" s="970">
        <f>1.9362/C102</f>
        <v>1.4801620671202506E-2</v>
      </c>
      <c r="D103" s="970">
        <f>1.9362/D102</f>
        <v>1.4801620671202506E-2</v>
      </c>
      <c r="E103" s="970">
        <f>1.8629/E102</f>
        <v>1.4241265958260071E-2</v>
      </c>
      <c r="F103" s="970">
        <f>1.8629/F102</f>
        <v>1.4241265958260071E-2</v>
      </c>
      <c r="G103" s="970">
        <f>1.8629/G102</f>
        <v>1.4241265958260071E-2</v>
      </c>
      <c r="H103" s="970">
        <f>1.8629/H102</f>
        <v>1.4241265958260071E-2</v>
      </c>
      <c r="I103" s="970">
        <f>1.8629/I102</f>
        <v>1.4241265958260071E-2</v>
      </c>
      <c r="J103" s="970">
        <f>1.942/J102</f>
        <v>1.4845959789006956E-2</v>
      </c>
      <c r="K103" s="970">
        <f>1.942/K102</f>
        <v>1.4845959789006956E-2</v>
      </c>
      <c r="L103" s="970">
        <f>1.942/L102</f>
        <v>1.4845959789006956E-2</v>
      </c>
      <c r="M103" s="970">
        <f>1.942/M102</f>
        <v>1.4845959789006956E-2</v>
      </c>
      <c r="N103" s="970">
        <f>1.942/N102</f>
        <v>1.4845959789006956E-2</v>
      </c>
    </row>
    <row r="104" spans="1:14" ht="12.75">
      <c r="A104" s="1775"/>
      <c r="B104" s="969">
        <v>2</v>
      </c>
      <c r="C104" s="970">
        <f>1.4198/C102</f>
        <v>1.0853910251509823E-2</v>
      </c>
      <c r="D104" s="970">
        <f>1.4198/D102</f>
        <v>1.0853910251509823E-2</v>
      </c>
      <c r="E104" s="970">
        <f>1.3372/E102</f>
        <v>1.0222460056570598E-2</v>
      </c>
      <c r="F104" s="970">
        <f>1.3372/F102</f>
        <v>1.0222460056570598E-2</v>
      </c>
      <c r="G104" s="970">
        <f>1.3372/G102</f>
        <v>1.0222460056570598E-2</v>
      </c>
      <c r="H104" s="970">
        <f>1.3372/H102</f>
        <v>1.0222460056570598E-2</v>
      </c>
      <c r="I104" s="970">
        <f>1.3372/I102</f>
        <v>1.0222460056570598E-2</v>
      </c>
      <c r="J104" s="970">
        <f>1.2799/J102</f>
        <v>9.7844201513645739E-3</v>
      </c>
      <c r="K104" s="970">
        <f>1.2799/K102</f>
        <v>9.7844201513645739E-3</v>
      </c>
      <c r="L104" s="970">
        <f>1.2799/L102</f>
        <v>9.7844201513645739E-3</v>
      </c>
      <c r="M104" s="970">
        <f>1.2799/M102</f>
        <v>9.7844201513645739E-3</v>
      </c>
      <c r="N104" s="970">
        <f>1.2799/N102</f>
        <v>9.7844201513645739E-3</v>
      </c>
    </row>
    <row r="105" spans="1:14" ht="12.75">
      <c r="A105" s="1775"/>
      <c r="B105" s="969">
        <v>3</v>
      </c>
      <c r="C105" s="970">
        <f>1.1594/C102</f>
        <v>8.8632367555997252E-3</v>
      </c>
      <c r="D105" s="970">
        <f>1.1594/D102</f>
        <v>8.8632367555997252E-3</v>
      </c>
      <c r="E105" s="970">
        <f>1.0788/E102</f>
        <v>8.2470759116275508E-3</v>
      </c>
      <c r="F105" s="970">
        <f>1.0788/F102</f>
        <v>8.2470759116275508E-3</v>
      </c>
      <c r="G105" s="970">
        <f>1.0788/G102</f>
        <v>8.2470759116275508E-3</v>
      </c>
      <c r="H105" s="970">
        <f>1.0788/H102</f>
        <v>8.2470759116275508E-3</v>
      </c>
      <c r="I105" s="970">
        <f>1.0788/I102</f>
        <v>8.2470759116275508E-3</v>
      </c>
      <c r="J105" s="970">
        <f>1.0072/J102</f>
        <v>7.6997171470071105E-3</v>
      </c>
      <c r="K105" s="970">
        <f>1.0072/K102</f>
        <v>7.6997171470071105E-3</v>
      </c>
      <c r="L105" s="970">
        <f>1.0072/L102</f>
        <v>7.6997171470071105E-3</v>
      </c>
      <c r="M105" s="970">
        <f>1.0072/M102</f>
        <v>7.6997171470071105E-3</v>
      </c>
      <c r="N105" s="970">
        <f>1.0072/N102</f>
        <v>7.6997171470071105E-3</v>
      </c>
    </row>
    <row r="106" spans="1:14" ht="12.75">
      <c r="A106" s="1775"/>
      <c r="B106" s="969">
        <v>4</v>
      </c>
      <c r="C106" s="970">
        <f>0.9622/C102</f>
        <v>7.355706750248452E-3</v>
      </c>
      <c r="D106" s="970">
        <f>0.9622/D102</f>
        <v>7.355706750248452E-3</v>
      </c>
      <c r="E106" s="970">
        <f>0.8656/E102</f>
        <v>6.6172310985398676E-3</v>
      </c>
      <c r="F106" s="970">
        <f>0.8656/F102</f>
        <v>6.6172310985398676E-3</v>
      </c>
      <c r="G106" s="970">
        <f>0.8656/G102</f>
        <v>6.6172310985398676E-3</v>
      </c>
      <c r="H106" s="970">
        <f>0.8656/H102</f>
        <v>6.6172310985398676E-3</v>
      </c>
      <c r="I106" s="970">
        <f>0.8656/I102</f>
        <v>6.6172310985398676E-3</v>
      </c>
      <c r="J106" s="970">
        <f>0.7525/J102</f>
        <v>5.7526183013531067E-3</v>
      </c>
      <c r="K106" s="970">
        <f>0.7525/K102</f>
        <v>5.7526183013531067E-3</v>
      </c>
      <c r="L106" s="970">
        <f>0.7525/L102</f>
        <v>5.7526183013531067E-3</v>
      </c>
      <c r="M106" s="970">
        <f>0.7525/M102</f>
        <v>5.7526183013531067E-3</v>
      </c>
      <c r="N106" s="970">
        <f>0.7525/N102</f>
        <v>5.7526183013531067E-3</v>
      </c>
    </row>
    <row r="107" spans="1:14" ht="12.75">
      <c r="A107" s="1775"/>
      <c r="B107" s="969">
        <v>5</v>
      </c>
      <c r="C107" s="970">
        <f>0.8417/C102</f>
        <v>6.4345233544836023E-3</v>
      </c>
      <c r="D107" s="970">
        <f>0.8417/D102</f>
        <v>6.4345233544836023E-3</v>
      </c>
      <c r="E107" s="970">
        <f>0.7371/E102</f>
        <v>5.6348902989068108E-3</v>
      </c>
      <c r="F107" s="970">
        <f>0.7371/F102</f>
        <v>5.6348902989068108E-3</v>
      </c>
      <c r="G107" s="970">
        <f>0.7371/G102</f>
        <v>5.6348902989068108E-3</v>
      </c>
      <c r="H107" s="970">
        <f>0.7371/H102</f>
        <v>5.6348902989068108E-3</v>
      </c>
      <c r="I107" s="970">
        <f>0.7371/I102</f>
        <v>5.6348902989068108E-3</v>
      </c>
      <c r="J107" s="970">
        <f>0.5659/J102</f>
        <v>4.3261218561272069E-3</v>
      </c>
      <c r="K107" s="970">
        <f>0.5659/K102</f>
        <v>4.3261218561272069E-3</v>
      </c>
      <c r="L107" s="970">
        <f>0.5659/L102</f>
        <v>4.3261218561272069E-3</v>
      </c>
      <c r="M107" s="970">
        <f>0.5659/M102</f>
        <v>4.3261218561272069E-3</v>
      </c>
      <c r="N107" s="970">
        <f>0.5659/N102</f>
        <v>4.3261218561272069E-3</v>
      </c>
    </row>
    <row r="108" spans="1:14" ht="12.75">
      <c r="A108" s="1775"/>
      <c r="B108" s="969">
        <v>6</v>
      </c>
      <c r="C108" s="970">
        <f>0.7608/C102</f>
        <v>5.8160691078663713E-3</v>
      </c>
      <c r="D108" s="970">
        <f>0.7608/D102</f>
        <v>5.8160691078663713E-3</v>
      </c>
      <c r="E108" s="970">
        <f>0.6482/E102</f>
        <v>4.9552786484213743E-3</v>
      </c>
      <c r="F108" s="970">
        <f>0.6482/F102</f>
        <v>4.9552786484213743E-3</v>
      </c>
      <c r="G108" s="970">
        <f>0.6482/G102</f>
        <v>4.9552786484213743E-3</v>
      </c>
      <c r="H108" s="970">
        <f>0.6482/H102</f>
        <v>4.9552786484213743E-3</v>
      </c>
      <c r="I108" s="970">
        <f>0.6482/I102</f>
        <v>4.9552786484213743E-3</v>
      </c>
      <c r="J108" s="970">
        <f>0.4525/J102</f>
        <v>3.4592156562953903E-3</v>
      </c>
      <c r="K108" s="970">
        <f>0.4525/K102</f>
        <v>3.4592156562953903E-3</v>
      </c>
      <c r="L108" s="970">
        <f>0.4525/L102</f>
        <v>3.4592156562953903E-3</v>
      </c>
      <c r="M108" s="970">
        <f>0.4525/M102</f>
        <v>3.4592156562953903E-3</v>
      </c>
      <c r="N108" s="970">
        <f>0.4525/N102</f>
        <v>3.4592156562953903E-3</v>
      </c>
    </row>
    <row r="109" spans="1:14" ht="12.75">
      <c r="A109" s="1775"/>
      <c r="B109" s="1777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776"/>
      <c r="B110" s="1778"/>
      <c r="C110" s="972">
        <f>(-0.163*(C109^2)-0.59*C109+7617)*(10^(-4))/C102</f>
        <v>5.8223736717376347E-3</v>
      </c>
      <c r="D110" s="972">
        <f>(-0.163*(D109^2)-0.59*D109+7617)*(10^(-4))/D102</f>
        <v>5.8223736717376347E-3</v>
      </c>
      <c r="E110" s="972">
        <f>(-0.161*(E109^2)-7.509*E109+6533)*(10^(-4))/E102</f>
        <v>4.9884030272914917E-3</v>
      </c>
      <c r="F110" s="972">
        <f>(-0.161*(F109^2)-7.509*F109+6533)*(10^(-4))/F102</f>
        <v>4.9884030272914917E-3</v>
      </c>
      <c r="G110" s="972">
        <f>(-0.161*(G109^2)-7.509*G109+6533)*(10^(-4))/G102</f>
        <v>4.9884030272914917E-3</v>
      </c>
      <c r="H110" s="972">
        <f>(-0.161*(H109^2)-7.509*H109+6533)*(10^(-4))/H102</f>
        <v>4.9884030272914917E-3</v>
      </c>
      <c r="I110" s="972">
        <f>(-0.161*(I109^2)-7.509*I109+6533)*(10^(-4))/I102</f>
        <v>4.9884030272914917E-3</v>
      </c>
      <c r="J110" s="972">
        <f>(-0.214*(J109^2)-21.991*J109+4665)*(10^(-4))/J102</f>
        <v>3.5492661111535817E-3</v>
      </c>
      <c r="K110" s="972">
        <f>(-0.214*(K109^2)-21.991*K109+4665)*(10^(-4))/K102</f>
        <v>3.5492661111535817E-3</v>
      </c>
      <c r="L110" s="972">
        <f>(-0.214*(L109^2)-21.991*L109+4665)*(10^(-4))/L102</f>
        <v>3.5492661111535817E-3</v>
      </c>
      <c r="M110" s="972">
        <f>(-0.214*(M109^2)-21.991*M109+4665)*(10^(-4))/M102</f>
        <v>3.5492661111535817E-3</v>
      </c>
      <c r="N110" s="972">
        <f>(-0.214*(N109^2)-21.991*N109+4665)*(10^(-4))/N102</f>
        <v>3.5492661111535817E-3</v>
      </c>
    </row>
    <row r="111" spans="1:14">
      <c r="A111" s="1772" t="s">
        <v>1183</v>
      </c>
      <c r="B111" s="1772"/>
      <c r="C111" s="1772"/>
      <c r="D111" s="1772"/>
      <c r="E111" s="1772"/>
      <c r="F111" s="1772"/>
      <c r="G111" s="1772"/>
      <c r="H111" s="1772"/>
      <c r="I111" s="1772"/>
      <c r="J111" s="1772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>
        <f>G3</f>
        <v>130.81</v>
      </c>
      <c r="C114" s="955" t="s">
        <v>1482</v>
      </c>
      <c r="D114" s="351">
        <f>SUMPRODUCT((A116:A119=F114)*(B115:M115=H114)*B116:M119)</f>
        <v>-0.17169999999999999</v>
      </c>
      <c r="E114" s="735" t="s">
        <v>1168</v>
      </c>
      <c r="F114" s="956" t="str">
        <f>E2</f>
        <v>住宅/居住</v>
      </c>
      <c r="G114" s="735" t="s">
        <v>1185</v>
      </c>
      <c r="H114" s="956" t="str">
        <f>G2</f>
        <v>三级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>
        <f>ROUND(0.9335-0.0094*B114,4)</f>
        <v>-0.29609999999999997</v>
      </c>
      <c r="C116" s="355">
        <f>B116</f>
        <v>-0.29609999999999997</v>
      </c>
      <c r="D116" s="355">
        <f>ROUND(0.8331-0.0109*B114,4)</f>
        <v>-0.5927</v>
      </c>
      <c r="E116" s="355">
        <f>D116</f>
        <v>-0.5927</v>
      </c>
      <c r="F116" s="355">
        <f>E116</f>
        <v>-0.5927</v>
      </c>
      <c r="G116" s="355">
        <f>F116</f>
        <v>-0.5927</v>
      </c>
      <c r="H116" s="355">
        <f>G116</f>
        <v>-0.5927</v>
      </c>
      <c r="I116" s="355">
        <f>ROUND(0.689-0.0155*B114,4)</f>
        <v>-1.3386</v>
      </c>
      <c r="J116" s="355">
        <f t="shared" ref="J116:M119" si="27">I116</f>
        <v>-1.3386</v>
      </c>
      <c r="K116" s="355">
        <f t="shared" si="27"/>
        <v>-1.3386</v>
      </c>
      <c r="L116" s="355">
        <f t="shared" si="27"/>
        <v>-1.3386</v>
      </c>
      <c r="M116" s="356">
        <f t="shared" si="27"/>
        <v>-1.3386</v>
      </c>
    </row>
    <row r="117" spans="1:13" ht="12.75">
      <c r="A117" s="817" t="s">
        <v>1317</v>
      </c>
      <c r="B117" s="355">
        <f>ROUND(0.949-0.012*B114,4)</f>
        <v>-0.62070000000000003</v>
      </c>
      <c r="C117" s="355">
        <f>B117</f>
        <v>-0.62070000000000003</v>
      </c>
      <c r="D117" s="355">
        <f>ROUND(0.8567-0.013*B114,4)</f>
        <v>-0.84379999999999999</v>
      </c>
      <c r="E117" s="355">
        <f t="shared" ref="E117:H118" si="28">D117</f>
        <v>-0.84379999999999999</v>
      </c>
      <c r="F117" s="355">
        <f t="shared" si="28"/>
        <v>-0.84379999999999999</v>
      </c>
      <c r="G117" s="355">
        <f t="shared" si="28"/>
        <v>-0.84379999999999999</v>
      </c>
      <c r="H117" s="355">
        <f t="shared" si="28"/>
        <v>-0.84379999999999999</v>
      </c>
      <c r="I117" s="355">
        <f>ROUND(0.7694-0.014*B114,4)</f>
        <v>-1.0619000000000001</v>
      </c>
      <c r="J117" s="355">
        <f t="shared" si="27"/>
        <v>-1.0619000000000001</v>
      </c>
      <c r="K117" s="355">
        <f t="shared" si="27"/>
        <v>-1.0619000000000001</v>
      </c>
      <c r="L117" s="355">
        <f t="shared" si="27"/>
        <v>-1.0619000000000001</v>
      </c>
      <c r="M117" s="356">
        <f t="shared" si="27"/>
        <v>-1.0619000000000001</v>
      </c>
    </row>
    <row r="118" spans="1:13" ht="12.75">
      <c r="A118" s="817" t="s">
        <v>1318</v>
      </c>
      <c r="B118" s="355">
        <f>ROUND(0.8808-0.006*B114,4)</f>
        <v>9.5899999999999999E-2</v>
      </c>
      <c r="C118" s="355">
        <f>B118</f>
        <v>9.5899999999999999E-2</v>
      </c>
      <c r="D118" s="355">
        <f>ROUND(0.8748-0.008*B114,4)</f>
        <v>-0.17169999999999999</v>
      </c>
      <c r="E118" s="355">
        <f t="shared" si="28"/>
        <v>-0.17169999999999999</v>
      </c>
      <c r="F118" s="355">
        <f t="shared" si="28"/>
        <v>-0.17169999999999999</v>
      </c>
      <c r="G118" s="355">
        <f t="shared" si="28"/>
        <v>-0.17169999999999999</v>
      </c>
      <c r="H118" s="355">
        <f t="shared" si="28"/>
        <v>-0.17169999999999999</v>
      </c>
      <c r="I118" s="355">
        <f>ROUND(0.7412-0.0095*B114,4)</f>
        <v>-0.50149999999999995</v>
      </c>
      <c r="J118" s="355">
        <f t="shared" si="27"/>
        <v>-0.50149999999999995</v>
      </c>
      <c r="K118" s="355">
        <f t="shared" si="27"/>
        <v>-0.50149999999999995</v>
      </c>
      <c r="L118" s="355">
        <f t="shared" si="27"/>
        <v>-0.50149999999999995</v>
      </c>
      <c r="M118" s="356">
        <f t="shared" si="27"/>
        <v>-0.50149999999999995</v>
      </c>
    </row>
    <row r="119" spans="1:13" ht="13.5" thickBot="1">
      <c r="A119" s="818" t="s">
        <v>229</v>
      </c>
      <c r="B119" s="357">
        <f>ROUND(0.7275-0.01*B114,4)</f>
        <v>-0.5806</v>
      </c>
      <c r="C119" s="357">
        <f>B119</f>
        <v>-0.5806</v>
      </c>
      <c r="D119" s="357">
        <f>ROUND(0.7043-0.012*B114,4)</f>
        <v>-0.86539999999999995</v>
      </c>
      <c r="E119" s="357">
        <f>D119</f>
        <v>-0.86539999999999995</v>
      </c>
      <c r="F119" s="357">
        <f>E119</f>
        <v>-0.86539999999999995</v>
      </c>
      <c r="G119" s="357">
        <f>ROUND(0.6299-0.0122*B114,4)</f>
        <v>-0.96599999999999997</v>
      </c>
      <c r="H119" s="357">
        <f>G119</f>
        <v>-0.96599999999999997</v>
      </c>
      <c r="I119" s="357">
        <f>ROUND(0.5667-0.0136*B114,4)</f>
        <v>-1.2122999999999999</v>
      </c>
      <c r="J119" s="357">
        <f t="shared" si="27"/>
        <v>-1.2122999999999999</v>
      </c>
      <c r="K119" s="357">
        <f t="shared" si="27"/>
        <v>-1.2122999999999999</v>
      </c>
      <c r="L119" s="357">
        <f t="shared" si="27"/>
        <v>-1.2122999999999999</v>
      </c>
      <c r="M119" s="358">
        <f t="shared" si="27"/>
        <v>-1.2122999999999999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79" t="s">
        <v>990</v>
      </c>
      <c r="B1" s="1779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79" t="s">
        <v>292</v>
      </c>
      <c r="B1" s="1779"/>
      <c r="C1" s="1779"/>
      <c r="D1" s="1779"/>
      <c r="E1" s="1779"/>
      <c r="F1" s="1779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80" t="s">
        <v>305</v>
      </c>
      <c r="B2" s="1780"/>
      <c r="C2" s="1780"/>
      <c r="D2" s="1780"/>
      <c r="E2" s="1780"/>
      <c r="F2" s="1780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81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782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2018-02-01T09:35:15Z</dcterms:modified>
</cp:coreProperties>
</file>