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B14" i="74" l="1"/>
  <c r="T21" i="1" l="1"/>
  <c r="V20" i="1"/>
  <c r="V19" i="1"/>
  <c r="V21" i="1" s="1"/>
  <c r="U21" i="1" s="1"/>
  <c r="T20" i="1"/>
  <c r="T19" i="1"/>
  <c r="H75" i="9" l="1"/>
  <c r="C75" i="9"/>
  <c r="C66" i="9"/>
  <c r="J49" i="15" l="1"/>
  <c r="D33" i="43"/>
  <c r="C23" i="43"/>
  <c r="AB28" i="79"/>
  <c r="AA28" i="79"/>
  <c r="Z28" i="79"/>
  <c r="U28" i="79"/>
  <c r="T28" i="79"/>
  <c r="W28" i="79" s="1"/>
  <c r="N28" i="79"/>
  <c r="M28" i="79"/>
  <c r="P28" i="79" s="1"/>
  <c r="L28" i="79"/>
  <c r="S28" i="79" s="1"/>
  <c r="I28" i="79"/>
  <c r="AD28" i="79" s="1"/>
  <c r="AD5" i="79"/>
  <c r="AC5" i="79"/>
  <c r="AB5" i="79"/>
  <c r="AA5" i="79"/>
  <c r="Z5" i="79"/>
  <c r="Y5" i="79"/>
  <c r="P5" i="79"/>
  <c r="O5" i="79"/>
  <c r="N5" i="79"/>
  <c r="M5" i="79"/>
  <c r="L5" i="79"/>
  <c r="K5" i="79"/>
  <c r="I5" i="79"/>
  <c r="G62" i="43" l="1"/>
  <c r="G63" i="43"/>
  <c r="G64" i="43"/>
  <c r="G65" i="43"/>
  <c r="G66" i="43"/>
  <c r="G67" i="43"/>
  <c r="G68" i="43"/>
  <c r="G69" i="43"/>
  <c r="G61" i="43"/>
  <c r="Y6" i="1"/>
  <c r="N6" i="1"/>
  <c r="N18" i="1"/>
  <c r="F19" i="6"/>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V16" i="79" s="1"/>
  <c r="N16" i="79"/>
  <c r="U16" i="79" s="1"/>
  <c r="M16" i="79"/>
  <c r="L16" i="79"/>
  <c r="S16" i="79" s="1"/>
  <c r="K16" i="79"/>
  <c r="R16" i="79" s="1"/>
  <c r="I16" i="79"/>
  <c r="AD15" i="79"/>
  <c r="AC15" i="79"/>
  <c r="AB15" i="79"/>
  <c r="AA15" i="79"/>
  <c r="Z15" i="79"/>
  <c r="Y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N12" i="79"/>
  <c r="U3" i="79" s="1"/>
  <c r="M12" i="79"/>
  <c r="L12" i="79"/>
  <c r="K12" i="79"/>
  <c r="I12" i="79"/>
  <c r="AC6" i="79"/>
  <c r="AC3" i="79" s="1"/>
  <c r="AB6" i="79"/>
  <c r="AB3" i="79" s="1"/>
  <c r="AA6" i="79"/>
  <c r="AD6" i="79" s="1"/>
  <c r="Z6" i="79"/>
  <c r="Z3" i="79" s="1"/>
  <c r="Y6" i="79"/>
  <c r="Y3" i="79" s="1"/>
  <c r="O6" i="79"/>
  <c r="N6" i="79"/>
  <c r="U5" i="79" s="1"/>
  <c r="M6" i="79"/>
  <c r="L6" i="79"/>
  <c r="S5" i="79" s="1"/>
  <c r="K6" i="79"/>
  <c r="I6"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R5" i="79"/>
  <c r="O3" i="79"/>
  <c r="V5" i="79"/>
  <c r="P6" i="79"/>
  <c r="T5" i="79"/>
  <c r="W5" i="79" s="1"/>
  <c r="S29" i="79"/>
  <c r="M3" i="79"/>
  <c r="P3" i="79" s="1"/>
  <c r="T3" i="79"/>
  <c r="W3" i="79" s="1"/>
  <c r="U29" i="79"/>
  <c r="AD35" i="79"/>
  <c r="T34" i="79"/>
  <c r="W34" i="79" s="1"/>
  <c r="T32" i="79"/>
  <c r="T35" i="79"/>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W35"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M8" i="15"/>
  <c r="L47" i="15"/>
  <c r="F36" i="15"/>
  <c r="L47" i="67"/>
  <c r="M6" i="15"/>
  <c r="F42" i="15"/>
  <c r="M29" i="67"/>
  <c r="AO13" i="1"/>
  <c r="F7" i="15"/>
  <c r="M29" i="15"/>
  <c r="F36" i="67"/>
  <c r="F38" i="15"/>
  <c r="C76" i="67"/>
  <c r="F16" i="15"/>
  <c r="B7" i="76"/>
  <c r="E2" i="69"/>
  <c r="F43" i="67"/>
  <c r="F40" i="67"/>
  <c r="D7" i="73"/>
  <c r="F8" i="15"/>
  <c r="F13" i="15"/>
  <c r="E2" i="68"/>
  <c r="F20" i="31"/>
  <c r="F42" i="67"/>
  <c r="F38" i="67"/>
  <c r="M9" i="67"/>
  <c r="D4" i="73"/>
  <c r="B10" i="76"/>
  <c r="L48" i="15"/>
  <c r="F37" i="67"/>
  <c r="M28" i="67"/>
  <c r="M24" i="15"/>
  <c r="D3" i="73"/>
  <c r="M23" i="15"/>
  <c r="F40" i="15"/>
  <c r="M9" i="15"/>
  <c r="M8" i="67"/>
  <c r="F13" i="67"/>
  <c r="B12" i="76"/>
  <c r="F26" i="15"/>
  <c r="B11" i="76"/>
  <c r="M26" i="15"/>
  <c r="F3" i="73"/>
  <c r="F4" i="73"/>
  <c r="C76" i="15"/>
  <c r="M26" i="67"/>
  <c r="D6" i="73"/>
  <c r="F5" i="73"/>
  <c r="F6" i="67"/>
  <c r="F26" i="67"/>
  <c r="F9" i="15"/>
  <c r="B8" i="76"/>
  <c r="E11" i="76"/>
  <c r="E9" i="76"/>
  <c r="F6" i="15"/>
  <c r="F16" i="67"/>
  <c r="J15" i="67"/>
  <c r="F7" i="67"/>
  <c r="F43" i="15"/>
  <c r="L48" i="67"/>
  <c r="J15" i="15"/>
  <c r="E12" i="76"/>
  <c r="F9" i="67"/>
  <c r="F8" i="67"/>
  <c r="M6" i="67"/>
  <c r="F7" i="73"/>
  <c r="F37" i="15"/>
  <c r="B13" i="76"/>
  <c r="E7" i="76"/>
  <c r="D5" i="73"/>
  <c r="M28" i="15"/>
  <c r="F6" i="73"/>
  <c r="M23" i="67"/>
  <c r="M24" i="67"/>
  <c r="M22" i="15"/>
  <c r="E8" i="76"/>
  <c r="B9" i="76"/>
  <c r="M22" i="67"/>
  <c r="E10" i="76"/>
  <c r="H67" i="43" l="1"/>
  <c r="B41" i="1"/>
  <c r="D93" i="9"/>
  <c r="C40" i="69"/>
  <c r="C21" i="68"/>
  <c r="D23" i="15"/>
  <c r="AZ15" i="3"/>
  <c r="G5" i="3"/>
  <c r="B3" i="3" s="1"/>
  <c r="E77" i="3" s="1"/>
  <c r="BL5"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453" i="3"/>
  <c r="E238" i="3"/>
  <c r="E85" i="3"/>
  <c r="E434" i="3"/>
  <c r="E314" i="3"/>
  <c r="E128" i="3"/>
  <c r="E511" i="3"/>
  <c r="E262" i="3"/>
  <c r="E99" i="3"/>
  <c r="E120" i="3"/>
  <c r="E45" i="3"/>
  <c r="E177" i="3"/>
  <c r="E193" i="3"/>
  <c r="E330" i="3"/>
  <c r="E519" i="3"/>
  <c r="Q6" i="3"/>
  <c r="E573" i="3"/>
  <c r="E437" i="3"/>
  <c r="E458" i="3"/>
  <c r="E481" i="3"/>
  <c r="E527" i="3"/>
  <c r="E424" i="3"/>
  <c r="E457" i="3"/>
  <c r="E344" i="3"/>
  <c r="E562" i="3"/>
  <c r="AE6" i="3"/>
  <c r="E571" i="3"/>
  <c r="E429" i="3"/>
  <c r="E450" i="3"/>
  <c r="E496" i="3"/>
  <c r="E43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C24" i="43"/>
  <c r="F26" i="43"/>
  <c r="J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26" i="43" l="1"/>
  <c r="F48" i="9"/>
  <c r="O52" i="9" s="1"/>
  <c r="F30" i="11"/>
  <c r="M18" i="67"/>
  <c r="J18" i="67" s="1"/>
  <c r="M18" i="15"/>
  <c r="J18" i="15" s="1"/>
  <c r="F28" i="67"/>
  <c r="C28" i="67" s="1"/>
  <c r="F32" i="67"/>
  <c r="F60" i="67" s="1"/>
  <c r="F28" i="15"/>
  <c r="C28" i="15" s="1"/>
  <c r="F31" i="12"/>
  <c r="C31" i="12" s="1"/>
  <c r="F30" i="69"/>
  <c r="D68" i="9"/>
  <c r="F30" i="68"/>
  <c r="F52" i="9"/>
  <c r="F32" i="15"/>
  <c r="F60" i="15" s="1"/>
  <c r="F54" i="9"/>
  <c r="E475" i="3"/>
  <c r="E471" i="3"/>
  <c r="E537" i="3"/>
  <c r="W6" i="3"/>
  <c r="E288" i="3"/>
  <c r="E438" i="3"/>
  <c r="E474" i="3"/>
  <c r="E529" i="3"/>
  <c r="E532" i="3"/>
  <c r="E313" i="3"/>
  <c r="E224" i="3"/>
  <c r="E157" i="3"/>
  <c r="E306" i="3"/>
  <c r="E352" i="3"/>
  <c r="E136" i="3"/>
  <c r="E461" i="3"/>
  <c r="E122" i="3"/>
  <c r="E454" i="3"/>
  <c r="E468" i="3"/>
  <c r="E577" i="3"/>
  <c r="E587" i="3"/>
  <c r="E465" i="3"/>
  <c r="E406" i="3"/>
  <c r="E472" i="3"/>
  <c r="E560" i="3"/>
  <c r="K6" i="3"/>
  <c r="E133" i="3"/>
  <c r="E277" i="3"/>
  <c r="E228" i="3"/>
  <c r="AK6" i="3"/>
  <c r="E545" i="3"/>
  <c r="E181" i="3"/>
  <c r="E568" i="3"/>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152" i="3"/>
  <c r="E132" i="3"/>
  <c r="E192" i="3"/>
  <c r="E258" i="3"/>
  <c r="E241" i="3"/>
  <c r="E349" i="3"/>
  <c r="E59" i="3"/>
  <c r="E46" i="3"/>
  <c r="E249" i="3"/>
  <c r="E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09" i="3"/>
  <c r="E142" i="3"/>
  <c r="E310" i="3"/>
  <c r="E67" i="3"/>
  <c r="E184"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0" i="3"/>
  <c r="E218" i="3"/>
  <c r="E365" i="3"/>
  <c r="E101" i="3"/>
  <c r="E56" i="3"/>
  <c r="E363" i="3"/>
  <c r="E544" i="3"/>
  <c r="E484" i="3"/>
  <c r="E467" i="3"/>
  <c r="E103" i="3"/>
  <c r="E200" i="3"/>
  <c r="E300" i="3"/>
  <c r="E23"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65" i="3"/>
  <c r="E524" i="3"/>
  <c r="E95" i="3"/>
  <c r="E292" i="3"/>
  <c r="E389" i="3"/>
  <c r="E76" i="3"/>
  <c r="E425" i="3"/>
  <c r="E64" i="3"/>
  <c r="E160" i="3"/>
  <c r="E267" i="3"/>
  <c r="E371" i="3"/>
  <c r="E492" i="3"/>
  <c r="E33" i="3"/>
  <c r="E355" i="3"/>
  <c r="E81" i="3"/>
  <c r="E513" i="3"/>
  <c r="E381" i="3"/>
  <c r="E144" i="3"/>
  <c r="E68" i="3"/>
  <c r="E264" i="3"/>
  <c r="E21" i="3"/>
  <c r="E233" i="3"/>
  <c r="E63" i="3"/>
  <c r="E283" i="3"/>
  <c r="E309" i="3"/>
  <c r="E118" i="3"/>
  <c r="E156" i="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C48" i="11" l="1"/>
  <c r="C30" i="11"/>
  <c r="F48" i="68"/>
  <c r="C48" i="68"/>
  <c r="C30" i="68"/>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D19" i="9"/>
  <c r="AO12" i="1"/>
  <c r="AO11" i="1"/>
  <c r="AO6" i="1"/>
  <c r="AO8" i="1"/>
  <c r="AO7" i="1"/>
  <c r="AO9"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G14" i="74" s="1"/>
  <c r="B6" i="74" s="1"/>
  <c r="D6" i="74" s="1"/>
  <c r="G118" i="9"/>
  <c r="G4" i="52" s="1"/>
  <c r="B52" i="72" s="1"/>
  <c r="I118" i="9"/>
  <c r="F4" i="52"/>
  <c r="B51" i="72" s="1"/>
  <c r="H119" i="9"/>
  <c r="H5" i="52" s="1"/>
  <c r="H4" i="52"/>
  <c r="H101" i="9"/>
  <c r="D119" i="9"/>
  <c r="D5" i="52" s="1"/>
  <c r="B49" i="72" s="1"/>
  <c r="E14" i="74" l="1"/>
  <c r="F14" i="74"/>
  <c r="B5" i="74"/>
  <c r="D5" i="74" s="1"/>
  <c r="I4" i="52"/>
  <c r="E118" i="9"/>
  <c r="E4" i="52" s="1"/>
  <c r="B48" i="72" s="1"/>
  <c r="C105" i="9"/>
  <c r="H102" i="9"/>
  <c r="D45" i="9"/>
  <c r="M48" i="9"/>
  <c r="D5" i="53"/>
  <c r="H107" i="9"/>
  <c r="D52" i="9" l="1"/>
  <c r="D55" i="9"/>
  <c r="M53" i="9" s="1"/>
  <c r="D53" i="9"/>
  <c r="C93" i="9"/>
  <c r="C86" i="9" s="1"/>
  <c r="C64" i="9"/>
  <c r="C63" i="9" s="1"/>
  <c r="C67" i="9" s="1"/>
  <c r="C78" i="9"/>
  <c r="C73" i="9" s="1"/>
  <c r="C72" i="9"/>
  <c r="C85" i="9"/>
  <c r="D122" i="9"/>
  <c r="M49" i="9"/>
  <c r="H108" i="9"/>
  <c r="D13" i="53"/>
  <c r="D7" i="53"/>
  <c r="B21" i="72" s="1"/>
  <c r="C5" i="74"/>
  <c r="B20" i="72"/>
  <c r="D6" i="53"/>
  <c r="B22" i="72" s="1"/>
  <c r="C95" i="9" l="1"/>
  <c r="C96" i="9" s="1"/>
  <c r="E96" i="9" s="1"/>
  <c r="E97" i="9" s="1"/>
  <c r="B30" i="72"/>
  <c r="D14" i="53"/>
  <c r="B32" i="72" s="1"/>
  <c r="L65" i="9"/>
  <c r="M65" i="9" s="1"/>
  <c r="L67" i="9"/>
  <c r="M67" i="9" s="1"/>
  <c r="L68" i="9"/>
  <c r="M68" i="9" s="1"/>
  <c r="L64" i="9"/>
  <c r="M64" i="9" s="1"/>
  <c r="L63" i="9"/>
  <c r="M63" i="9" s="1"/>
  <c r="L66" i="9"/>
  <c r="M66" i="9" s="1"/>
  <c r="D8" i="52"/>
  <c r="D123" i="9"/>
  <c r="D9" i="52" s="1"/>
  <c r="C68" i="9"/>
  <c r="D54" i="9" s="1"/>
  <c r="D48" i="9" s="1"/>
  <c r="M52" i="9" s="1"/>
  <c r="D59" i="9"/>
  <c r="M55" i="9" s="1"/>
  <c r="C6" i="74"/>
  <c r="D15" i="53"/>
  <c r="B31" i="72" s="1"/>
  <c r="C79" i="9"/>
  <c r="C80" i="9" l="1"/>
  <c r="E80" i="9" s="1"/>
  <c r="E81" i="9" s="1"/>
  <c r="C97" i="9"/>
  <c r="M69" i="9"/>
  <c r="N69" i="9" s="1"/>
  <c r="C81" i="9" l="1"/>
  <c r="D58" i="9" s="1"/>
  <c r="D56" i="9" s="1"/>
  <c r="M54" i="9" s="1"/>
  <c r="N57" i="9" s="1"/>
  <c r="N59" i="9" l="1"/>
  <c r="N60" i="9" s="1"/>
  <c r="N58" i="9"/>
  <c r="P57" i="9"/>
  <c r="N61" i="9" l="1"/>
  <c r="H112" i="9" s="1"/>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<sst xmlns="http://schemas.openxmlformats.org/spreadsheetml/2006/main" count="7837" uniqueCount="3435">
  <si>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</si>
  <si>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</si>
  <si>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</si>
  <si>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</si>
  <si>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</si>
  <si>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</si>
  <si>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</si>
  <si>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</si>
  <si>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</si>
  <si>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</si>
  <si>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</si>
  <si>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</si>
  <si>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</si>
  <si>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</si>
  <si>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</si>
  <si>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</si>
  <si>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</si>
  <si>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</si>
  <si>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</si>
  <si>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</si>
  <si>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</si>
  <si>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</si>
  <si>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</si>
  <si>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</si>
  <si>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</si>
  <si>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</si>
  <si>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</si>
  <si>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</si>
  <si>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</si>
  <si>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</si>
  <si>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</si>
  <si>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</si>
  <si>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</si>
  <si>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</si>
  <si>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</si>
  <si>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</si>
  <si>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</si>
  <si>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</si>
  <si>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</si>
  <si>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</si>
  <si>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</si>
  <si>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</si>
  <si>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</si>
  <si>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</si>
  <si>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</si>
  <si>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</si>
  <si>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</si>
  <si>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</si>
  <si>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</si>
  <si>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</si>
  <si>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</si>
  <si>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</si>
  <si>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</si>
  <si>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</si>
  <si>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</si>
  <si>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</si>
  <si>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</si>
  <si>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</si>
  <si>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</si>
  <si>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</si>
  <si>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</si>
  <si>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</si>
  <si>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</si>
  <si>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</si>
  <si>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</si>
  <si>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</si>
  <si>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</si>
  <si>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</si>
  <si>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</si>
  <si>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</si>
  <si>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</si>
  <si>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</si>
  <si>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</si>
  <si>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</si>
  <si>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</si>
  <si>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</si>
  <si>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</si>
  <si>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</si>
  <si>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</si>
  <si>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</si>
  <si>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</si>
  <si>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</si>
  <si>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</si>
  <si>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</si>
  <si>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</si>
  <si>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</si>
  <si>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</si>
  <si>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</si>
  <si>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</si>
  <si>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</si>
  <si>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</si>
  <si>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</si>
  <si>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</si>
  <si>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</si>
  <si>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</si>
  <si>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</si>
  <si>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</si>
  <si>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</si>
  <si>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</si>
  <si>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</si>
  <si>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</si>
  <si>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</si>
  <si>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</si>
  <si>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</si>
  <si>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</si>
  <si>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</si>
  <si>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</si>
  <si>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</si>
  <si>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</si>
  <si>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</si>
  <si>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</si>
  <si>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</si>
  <si>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</si>
  <si>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</si>
  <si>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</si>
  <si>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</si>
  <si>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</si>
  <si>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</si>
  <si>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</si>
  <si>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</si>
  <si>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</si>
  <si>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</si>
  <si>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</si>
  <si>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</si>
  <si>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</si>
  <si>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</si>
  <si>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</si>
  <si>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</si>
  <si>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</si>
  <si>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</si>
  <si>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</si>
  <si>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</si>
  <si>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</si>
  <si>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</si>
  <si>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</si>
  <si>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</si>
  <si>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</si>
  <si>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</si>
  <si>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</si>
  <si>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</si>
  <si>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</si>
  <si>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</si>
  <si>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</si>
  <si>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</si>
  <si>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</si>
  <si>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</si>
  <si>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</si>
  <si>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</si>
  <si>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</si>
  <si>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</si>
  <si>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</si>
  <si>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</si>
  <si>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</si>
  <si>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</si>
  <si>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</si>
  <si>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</si>
  <si>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</si>
  <si>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</si>
  <si>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</si>
  <si>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</si>
  <si>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</si>
  <si>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</si>
  <si>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</si>
  <si>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</si>
  <si>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</si>
  <si>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</si>
  <si>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</si>
  <si>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</si>
  <si>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</si>
  <si>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</si>
  <si>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</si>
  <si>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</si>
  <si>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</si>
  <si>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</si>
  <si>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</si>
  <si>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</si>
  <si>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</si>
  <si>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</si>
  <si>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</si>
  <si>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</si>
  <si>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</si>
  <si>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</si>
  <si>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</si>
  <si>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</si>
  <si>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</si>
  <si>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</si>
  <si>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</si>
  <si>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</si>
  <si>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</si>
  <si>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</si>
  <si>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</si>
  <si>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</si>
  <si>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</si>
  <si>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</si>
  <si>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</si>
  <si>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</si>
  <si>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</si>
  <si>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</si>
  <si>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</si>
  <si>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</si>
  <si>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</si>
  <si>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</si>
  <si>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</si>
  <si>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</si>
  <si>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</si>
  <si>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</si>
  <si>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</si>
  <si>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</si>
  <si>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</si>
  <si>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</si>
  <si>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</si>
  <si>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</si>
  <si>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</si>
  <si>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</si>
  <si>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</si>
  <si>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</si>
  <si>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</si>
  <si>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</si>
  <si>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</si>
  <si>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</si>
  <si>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</si>
  <si>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</si>
  <si>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</si>
  <si>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</si>
  <si>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</si>
  <si>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</si>
  <si>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</si>
  <si>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</si>
  <si>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</si>
  <si>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</si>
  <si>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</si>
  <si>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</si>
  <si>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</si>
  <si>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</si>
  <si>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</si>
  <si>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</si>
  <si>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</si>
  <si>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</si>
  <si>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</si>
  <si>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</si>
  <si>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</si>
  <si>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</si>
  <si>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</si>
  <si>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</si>
  <si>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</si>
  <si>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</si>
  <si>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</si>
  <si>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</si>
  <si>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</si>
  <si>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</si>
  <si>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</si>
  <si>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</si>
  <si>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</si>
  <si>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</si>
  <si>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</si>
  <si>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</si>
  <si>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</si>
  <si>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</si>
  <si>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</si>
  <si>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</si>
  <si>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</si>
  <si>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</si>
  <si>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</si>
  <si>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</si>
  <si>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</si>
  <si>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</si>
  <si>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</si>
  <si>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</si>
  <si>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</si>
  <si>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</si>
  <si>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</si>
  <si>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</si>
  <si>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</si>
  <si>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</si>
  <si>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</si>
  <si>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</si>
  <si>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</si>
  <si>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</si>
  <si>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</si>
  <si>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</si>
  <si>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</si>
  <si>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</si>
  <si>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</si>
  <si>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</si>
  <si>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</si>
  <si>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</si>
  <si>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</si>
  <si>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</si>
  <si>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</si>
  <si>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</si>
  <si>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</si>
  <si>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</si>
  <si>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</si>
  <si>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</si>
  <si>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</si>
  <si>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</si>
  <si>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</si>
  <si>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</si>
  <si>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</si>
  <si>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</si>
  <si>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</si>
  <si>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</si>
  <si>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</si>
  <si>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</si>
  <si>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</si>
  <si>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</si>
  <si>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</si>
  <si>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</si>
  <si>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</si>
  <si>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</si>
  <si>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</si>
  <si>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</si>
  <si>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</si>
  <si>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</si>
  <si>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</si>
  <si>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</si>
  <si>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</si>
  <si>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</si>
  <si>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</si>
  <si>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</si>
  <si>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</si>
  <si>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</si>
  <si>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</si>
  <si>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</si>
  <si>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</si>
  <si>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</si>
  <si>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</si>
  <si>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</si>
  <si>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</si>
  <si>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</si>
  <si>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</si>
  <si>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</si>
  <si>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</si>
  <si>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</si>
  <si>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</si>
  <si>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</si>
  <si>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</si>
  <si>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</si>
  <si>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</si>
  <si>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</si>
  <si>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</si>
  <si>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</si>
  <si>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</si>
  <si>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</si>
  <si>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</si>
  <si>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</si>
  <si>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</si>
  <si>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</si>
  <si>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</si>
  <si>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</si>
  <si>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</si>
  <si>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</si>
  <si>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</si>
  <si>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</si>
  <si>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</si>
  <si>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</si>
  <si>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</si>
  <si>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</si>
  <si>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</si>
  <si>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</si>
  <si>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</si>
  <si>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</si>
  <si>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</si>
  <si>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</si>
  <si>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</si>
  <si>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</si>
  <si>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</si>
  <si>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</si>
  <si>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</si>
  <si>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</si>
  <si>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</si>
  <si>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</si>
  <si>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</si>
  <si>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</si>
  <si>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</si>
  <si>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</si>
  <si>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</si>
  <si>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</si>
  <si>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</si>
  <si>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</si>
  <si>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</si>
  <si>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</si>
  <si>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</si>
  <si>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</si>
  <si>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</si>
  <si>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</si>
  <si>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</si>
  <si>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</si>
  <si>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</si>
  <si>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</si>
  <si>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</si>
  <si>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</si>
  <si>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</si>
  <si>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</si>
  <si>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</si>
  <si>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</si>
  <si>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</si>
  <si>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</si>
  <si>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</si>
  <si>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</si>
  <si>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</si>
  <si>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</si>
  <si>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</si>
  <si>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</si>
  <si>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</si>
  <si>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</si>
  <si>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</si>
  <si>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</si>
  <si>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</si>
  <si>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</si>
  <si>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</si>
  <si>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</si>
  <si>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</si>
  <si>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</si>
  <si>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</si>
  <si>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</si>
  <si>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</si>
  <si>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</si>
  <si>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</si>
  <si>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</si>
  <si>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</si>
  <si>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</si>
  <si>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</si>
  <si>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</si>
  <si>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</si>
  <si>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</si>
  <si>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</si>
  <si>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</si>
  <si>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</si>
  <si>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</si>
  <si>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</si>
  <si>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</si>
  <si>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</si>
  <si>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</si>
  <si>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</si>
  <si>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</si>
  <si>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</si>
  <si>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</si>
  <si>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</si>
  <si>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</si>
  <si>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</si>
  <si>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</si>
  <si>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</si>
  <si>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</si>
  <si>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</si>
  <si>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</si>
  <si>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</si>
  <si>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</si>
  <si>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</si>
  <si>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</si>
  <si>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</si>
  <si>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</si>
  <si>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</si>
  <si>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</si>
  <si>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</si>
  <si>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</si>
  <si>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</si>
  <si>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</si>
  <si>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</si>
  <si>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</si>
  <si>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</si>
  <si>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</si>
  <si>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</si>
  <si>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</si>
  <si>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</si>
  <si>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</si>
  <si>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</si>
  <si>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</si>
  <si>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</si>
  <si>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</si>
  <si>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</si>
  <si>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</si>
  <si>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</si>
  <si>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</si>
  <si>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</si>
  <si>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</si>
  <si>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</si>
  <si>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</si>
  <si>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</si>
  <si>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</si>
  <si>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</si>
  <si>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</si>
  <si>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</si>
  <si>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</si>
  <si>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</si>
  <si>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</si>
  <si>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</si>
  <si>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</si>
  <si>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</si>
  <si>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</si>
  <si>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</si>
  <si>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</si>
  <si>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</si>
  <si>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</si>
  <si>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</si>
  <si>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</si>
  <si>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</si>
  <si>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</si>
  <si>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</si>
  <si>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</si>
  <si>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</si>
  <si>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</si>
  <si>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</si>
  <si>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</si>
  <si>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</si>
  <si>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</si>
  <si>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</si>
  <si>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</si>
  <si>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</si>
  <si>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</si>
  <si>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</si>
  <si>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</si>
  <si>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</si>
  <si>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</si>
  <si>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</si>
  <si>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</si>
  <si>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</si>
  <si>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</si>
  <si>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</si>
  <si>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</si>
  <si>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</si>
  <si>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</si>
  <si>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</si>
  <si>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</si>
  <si>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</si>
  <si>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</si>
  <si>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</si>
  <si>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</si>
  <si>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</si>
  <si>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</si>
  <si>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</si>
  <si>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</si>
  <si>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</si>
  <si>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</si>
  <si>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</si>
  <si>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</si>
  <si>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</si>
  <si>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</si>
  <si>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</si>
  <si>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</si>
  <si>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</si>
  <si>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</si>
  <si>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</si>
  <si>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</si>
  <si>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</si>
  <si>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</si>
  <si>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</si>
  <si>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</si>
  <si>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</si>
  <si>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</si>
  <si>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</si>
  <si>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</si>
  <si>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</si>
  <si>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</si>
  <si>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</si>
  <si>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</si>
  <si>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</si>
  <si>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</si>
  <si>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</si>
  <si>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</si>
  <si>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</si>
  <si>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</si>
  <si>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</si>
  <si>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</si>
  <si>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</si>
  <si>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</si>
  <si>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</si>
  <si>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</si>
  <si>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</si>
  <si>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</si>
  <si>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</si>
  <si>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</si>
  <si>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</si>
  <si>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</si>
  <si>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</si>
  <si>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</si>
  <si>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</si>
  <si>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</si>
  <si>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</si>
  <si>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</si>
  <si>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</si>
  <si>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</si>
  <si>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</si>
  <si>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</si>
  <si>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</si>
  <si>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</si>
  <si>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</si>
  <si>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</si>
  <si>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</si>
  <si>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</si>
  <si>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</si>
  <si>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</si>
  <si>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</si>
  <si>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</si>
  <si>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</si>
  <si>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</si>
  <si>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</si>
  <si>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</si>
  <si>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</si>
  <si>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</si>
  <si>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</si>
  <si>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</si>
  <si>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</si>
  <si>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</si>
  <si>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</si>
  <si>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</si>
  <si>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</si>
  <si>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</si>
  <si>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</si>
  <si>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</si>
  <si>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</si>
  <si>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</si>
  <si>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</si>
  <si>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</si>
  <si>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</si>
  <si>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</si>
  <si>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</si>
  <si>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</si>
  <si>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</si>
  <si>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</si>
  <si>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</si>
  <si>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</si>
  <si>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</si>
  <si>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</si>
  <si>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</si>
  <si>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</si>
  <si>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</si>
  <si>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</si>
  <si>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</si>
  <si>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</si>
  <si>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</si>
  <si>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</si>
  <si>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</si>
  <si>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</si>
  <si>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</si>
  <si>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</si>
  <si>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</si>
  <si>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</si>
  <si>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</si>
  <si>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</si>
  <si>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</si>
  <si>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</si>
  <si>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</si>
  <si>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</si>
  <si>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</si>
  <si>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</si>
  <si>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</si>
  <si>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</si>
  <si>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</si>
  <si>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</si>
  <si>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</si>
  <si>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</si>
  <si>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</si>
  <si>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</si>
  <si>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</si>
  <si>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</si>
  <si>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</si>
  <si>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</si>
  <si>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</si>
  <si>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</si>
  <si>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</si>
  <si>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</si>
  <si>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</si>
  <si>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</si>
  <si>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</si>
  <si>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</si>
  <si>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</si>
  <si>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</si>
  <si>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</si>
  <si>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</si>
  <si>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</si>
  <si>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</si>
  <si>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</si>
  <si>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</si>
  <si>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</si>
  <si>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</si>
  <si>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</si>
  <si>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</si>
  <si>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</si>
  <si>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</si>
  <si>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</si>
  <si>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</si>
  <si>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</si>
  <si>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</si>
  <si>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</si>
  <si>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</si>
  <si>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</si>
  <si>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</si>
  <si>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</si>
  <si>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</si>
  <si>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</si>
  <si>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</si>
  <si>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</si>
  <si>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</si>
  <si>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</si>
  <si>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</si>
  <si>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</si>
  <si>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</si>
  <si>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</si>
  <si>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</si>
  <si>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</si>
  <si>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</si>
  <si>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</si>
  <si>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</si>
  <si>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</si>
  <si>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</si>
  <si>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</si>
  <si>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</si>
  <si>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</si>
  <si>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</si>
  <si>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</si>
  <si>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</si>
  <si>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</si>
  <si>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</si>
  <si>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</si>
  <si>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</si>
  <si>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</si>
  <si>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</si>
  <si>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</si>
  <si>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</si>
  <si>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</si>
  <si>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</si>
  <si>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</si>
  <si>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</si>
  <si>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</si>
  <si>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</si>
  <si>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</si>
  <si>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</si>
  <si>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</si>
  <si>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</si>
  <si>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</si>
  <si>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</si>
  <si>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</si>
  <si>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</si>
  <si>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</si>
  <si>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</si>
  <si>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</si>
  <si>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</si>
  <si>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</si>
  <si>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</si>
  <si>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</si>
  <si>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</si>
  <si>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</si>
  <si>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</si>
  <si>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</si>
  <si>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</si>
  <si>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</si>
  <si>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</si>
  <si>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</si>
  <si>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</si>
  <si>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</si>
  <si>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</si>
  <si>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</si>
  <si>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</si>
  <si>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</si>
  <si>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</si>
  <si>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</si>
  <si>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</si>
  <si>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</si>
  <si>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</si>
  <si>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</si>
  <si>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</si>
  <si>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</si>
  <si>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</si>
  <si>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</si>
  <si>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</si>
  <si>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</si>
  <si>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</si>
  <si>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</si>
  <si>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</si>
  <si>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</si>
  <si>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</si>
  <si>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</si>
  <si>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</si>
  <si>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</si>
  <si>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</si>
  <si>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</si>
  <si>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</si>
  <si>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</si>
  <si>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</si>
  <si>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</si>
  <si>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</si>
  <si>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</si>
  <si>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</si>
  <si>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</si>
  <si>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</si>
  <si>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</si>
  <si>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</si>
  <si>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</si>
  <si>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</si>
  <si>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</si>
  <si>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</si>
  <si>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</si>
  <si>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</si>
  <si>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</si>
  <si>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</si>
  <si>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</si>
  <si>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</si>
  <si>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</si>
  <si>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</si>
  <si>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</si>
  <si>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</si>
  <si>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</si>
  <si>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</si>
  <si>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</si>
  <si>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</si>
  <si>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</si>
  <si>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</si>
  <si>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</si>
  <si>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</si>
  <si>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</si>
  <si>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</si>
  <si>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</si>
  <si>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</si>
  <si>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</si>
  <si>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</si>
  <si>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</si>
  <si>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</si>
  <si>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</si>
  <si>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</si>
  <si>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</si>
  <si>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</si>
  <si>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</si>
  <si>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</si>
  <si>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</si>
  <si>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</si>
  <si>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</si>
  <si>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</si>
  <si>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</si>
  <si>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</si>
  <si>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</si>
  <si>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</si>
  <si>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</si>
  <si>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</si>
  <si>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</si>
  <si>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</si>
  <si>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</si>
  <si>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</si>
  <si>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</si>
  <si>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</si>
  <si>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</si>
  <si>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</si>
  <si>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</si>
  <si>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</si>
  <si>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</si>
  <si>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</si>
  <si>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</si>
  <si>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</si>
  <si>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</si>
  <si>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</si>
  <si>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</si>
  <si>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</si>
  <si>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</si>
  <si>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</si>
  <si>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</si>
  <si>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</si>
  <si>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</si>
  <si>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</si>
  <si>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</si>
  <si>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</si>
  <si>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</si>
  <si>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</si>
  <si>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</si>
  <si>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</si>
  <si>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</si>
  <si>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</si>
  <si>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</si>
  <si>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</si>
  <si>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</si>
  <si>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</si>
  <si>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</si>
  <si>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</si>
  <si>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</si>
  <si>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</si>
  <si>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</si>
  <si>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</si>
  <si>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</si>
  <si>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</si>
  <si>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</si>
  <si>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</si>
  <si>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</si>
  <si>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</si>
  <si>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</si>
  <si>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</si>
  <si>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</si>
  <si>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</si>
  <si>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</si>
  <si>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</si>
  <si>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</si>
  <si>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</si>
  <si>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</si>
  <si>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</si>
  <si>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</si>
  <si>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</si>
  <si>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</si>
  <si>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</si>
  <si>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</si>
  <si>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</si>
  <si>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</si>
  <si>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</si>
  <si>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</si>
  <si>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</si>
  <si>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</si>
  <si>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</si>
  <si>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</si>
  <si>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</si>
  <si>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</si>
  <si>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</si>
  <si>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</si>
  <si>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</si>
  <si>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</si>
  <si>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</si>
  <si>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</si>
  <si>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</si>
  <si>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</si>
  <si>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</si>
  <si>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</si>
  <si>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</si>
  <si>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</si>
  <si>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</si>
  <si>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</si>
  <si>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</si>
  <si>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</si>
  <si>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</si>
  <si>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</si>
  <si>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</si>
  <si>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</si>
  <si>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</si>
  <si>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</si>
  <si>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</si>
  <si>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</si>
  <si>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</si>
  <si>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</si>
  <si>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</si>
  <si>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</si>
  <si>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</si>
  <si>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</si>
  <si>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</si>
  <si>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</si>
  <si>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</si>
  <si>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</si>
  <si>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</si>
  <si>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</si>
  <si>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</si>
  <si>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</si>
  <si>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</si>
  <si>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</si>
  <si>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</si>
  <si>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</si>
  <si>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</si>
  <si>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</si>
  <si>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</si>
  <si>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</si>
  <si>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</si>
  <si>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</si>
  <si>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</si>
  <si>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</si>
  <si>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</si>
  <si>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</si>
  <si>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</si>
  <si>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</si>
  <si>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</si>
  <si>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</si>
  <si>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</si>
  <si>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</si>
  <si>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</si>
  <si>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</si>
  <si>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</si>
  <si>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</si>
  <si>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</si>
  <si>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</si>
  <si>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</si>
  <si>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</si>
  <si>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</si>
  <si>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</si>
  <si>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</si>
  <si>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</si>
  <si>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</si>
  <si>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</si>
  <si>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</si>
  <si>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</si>
  <si>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</si>
  <si>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</si>
  <si>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</si>
  <si>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</si>
  <si>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</si>
  <si>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</si>
  <si>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</si>
  <si>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</si>
  <si>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</si>
  <si>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</si>
  <si>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</si>
  <si>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</si>
  <si>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</si>
  <si>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</si>
  <si>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</si>
  <si>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</si>
  <si>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</si>
  <si>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</si>
  <si>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</si>
  <si>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</si>
  <si>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</si>
  <si>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</si>
  <si>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</si>
  <si>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</si>
  <si>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</si>
  <si>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</si>
  <si>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</si>
  <si>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</si>
  <si>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</si>
  <si>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</si>
  <si>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</si>
  <si>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</si>
  <si>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</si>
  <si>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</si>
  <si>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</si>
  <si>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</si>
  <si>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</si>
  <si>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</si>
  <si>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</si>
  <si>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</si>
  <si>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</si>
  <si>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</si>
  <si>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</si>
  <si>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</si>
  <si>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</si>
  <si>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</si>
  <si>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</si>
  <si>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</si>
  <si>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</si>
  <si>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</si>
  <si>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</si>
  <si>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</si>
  <si>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</si>
  <si>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</si>
  <si>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</si>
  <si>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</si>
  <si>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</si>
  <si>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</si>
  <si>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</si>
  <si>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</si>
  <si>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</si>
  <si>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</si>
  <si>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</si>
  <si>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</si>
  <si>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</si>
  <si>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</si>
  <si>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</si>
  <si>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</si>
  <si>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</si>
  <si>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</si>
  <si>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</si>
  <si>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</si>
  <si>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</si>
  <si>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</si>
  <si>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</si>
  <si>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</si>
  <si>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</si>
  <si>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</si>
  <si>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</si>
  <si>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</si>
  <si>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</si>
  <si>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</si>
  <si>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</si>
  <si>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</si>
  <si>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</si>
  <si>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</si>
  <si>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</si>
  <si>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</si>
  <si>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</si>
  <si>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</si>
  <si>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</si>
  <si>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</si>
  <si>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</si>
  <si>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</si>
  <si>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</si>
  <si>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</si>
  <si>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</si>
  <si>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</si>
  <si>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</si>
  <si>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</si>
  <si>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</si>
  <si>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</si>
  <si>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</si>
  <si>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</si>
  <si>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</si>
  <si>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</si>
  <si>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</si>
  <si>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</si>
  <si>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</si>
  <si>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</si>
  <si>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</si>
  <si>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</si>
  <si>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</si>
  <si>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</si>
  <si>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</si>
  <si>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</si>
  <si>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</si>
  <si>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</si>
  <si>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</si>
  <si>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</si>
  <si>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</si>
  <si>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</si>
  <si>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</si>
  <si>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</si>
  <si>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</si>
  <si>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</si>
  <si>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</si>
  <si>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</si>
  <si>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</si>
  <si>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</si>
  <si>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</si>
  <si>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</si>
  <si>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</si>
  <si>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</si>
  <si>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</si>
  <si>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</si>
  <si>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</si>
  <si>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</si>
  <si>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</si>
  <si>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</si>
  <si>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</si>
  <si>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</si>
  <si>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</si>
  <si>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</si>
  <si>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</si>
  <si>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</si>
  <si>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</si>
  <si>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</si>
  <si>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</si>
  <si>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</si>
  <si>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</si>
  <si>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</si>
  <si>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</si>
  <si>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</si>
  <si>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</si>
  <si>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</si>
  <si>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</si>
  <si>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</si>
  <si>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</si>
  <si>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</si>
  <si>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</si>
  <si>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</si>
  <si>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</si>
  <si>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</si>
  <si>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</si>
  <si>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</si>
  <si>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</si>
  <si>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</si>
  <si>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</si>
  <si>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</si>
  <si>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</si>
  <si>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</si>
  <si>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</si>
  <si>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</si>
  <si>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</si>
  <si>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</si>
  <si>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</si>
  <si>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</si>
  <si>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</si>
  <si>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</si>
  <si>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</si>
  <si>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</si>
  <si>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</si>
  <si>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</si>
  <si>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</si>
  <si>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</si>
  <si>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</si>
  <si>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</si>
  <si>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</si>
  <si>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</si>
  <si>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</si>
  <si>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</si>
  <si>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</si>
  <si>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</si>
  <si>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</si>
  <si>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</si>
  <si>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</si>
  <si>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</si>
  <si>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</si>
  <si>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</si>
  <si>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</si>
  <si>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</si>
  <si>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</si>
  <si>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</si>
  <si>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</si>
  <si>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</si>
  <si>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</si>
  <si>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</si>
  <si>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</si>
  <si>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</si>
  <si>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</si>
  <si>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</si>
  <si>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</si>
  <si>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</si>
  <si>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</si>
  <si>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</si>
  <si>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</si>
  <si>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</si>
  <si>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</si>
  <si>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</si>
  <si>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</si>
  <si>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</si>
  <si>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</si>
  <si>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</si>
  <si>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</si>
  <si>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</si>
  <si>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</si>
  <si>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</si>
  <si>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</si>
  <si>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</si>
  <si>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</si>
  <si>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</si>
  <si>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</si>
  <si>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</si>
  <si>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</si>
  <si>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</si>
  <si>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</si>
  <si>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</si>
  <si>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</si>
  <si>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</si>
  <si>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</si>
  <si>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</si>
  <si>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</si>
  <si>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</si>
  <si>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</si>
  <si>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</si>
  <si>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</si>
  <si>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</si>
  <si>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</si>
  <si>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</si>
  <si>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</si>
  <si>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</si>
  <si>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</si>
  <si>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</si>
  <si>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</si>
  <si>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</si>
  <si>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</si>
  <si>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</si>
  <si>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</si>
  <si>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</si>
  <si>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</si>
  <si>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</si>
  <si>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</si>
  <si>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</si>
  <si>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</si>
  <si>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</si>
  <si>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</si>
  <si>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</si>
  <si>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</si>
  <si>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</si>
  <si>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</si>
  <si>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</si>
  <si>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</si>
  <si>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</si>
  <si>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</si>
  <si>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</si>
  <si>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</si>
  <si>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</si>
  <si>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</si>
  <si>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</si>
  <si>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</si>
  <si>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</si>
  <si>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</si>
  <si>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</si>
  <si>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</si>
  <si>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</si>
  <si>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</si>
  <si>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</si>
  <si>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</si>
  <si>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</si>
  <si>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</si>
  <si>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</si>
  <si>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</si>
  <si>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</si>
  <si>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</si>
  <si>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</si>
  <si>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</si>
  <si>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</si>
  <si>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</si>
  <si>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</si>
  <si>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</si>
  <si>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</si>
  <si>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</si>
  <si>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</si>
  <si>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</si>
  <si>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</si>
  <si>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</si>
  <si>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</si>
  <si>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</si>
  <si>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</si>
  <si>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</si>
  <si>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</si>
  <si>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</si>
  <si>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</si>
  <si>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</si>
  <si>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</si>
  <si>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</si>
  <si>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</si>
  <si>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</si>
  <si>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</si>
  <si>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</si>
  <si>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</si>
  <si>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</si>
  <si>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</si>
  <si>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</si>
  <si>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</si>
  <si>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</si>
  <si>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</si>
  <si>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</si>
  <si>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</si>
  <si>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</si>
  <si>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</si>
  <si>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</si>
  <si>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</si>
  <si>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</si>
  <si>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</si>
  <si>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</si>
  <si>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</si>
  <si>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</si>
  <si>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</si>
  <si>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</si>
  <si>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</si>
  <si>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</si>
  <si>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</si>
  <si>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</si>
  <si>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</si>
  <si>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</si>
  <si>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</si>
  <si>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</si>
  <si>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</si>
  <si>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</si>
  <si>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</si>
  <si>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</si>
  <si>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</si>
  <si>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</si>
  <si>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</si>
  <si>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</si>
  <si>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</si>
  <si>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</si>
  <si>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</si>
  <si>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</si>
  <si>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</si>
  <si>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</si>
  <si>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</si>
  <si>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</si>
  <si>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</si>
  <si>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</si>
  <si>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</si>
  <si>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</si>
  <si>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</si>
  <si>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</si>
  <si>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</si>
  <si>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</si>
  <si>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</si>
  <si>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</si>
  <si>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</si>
  <si>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</si>
  <si>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</si>
  <si>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</si>
  <si>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</si>
  <si>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</si>
  <si>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</si>
  <si>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</si>
  <si>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</si>
  <si>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</si>
  <si>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</si>
  <si>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</si>
  <si>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</si>
  <si>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</si>
  <si>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</si>
  <si>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</si>
  <si>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</si>
  <si>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</si>
  <si>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</si>
  <si>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</si>
  <si>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</si>
  <si>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</si>
  <si>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</si>
  <si>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</si>
  <si>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</si>
  <si>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</si>
  <si>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</si>
  <si>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</si>
  <si>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</si>
  <si>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</si>
  <si>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</si>
  <si>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</si>
  <si>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</si>
  <si>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</si>
  <si>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</si>
  <si>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</si>
  <si>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</si>
  <si>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</si>
  <si>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</si>
  <si>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</si>
  <si>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</si>
  <si>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</si>
  <si>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</si>
  <si>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</si>
  <si>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</si>
  <si>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</si>
  <si>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</si>
  <si>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</si>
  <si>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</si>
  <si>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</si>
  <si>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</si>
  <si>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</si>
  <si>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</si>
  <si>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</si>
  <si>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</si>
  <si>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</si>
  <si>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</si>
  <si>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</si>
  <si>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</si>
  <si>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</si>
  <si>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</si>
  <si>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</si>
  <si>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</si>
  <si>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</si>
  <si>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</si>
  <si>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</si>
  <si>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</si>
  <si>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</si>
  <si>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</si>
  <si>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</si>
  <si>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</si>
  <si>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</si>
  <si>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</si>
  <si>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</si>
  <si>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</si>
  <si>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</si>
  <si>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</si>
  <si>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</si>
  <si>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</si>
  <si>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</si>
  <si>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</si>
  <si>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</si>
  <si>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</si>
  <si>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</si>
  <si>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</si>
  <si>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</si>
  <si>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</si>
  <si>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</si>
  <si>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</si>
  <si>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</si>
  <si>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</si>
  <si>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</si>
  <si>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</si>
  <si>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</si>
  <si>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</si>
  <si>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</si>
  <si>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</si>
  <si>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</si>
  <si>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</si>
  <si>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</si>
  <si>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</si>
  <si>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</si>
  <si>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</si>
  <si>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</si>
  <si>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</si>
  <si>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</si>
  <si>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</si>
  <si>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</si>
  <si>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</si>
  <si>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</si>
  <si>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</si>
  <si>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</si>
  <si>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</si>
  <si>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</si>
  <si>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</si>
  <si>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</si>
  <si>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</si>
  <si>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</si>
  <si>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</si>
  <si>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</si>
  <si>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</si>
  <si>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</si>
  <si>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</si>
  <si>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</si>
  <si>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</si>
  <si>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</si>
  <si>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</si>
  <si>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</si>
  <si>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</si>
  <si>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</si>
  <si>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</si>
  <si>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</si>
  <si>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</si>
  <si>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</si>
  <si>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</si>
  <si>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</si>
  <si>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</si>
  <si>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</si>
  <si>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</si>
  <si>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</si>
  <si>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</si>
  <si>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</si>
  <si>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</si>
  <si>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</si>
  <si>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</si>
  <si>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</si>
  <si>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</si>
  <si>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</si>
  <si>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</si>
  <si>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</si>
  <si>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</si>
  <si>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</si>
  <si>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</si>
  <si>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</si>
  <si>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</si>
  <si>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</si>
  <si>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</si>
  <si>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</si>
  <si>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</si>
  <si>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</si>
  <si>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</si>
  <si>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</si>
  <si>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</si>
  <si>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</si>
  <si>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</si>
  <si>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</si>
  <si>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</si>
  <si>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</si>
  <si>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</si>
  <si>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</si>
  <si>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</si>
  <si>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</si>
  <si>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</si>
  <si>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</si>
  <si>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</si>
  <si>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</si>
  <si>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</si>
  <si>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</si>
  <si>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</si>
  <si>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</si>
  <si>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</si>
  <si>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</si>
  <si>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</si>
  <si>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</si>
  <si>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</si>
  <si>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</si>
  <si>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</si>
  <si>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</si>
  <si>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</si>
  <si>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</si>
  <si>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</si>
  <si>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</si>
  <si>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</si>
  <si>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</si>
  <si>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</si>
  <si>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</si>
  <si>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</si>
  <si>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</si>
  <si>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</si>
  <si>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</si>
  <si>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</si>
  <si>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</si>
  <si>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</si>
  <si>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</si>
  <si>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</si>
  <si>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</si>
  <si>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</si>
  <si>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</si>
  <si>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</si>
  <si>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</si>
  <si>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</si>
  <si>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</si>
  <si>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</si>
  <si>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</si>
  <si>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</si>
  <si>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</si>
  <si>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</si>
  <si>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</si>
  <si>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</si>
  <si>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</si>
  <si>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</si>
  <si>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</si>
  <si>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</si>
  <si>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</si>
  <si>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</si>
  <si>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</si>
  <si>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</si>
  <si>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</si>
  <si>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</si>
  <si>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</si>
  <si>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</si>
  <si>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</si>
  <si>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</si>
  <si>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</si>
  <si>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</si>
  <si>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</si>
  <si>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</si>
  <si>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</si>
  <si>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</si>
  <si>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</si>
  <si>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</si>
  <si>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</si>
  <si>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</si>
  <si>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</si>
  <si>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</si>
  <si>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</si>
  <si>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</si>
  <si>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</si>
  <si>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</si>
  <si>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</si>
  <si>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</si>
  <si>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</si>
  <si>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</si>
  <si>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</si>
  <si>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</si>
  <si>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</si>
  <si>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</si>
  <si>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</si>
  <si>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</si>
  <si>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</si>
  <si>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</si>
  <si>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</si>
  <si>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</si>
  <si>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</si>
  <si>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</si>
  <si>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</si>
  <si>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</si>
  <si>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</si>
  <si>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</si>
  <si>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</si>
  <si>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</si>
  <si>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</si>
  <si>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</si>
  <si>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</si>
  <si>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</si>
  <si>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</si>
  <si>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</si>
  <si>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</si>
  <si>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</si>
  <si>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</si>
  <si>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</si>
  <si>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</si>
  <si>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</si>
  <si>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</si>
  <si>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</si>
  <si>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</si>
  <si>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</si>
  <si>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</si>
  <si>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</si>
  <si>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</si>
  <si>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</si>
  <si>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</si>
  <si>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</si>
  <si>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</si>
  <si>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</si>
  <si>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</si>
  <si>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</si>
  <si>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</si>
  <si>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</si>
  <si>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</si>
  <si>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</si>
  <si>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</si>
  <si>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</si>
  <si>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</si>
  <si>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</si>
  <si>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</si>
  <si>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</si>
  <si>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</si>
  <si>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</si>
  <si>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</si>
  <si>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</si>
  <si>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</si>
  <si>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</si>
  <si>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</si>
  <si>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</si>
  <si>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</si>
  <si>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</si>
  <si>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</si>
  <si>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</si>
  <si>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</si>
  <si>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</si>
  <si>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</si>
  <si>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</si>
  <si>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</si>
  <si>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</si>
  <si>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</si>
  <si>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</si>
  <si>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</si>
  <si>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</si>
  <si>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</si>
  <si>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</si>
  <si>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</si>
  <si>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</si>
  <si>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</si>
  <si>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</si>
  <si>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</si>
  <si>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</si>
  <si>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</si>
  <si>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</si>
  <si>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</si>
  <si>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</si>
  <si>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</si>
  <si>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</si>
  <si>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</si>
  <si>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</si>
  <si>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</si>
  <si>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</si>
  <si>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</si>
  <si>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</si>
  <si>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</si>
  <si>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</si>
  <si>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</si>
  <si>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</si>
  <si>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</si>
  <si>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</si>
  <si>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</si>
  <si>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</si>
  <si>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</si>
  <si>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</si>
  <si>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</si>
  <si>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</si>
  <si>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</si>
  <si>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</si>
  <si>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</si>
  <si>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</si>
  <si>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</si>
  <si>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</si>
  <si>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</si>
  <si>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</si>
  <si>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</si>
  <si>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</si>
  <si>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</si>
  <si>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</si>
  <si>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</si>
  <si>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</si>
  <si>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</si>
  <si>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</si>
  <si>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</si>
  <si>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</si>
  <si>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</si>
  <si>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</si>
  <si>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</si>
  <si>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</si>
  <si>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</si>
  <si>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</si>
  <si>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</si>
  <si>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</si>
  <si>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</si>
  <si>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</si>
  <si>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</si>
  <si>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</si>
  <si>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</si>
  <si>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</si>
  <si>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</si>
  <si>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</si>
  <si>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</si>
  <si>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</si>
  <si>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</si>
  <si>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</si>
  <si>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</si>
  <si>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</si>
  <si>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</si>
  <si>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</si>
  <si>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</si>
  <si>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</si>
  <si>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</si>
  <si>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</si>
  <si>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</si>
  <si>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</si>
  <si>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</si>
  <si>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</si>
  <si>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</si>
  <si>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</si>
  <si>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</si>
  <si>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</si>
  <si>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</si>
  <si>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</si>
  <si>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</si>
  <si>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</si>
  <si>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</si>
  <si>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</si>
  <si>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</si>
  <si>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</si>
  <si>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</si>
  <si>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</si>
  <si>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</si>
  <si>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</si>
  <si>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</si>
  <si>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</si>
  <si>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</si>
  <si>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</si>
  <si>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</si>
  <si>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</si>
  <si>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</si>
  <si>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</si>
  <si>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</si>
  <si>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</si>
  <si>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</si>
  <si>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</si>
  <si>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</si>
  <si>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</si>
  <si>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</si>
  <si>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</si>
  <si>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</si>
  <si>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</si>
  <si>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</si>
  <si>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</si>
  <si>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</si>
  <si>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</si>
  <si>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</si>
  <si>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</si>
  <si>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</si>
  <si>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</si>
  <si>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</si>
  <si>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</si>
  <si>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</si>
  <si>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</si>
  <si>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</si>
  <si>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</si>
  <si>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</si>
  <si>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</si>
  <si>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</si>
  <si>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</si>
  <si>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</si>
  <si>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</si>
  <si>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</si>
  <si>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</si>
  <si>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</si>
  <si>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</si>
  <si>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</si>
  <si>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</si>
  <si>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</si>
  <si>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</si>
  <si>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</si>
  <si>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</si>
  <si>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</si>
  <si>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</si>
  <si>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</si>
  <si>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</si>
  <si>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</si>
  <si>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</si>
  <si>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</si>
  <si>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</si>
  <si>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</si>
  <si>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</si>
  <si>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</si>
  <si>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</si>
  <si>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</si>
  <si>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</si>
  <si>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</si>
  <si>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</si>
  <si>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</si>
  <si>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</si>
  <si>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</si>
  <si>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</si>
  <si>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</si>
  <si>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</si>
  <si>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</si>
  <si>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</si>
  <si>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</si>
  <si>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</si>
  <si>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</si>
  <si>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</si>
  <si>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</si>
  <si>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</si>
  <si>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</si>
  <si>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</si>
  <si>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</si>
  <si>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</si>
  <si>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</si>
  <si>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</si>
  <si>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</si>
  <si>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</si>
  <si>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</si>
  <si>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</si>
  <si>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</si>
  <si>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</si>
  <si>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</si>
  <si>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</si>
  <si>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</si>
  <si>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</si>
  <si>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</si>
  <si>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</si>
  <si>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</si>
  <si>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</si>
  <si>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</si>
  <si>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</si>
  <si>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</si>
  <si>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</si>
  <si>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</si>
  <si>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</si>
  <si>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</si>
  <si>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</si>
  <si>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</si>
  <si>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</si>
  <si>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</si>
  <si>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</si>
  <si>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</si>
  <si>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</si>
  <si>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</si>
  <si>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</si>
  <si>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</si>
  <si>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</si>
  <si>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</si>
  <si>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</si>
  <si>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</si>
  <si>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</si>
  <si>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</si>
  <si>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</si>
  <si>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</si>
  <si>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</si>
  <si>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</si>
  <si>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</si>
  <si>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</si>
  <si>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</si>
  <si>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</si>
  <si>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</si>
  <si>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</si>
  <si>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</si>
  <si>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</si>
  <si>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</si>
  <si>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</si>
  <si>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</si>
  <si>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</si>
  <si>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</si>
  <si>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</si>
  <si>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</si>
  <si>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</si>
  <si>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</si>
  <si>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</si>
  <si>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</si>
  <si>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</si>
  <si>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</si>
  <si>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</si>
  <si>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</si>
  <si>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</si>
  <si>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</si>
  <si>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</si>
  <si>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</si>
  <si>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</si>
  <si>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</si>
  <si>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</si>
  <si>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</si>
  <si>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</si>
  <si>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</si>
  <si>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</si>
  <si>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</si>
  <si>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</si>
  <si>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</si>
  <si>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</si>
  <si>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</si>
  <si>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</si>
  <si>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</si>
  <si>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</si>
  <si>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</si>
  <si>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</si>
  <si>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</si>
  <si>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</si>
  <si>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</si>
  <si>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</si>
  <si>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</si>
  <si>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</si>
  <si>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</si>
  <si>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</si>
  <si>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</si>
  <si>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</si>
  <si>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</si>
  <si>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</si>
  <si>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</si>
  <si>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</si>
  <si>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</si>
  <si>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</si>
  <si>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</si>
  <si>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</si>
  <si>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</si>
  <si>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</si>
  <si>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</si>
  <si>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</si>
  <si>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</si>
  <si>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</si>
  <si>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</si>
  <si>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</si>
  <si>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</si>
  <si>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</si>
  <si>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</si>
  <si>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</si>
  <si>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</si>
  <si>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</si>
  <si>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</si>
  <si>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</si>
  <si>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</si>
  <si>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</si>
  <si>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</si>
  <si>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</si>
  <si>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</si>
  <si>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</si>
  <si>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</si>
  <si>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</si>
  <si>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</si>
  <si>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</si>
  <si>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</si>
  <si>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</si>
  <si>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</si>
  <si>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</si>
  <si>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</si>
  <si>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</si>
  <si>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</si>
  <si>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</si>
  <si>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</si>
  <si>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</si>
  <si>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</si>
  <si>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</si>
  <si>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</si>
  <si>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</si>
  <si>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</si>
  <si>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</si>
  <si>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</si>
  <si>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</si>
  <si>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</si>
  <si>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</si>
  <si>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</si>
  <si>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</si>
  <si>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</si>
  <si>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</si>
  <si>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</si>
  <si>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</si>
  <si>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</si>
  <si>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</si>
  <si>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</si>
  <si>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</si>
  <si>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</si>
  <si>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</si>
  <si>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</si>
  <si>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</si>
  <si>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</si>
  <si>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</si>
  <si>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</si>
  <si>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</si>
  <si>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</si>
  <si>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</si>
  <si>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</si>
  <si>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</si>
  <si>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</si>
  <si>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</si>
  <si>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</si>
  <si>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</si>
  <si>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</si>
  <si>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</si>
  <si>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</si>
  <si>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</si>
  <si>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</si>
  <si>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</si>
  <si>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</si>
  <si>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</si>
  <si>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</si>
  <si>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</si>
  <si>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</si>
  <si>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</si>
  <si>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</si>
  <si>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</si>
  <si>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</si>
  <si>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</si>
  <si>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</si>
  <si>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</si>
  <si>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</si>
  <si>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</si>
  <si>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</si>
  <si>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</si>
  <si>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</si>
  <si>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</si>
  <si>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</si>
  <si>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</si>
  <si>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</si>
  <si>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</si>
  <si>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</si>
  <si>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</si>
  <si>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</si>
  <si>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</si>
  <si>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</si>
  <si>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</si>
  <si>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</si>
  <si>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</si>
  <si>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</si>
  <si>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</si>
  <si>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</si>
  <si>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</si>
  <si>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</si>
  <si>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</si>
  <si>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</si>
  <si>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</si>
  <si>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</si>
  <si>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</si>
  <si>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</si>
  <si>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</si>
  <si>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</si>
  <si>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</si>
  <si>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</si>
  <si>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</si>
  <si>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</si>
  <si>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</si>
  <si>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</si>
  <si>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</si>
  <si>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</si>
  <si>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</si>
  <si>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</si>
  <si>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</si>
  <si>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</si>
  <si>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</si>
  <si>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</si>
  <si>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</si>
  <si>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</si>
  <si>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</si>
  <si>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</si>
  <si>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</si>
  <si>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</si>
  <si>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</si>
  <si>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</si>
  <si>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</si>
  <si>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</si>
  <si>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</si>
  <si>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</si>
  <si>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</si>
  <si>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</si>
  <si>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</si>
  <si>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</si>
  <si>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</si>
  <si>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</si>
  <si>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</si>
  <si>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</si>
  <si>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</si>
  <si>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</si>
  <si>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</si>
  <si>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</si>
  <si>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</si>
  <si>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</si>
  <si>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</si>
  <si>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</si>
  <si>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</si>
  <si>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</si>
  <si>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</si>
  <si>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</si>
  <si>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</si>
  <si>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</si>
  <si>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</si>
  <si>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</si>
  <si>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</si>
  <si>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</si>
  <si>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</si>
  <si>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</si>
  <si>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</si>
  <si>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</si>
  <si>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</si>
  <si>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</si>
  <si>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</si>
  <si>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</si>
  <si>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</si>
  <si>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</si>
  <si>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</si>
  <si>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</si>
  <si>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</si>
  <si>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</si>
  <si>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</si>
  <si>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</si>
  <si>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</si>
  <si>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</si>
  <si>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</si>
  <si>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</si>
  <si>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</si>
  <si>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</si>
  <si>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</si>
  <si>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</si>
  <si>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</si>
  <si>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</si>
  <si>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</si>
  <si>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</si>
  <si>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</si>
  <si>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</si>
  <si>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</si>
  <si>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</si>
  <si>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</si>
  <si>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</si>
  <si>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</si>
  <si>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</si>
  <si>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</si>
  <si>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</si>
  <si>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</si>
  <si>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</si>
  <si>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</si>
  <si>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</si>
  <si>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</si>
  <si>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</si>
  <si>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</si>
  <si>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</si>
  <si>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</si>
  <si>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</si>
  <si>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</si>
  <si>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</si>
  <si>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</si>
  <si>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</si>
  <si>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</si>
  <si>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</si>
  <si>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</si>
  <si>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</si>
  <si>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</si>
  <si>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</si>
  <si>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</si>
  <si>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</si>
  <si>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</si>
  <si>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</si>
  <si>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</si>
  <si>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</si>
  <si>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</si>
  <si>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</si>
  <si>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</si>
  <si>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</si>
  <si>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</si>
  <si>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</si>
  <si>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</si>
  <si>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</si>
  <si>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</si>
  <si>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</si>
  <si>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</si>
  <si>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</si>
  <si>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</si>
  <si>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</si>
  <si>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</si>
  <si>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</si>
  <si>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</si>
  <si>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</si>
  <si>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</si>
  <si>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</si>
  <si>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</si>
  <si>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</si>
  <si>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</si>
  <si>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</si>
  <si>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</si>
  <si>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</si>
  <si>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</si>
  <si>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</si>
  <si>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</si>
  <si>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</si>
  <si>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</si>
  <si>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</si>
  <si>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</si>
  <si>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</si>
  <si>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</si>
  <si>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</si>
  <si>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</si>
  <si>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</si>
  <si>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</si>
  <si>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</si>
  <si>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</si>
  <si>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</si>
  <si>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</si>
  <si>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</si>
  <si>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</si>
  <si>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</si>
  <si>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</si>
  <si>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</si>
  <si>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</si>
  <si>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</si>
  <si>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</si>
  <si>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</si>
  <si>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</si>
  <si>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</si>
  <si>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</si>
  <si>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</si>
  <si>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</si>
  <si>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</si>
  <si>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</si>
  <si>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</si>
  <si>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</si>
  <si>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</si>
  <si>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</si>
  <si>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</si>
  <si>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</si>
  <si>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</si>
  <si>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</si>
  <si>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</si>
  <si>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</si>
  <si>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</si>
  <si>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</si>
  <si>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</si>
  <si>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</si>
  <si>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</si>
  <si>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</si>
  <si>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</si>
  <si>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</si>
  <si>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</si>
  <si>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</si>
  <si>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</si>
  <si>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</si>
  <si>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</si>
  <si>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</si>
  <si>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</si>
  <si>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</si>
  <si>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</si>
  <si>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</si>
  <si>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</si>
  <si>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</si>
  <si>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</si>
  <si>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</si>
  <si>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</si>
  <si>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</si>
  <si>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</si>
  <si>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</si>
  <si>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</si>
  <si>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</si>
  <si>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</si>
  <si>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</si>
  <si>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</si>
  <si>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</si>
  <si>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</si>
  <si>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</si>
  <si>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</si>
  <si>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</si>
  <si>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</si>
  <si>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</si>
  <si>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</si>
  <si>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</si>
  <si>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</si>
  <si>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</si>
  <si>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</si>
  <si>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</si>
  <si>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</si>
  <si>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</si>
  <si>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</si>
  <si>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</si>
  <si>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</si>
  <si>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</si>
  <si>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</si>
  <si>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</si>
  <si>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</si>
  <si>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</si>
  <si>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</si>
  <si>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</si>
  <si>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</si>
  <si>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</si>
  <si>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</si>
  <si>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</si>
  <si>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</si>
  <si>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</si>
  <si>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</si>
  <si>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</si>
  <si>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</si>
  <si>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</si>
  <si>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</si>
  <si>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</si>
  <si>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</si>
  <si>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</si>
  <si>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</si>
  <si>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</si>
  <si>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</si>
  <si>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</si>
  <si>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</si>
  <si>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</si>
  <si>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</si>
  <si>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</si>
  <si>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</si>
  <si>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</si>
  <si>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</si>
  <si>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</si>
  <si>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</si>
  <si>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</si>
  <si>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</si>
  <si>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</si>
  <si>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</si>
  <si>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</si>
  <si>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</si>
  <si>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</si>
  <si>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</si>
  <si>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</si>
  <si>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</si>
  <si>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</si>
  <si>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</si>
  <si>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</si>
  <si>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</si>
  <si>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</si>
  <si>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</si>
  <si>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</si>
  <si>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</si>
  <si>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</si>
  <si>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</si>
  <si>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</si>
  <si>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</si>
  <si>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</si>
  <si>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</si>
  <si>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</si>
  <si>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</si>
  <si>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</si>
  <si>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</si>
  <si>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</si>
  <si>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</si>
  <si>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</si>
  <si>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</si>
  <si>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</si>
  <si>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</si>
  <si>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</si>
  <si>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</si>
  <si>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</si>
  <si>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</si>
  <si>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</si>
  <si>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</si>
  <si>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</si>
  <si>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</si>
  <si>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</si>
  <si>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</si>
  <si>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</si>
  <si>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</si>
  <si>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</si>
  <si>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</si>
  <si>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</si>
  <si>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</si>
  <si>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</si>
  <si>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</si>
  <si>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</si>
  <si>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</si>
  <si>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</si>
  <si>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</si>
  <si>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</si>
  <si>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</si>
  <si>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</si>
  <si>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</si>
  <si>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</si>
  <si>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</si>
  <si>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</si>
  <si>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</si>
  <si>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</si>
  <si>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</si>
  <si>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</si>
  <si>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</si>
  <si>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</si>
  <si>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</si>
  <si>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</si>
  <si>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</si>
  <si>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</si>
  <si>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</si>
  <si>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</si>
  <si>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</si>
  <si>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</si>
  <si>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</si>
  <si>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</si>
  <si>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</si>
  <si>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</si>
  <si>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</si>
  <si>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</si>
  <si>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</si>
  <si>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</si>
  <si>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</si>
  <si>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</si>
  <si>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</si>
  <si>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</si>
  <si>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</si>
  <si>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</si>
  <si>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</si>
  <si>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</si>
  <si>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</si>
  <si>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</si>
  <si>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</si>
  <si>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</si>
  <si>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</si>
  <si>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</si>
  <si>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</si>
  <si>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</si>
  <si>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</si>
  <si>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</si>
  <si>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</si>
  <si>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</si>
  <si>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</si>
  <si>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</si>
  <si>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</si>
  <si>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</si>
  <si>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</si>
  <si>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</si>
  <si>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</si>
  <si>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</si>
  <si>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</si>
  <si>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</si>
  <si>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</si>
  <si>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</si>
  <si>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</si>
  <si>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</si>
  <si>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</si>
  <si>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</si>
  <si>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</si>
  <si>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</si>
  <si>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</si>
  <si>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</si>
  <si>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</si>
  <si>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</si>
  <si>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</si>
  <si>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</si>
  <si>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</si>
  <si>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</si>
  <si>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</si>
  <si>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</si>
  <si>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</si>
  <si>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</si>
  <si>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</si>
  <si>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</si>
  <si>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</si>
  <si>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</si>
  <si>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</si>
  <si>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</si>
  <si>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</si>
  <si>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</si>
  <si>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</si>
  <si>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</si>
  <si>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</si>
  <si>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</si>
  <si>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</si>
  <si>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</si>
  <si>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</si>
  <si>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</si>
  <si>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</si>
  <si>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</si>
  <si>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</si>
  <si>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</si>
  <si>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</si>
  <si>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</si>
  <si>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</si>
  <si>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</si>
  <si>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</si>
  <si>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</si>
  <si>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</si>
  <si>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</si>
  <si>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</si>
  <si>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</si>
  <si>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</si>
  <si>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</si>
  <si>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</si>
  <si>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</si>
  <si>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</si>
  <si>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</si>
  <si>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</si>
  <si>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</si>
  <si>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</si>
  <si>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</si>
  <si>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</si>
  <si>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</si>
  <si>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</si>
  <si>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</si>
  <si>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</si>
  <si>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</si>
  <si>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</si>
  <si>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</si>
  <si>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</si>
  <si>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</si>
  <si>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</si>
  <si>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</si>
  <si>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</si>
  <si>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</si>
  <si>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</si>
  <si>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</si>
  <si>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</si>
  <si>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</si>
  <si>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</si>
  <si>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</si>
  <si>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</si>
  <si>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</si>
  <si>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</si>
  <si>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</si>
  <si>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</si>
  <si>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</si>
  <si>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</si>
  <si>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</si>
  <si>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</si>
  <si>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</si>
  <si>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</si>
  <si>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</si>
  <si>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</si>
  <si>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</si>
  <si>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</si>
  <si>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</si>
  <si>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</si>
  <si>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</si>
  <si>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</si>
  <si>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</si>
  <si>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</si>
  <si>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</si>
  <si>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</si>
  <si>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</si>
  <si>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</si>
  <si>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</si>
  <si>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</si>
  <si>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</si>
  <si>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</si>
  <si>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</si>
  <si>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</si>
  <si>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</si>
  <si>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</si>
  <si>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</si>
  <si>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</si>
  <si>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</si>
  <si>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</si>
  <si>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</si>
  <si>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</si>
  <si>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</si>
  <si>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</si>
  <si>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</si>
  <si>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</si>
  <si>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</si>
  <si>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</si>
  <si>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</si>
  <si>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</si>
  <si>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</si>
  <si>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</si>
  <si>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</si>
  <si>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</si>
  <si>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</si>
  <si>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</si>
  <si>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</si>
  <si>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</si>
  <si>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</si>
  <si>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</si>
  <si>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</si>
  <si>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</si>
  <si>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</si>
  <si>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</si>
  <si>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</si>
  <si>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</si>
  <si>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</si>
  <si>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</si>
  <si>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</si>
  <si>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</si>
  <si>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</si>
  <si>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</si>
  <si>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</si>
  <si>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</si>
  <si>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</si>
  <si>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</si>
  <si>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</si>
  <si>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</si>
  <si>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</si>
  <si>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</si>
  <si>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</si>
  <si>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</si>
  <si>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</si>
  <si>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</si>
  <si>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</si>
  <si>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</si>
  <si>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</si>
  <si>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</si>
  <si>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</si>
  <si>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</si>
  <si>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</si>
  <si>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</si>
  <si>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</si>
  <si>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</si>
  <si>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</si>
  <si>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</si>
  <si>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</si>
  <si>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</si>
  <si>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</si>
  <si>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</si>
  <si>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</si>
  <si>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</si>
  <si>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</si>
  <si>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</si>
  <si>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</si>
  <si>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</si>
  <si>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</si>
  <si>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</si>
  <si>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</si>
  <si>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</si>
  <si>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</si>
  <si>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</si>
  <si>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</si>
  <si>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</si>
  <si>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</si>
  <si>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</si>
  <si>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</si>
  <si>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</si>
  <si>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</si>
  <si>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</si>
  <si>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</si>
  <si>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</si>
  <si>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</si>
  <si>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</si>
  <si>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</si>
  <si>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</si>
  <si>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</si>
  <si>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</si>
  <si>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</si>
  <si>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</si>
  <si>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</si>
  <si>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</si>
  <si>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</si>
  <si>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</si>
  <si>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</si>
  <si>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</si>
  <si>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</si>
  <si>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</si>
  <si>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</si>
  <si>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</si>
  <si>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</si>
  <si>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</si>
  <si>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</si>
  <si>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</si>
  <si>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</si>
  <si>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</si>
  <si>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</si>
  <si>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</si>
  <si>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</si>
  <si>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</si>
  <si>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</si>
  <si>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</si>
  <si>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</si>
  <si>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</si>
  <si>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</si>
  <si>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</si>
  <si>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</si>
  <si>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</si>
  <si>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</si>
  <si>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</si>
  <si>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</si>
  <si>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</si>
  <si>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</si>
  <si>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</si>
  <si>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</si>
  <si>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</si>
  <si>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</si>
  <si>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</si>
  <si>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</si>
  <si>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</si>
  <si>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</si>
  <si>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</si>
  <si>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</si>
  <si>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</si>
  <si>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</si>
  <si>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</si>
  <si>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</si>
  <si>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</si>
  <si>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</si>
  <si>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</si>
  <si>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</si>
  <si>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</si>
  <si>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</si>
  <si>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</si>
  <si>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</si>
  <si>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</si>
  <si>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</si>
  <si>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</si>
  <si>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</si>
  <si>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</si>
  <si>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</si>
  <si>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</si>
  <si>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</si>
  <si>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</si>
  <si>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</si>
  <si>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</si>
  <si>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</si>
  <si>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</si>
  <si>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</si>
  <si>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</si>
  <si>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</si>
  <si>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</si>
  <si>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</si>
  <si>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</si>
  <si>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</si>
  <si>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</si>
  <si>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</si>
  <si>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</si>
  <si>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</si>
  <si>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</si>
  <si>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</si>
  <si>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</si>
  <si>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</si>
  <si>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</si>
  <si>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</si>
  <si>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</si>
  <si>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</si>
  <si>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</si>
  <si>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</si>
  <si>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</si>
  <si>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</si>
  <si>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</si>
  <si>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</si>
  <si>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</si>
  <si>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</si>
  <si>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</si>
  <si>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</si>
  <si>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</si>
  <si>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</si>
  <si>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</si>
  <si>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</si>
  <si>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</si>
  <si>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</si>
  <si>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</si>
  <si>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</si>
  <si>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</si>
  <si>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</si>
  <si>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</si>
  <si>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</si>
  <si>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</si>
  <si>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</si>
  <si>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</si>
  <si>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</si>
  <si>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</si>
  <si>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</si>
  <si>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</si>
  <si>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</si>
  <si>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</si>
  <si>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</si>
  <si>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</si>
  <si>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</si>
  <si>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</si>
  <si>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</si>
  <si>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</si>
  <si>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</si>
  <si>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</si>
  <si>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</si>
  <si>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</si>
  <si>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</si>
  <si>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</si>
  <si>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</si>
  <si>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</si>
  <si>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</si>
  <si>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</si>
  <si>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</si>
  <si>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</si>
  <si>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</si>
  <si>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</si>
  <si>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</si>
  <si>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</si>
  <si>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</si>
  <si>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</si>
  <si>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</si>
  <si>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</si>
  <si>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</si>
  <si>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</si>
  <si>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</si>
  <si>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</si>
  <si>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</si>
  <si>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</si>
  <si>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</si>
  <si>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</si>
  <si>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</si>
  <si>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</si>
  <si>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</si>
  <si>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</si>
  <si>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</si>
  <si>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</si>
  <si>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</si>
  <si>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</si>
  <si>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</si>
  <si>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</si>
  <si>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</si>
  <si>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</si>
  <si>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</si>
  <si>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</si>
  <si>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</si>
  <si>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</si>
  <si>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</si>
  <si>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</si>
  <si>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</si>
  <si>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</si>
  <si>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</si>
  <si>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</si>
  <si>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</si>
  <si>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</si>
  <si>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</si>
  <si>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</si>
  <si>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</si>
  <si>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</si>
  <si>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</si>
  <si>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</si>
  <si>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</si>
  <si>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</si>
  <si>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</si>
  <si>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</si>
  <si>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</si>
  <si>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</si>
  <si>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</si>
  <si>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</si>
  <si>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</si>
  <si>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</si>
  <si>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</si>
  <si>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</si>
  <si>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</si>
  <si>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</si>
  <si>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</si>
  <si>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</si>
  <si>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</si>
  <si>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</si>
  <si>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</si>
  <si>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</si>
  <si>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</si>
  <si>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</si>
  <si>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</si>
  <si>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</si>
  <si>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</si>
  <si>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</si>
  <si>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</si>
  <si>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</si>
  <si>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</si>
  <si>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</si>
  <si>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</si>
  <si>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</si>
  <si>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</si>
  <si>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</si>
  <si>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</si>
  <si>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</si>
  <si>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</si>
  <si>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</si>
  <si>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</si>
  <si>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</si>
  <si>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</si>
  <si>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</si>
  <si>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</si>
  <si>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</si>
  <si>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</si>
  <si>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</si>
  <si>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</si>
  <si>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</si>
  <si>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</si>
  <si>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</si>
  <si>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</si>
  <si>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</si>
  <si>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</si>
  <si>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</si>
  <si>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</si>
  <si>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</si>
  <si>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</si>
  <si>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</si>
  <si>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</si>
  <si>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</si>
  <si>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</si>
  <si>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</si>
  <si>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</si>
  <si>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</si>
  <si>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</si>
  <si>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</si>
  <si>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</si>
  <si>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</si>
  <si>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</si>
  <si>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</si>
  <si>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</si>
  <si>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</si>
  <si>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</si>
  <si>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</si>
  <si>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</si>
  <si>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</si>
  <si>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</si>
  <si>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</si>
  <si>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</si>
  <si>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</si>
  <si>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</si>
  <si>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</si>
  <si>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</si>
  <si>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</si>
  <si>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</si>
  <si>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</si>
  <si>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</si>
  <si>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</si>
  <si>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</si>
  <si>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</si>
  <si>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</si>
  <si>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</si>
  <si>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</si>
  <si>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</si>
  <si>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</si>
  <si>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</si>
  <si>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</si>
  <si>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</si>
  <si>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</si>
  <si>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</si>
  <si>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</si>
  <si>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</si>
  <si>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</si>
  <si>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</si>
  <si>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</si>
  <si>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</si>
  <si>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</si>
  <si>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</si>
  <si>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</si>
  <si>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</si>
  <si>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</si>
  <si>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</si>
  <si>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</si>
  <si>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</si>
  <si>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</si>
  <si>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</si>
  <si>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</si>
  <si>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</si>
  <si>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</si>
  <si>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</si>
  <si>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</si>
  <si>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</si>
  <si>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</si>
  <si>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</si>
  <si>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</si>
  <si>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</si>
  <si>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</si>
  <si>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</si>
  <si>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</si>
  <si>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</si>
  <si>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</si>
  <si>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</si>
  <si>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</si>
  <si>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</si>
  <si>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</si>
  <si>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</si>
  <si>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</si>
  <si>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</si>
  <si>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</si>
  <si>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</si>
  <si>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</si>
  <si>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</si>
  <si>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</si>
  <si>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</si>
  <si>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</si>
  <si>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</si>
  <si>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</si>
  <si>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</si>
  <si>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</si>
  <si>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</si>
  <si>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</si>
  <si>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</si>
  <si>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</si>
  <si>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</si>
  <si>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</si>
  <si>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</si>
  <si>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</si>
  <si>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</si>
  <si>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</si>
  <si>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</si>
  <si>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</si>
  <si>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</si>
  <si>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</si>
  <si>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</si>
  <si>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</si>
  <si>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</si>
  <si>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</si>
  <si>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</si>
  <si>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</si>
  <si>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</si>
  <si>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</si>
  <si>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</si>
  <si>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</si>
  <si>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</si>
  <si>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</si>
  <si>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</si>
  <si>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</si>
  <si>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</si>
  <si>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</si>
  <si>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</si>
  <si>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</si>
  <si>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</si>
  <si>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</si>
  <si>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</si>
  <si>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</si>
  <si>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</si>
  <si>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</si>
  <si>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</si>
  <si>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</si>
  <si>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</si>
  <si>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</si>
  <si>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</si>
  <si>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</si>
  <si>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</si>
  <si>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</si>
  <si>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</si>
  <si>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</si>
  <si>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</si>
  <si>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</si>
  <si>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</si>
  <si>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</si>
  <si>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</si>
  <si>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</si>
  <si>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</si>
  <si>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</si>
  <si>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</si>
  <si>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</si>
  <si>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</si>
  <si>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</si>
  <si>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</si>
  <si>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</si>
  <si>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</si>
  <si>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</si>
  <si>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</si>
  <si>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</si>
  <si>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</si>
  <si>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</si>
  <si>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</si>
  <si>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</si>
  <si>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</si>
  <si>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</si>
  <si>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</si>
  <si>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</si>
  <si>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</si>
  <si>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</si>
  <si>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</si>
  <si>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</si>
  <si>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</si>
  <si>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</si>
  <si>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</si>
  <si>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</si>
  <si>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</si>
  <si>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</si>
  <si>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</si>
  <si>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</si>
  <si>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</si>
  <si>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</si>
  <si>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</si>
  <si>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</si>
  <si>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</si>
  <si>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</si>
  <si>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</si>
  <si>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</si>
  <si>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</si>
  <si>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</si>
  <si>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</si>
  <si>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</si>
  <si>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</si>
  <si>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</si>
  <si>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</si>
  <si>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</si>
  <si>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</si>
  <si>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</si>
  <si>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</si>
  <si>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</si>
  <si>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</si>
  <si>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</si>
  <si>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</si>
  <si>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</si>
  <si>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</si>
  <si>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</si>
  <si>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</si>
  <si>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</si>
  <si>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</si>
  <si>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</si>
  <si>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</si>
  <si>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</si>
  <si>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</si>
  <si>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</si>
  <si>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</si>
  <si>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</si>
  <si>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</si>
  <si>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</si>
  <si>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</si>
  <si>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</si>
  <si>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</si>
  <si>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</si>
  <si>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</si>
  <si>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</si>
  <si>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</si>
  <si>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</si>
  <si>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</si>
  <si>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</si>
  <si>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</si>
  <si>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</si>
  <si>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</si>
  <si>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</si>
  <si>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</si>
  <si>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</si>
  <si>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</si>
  <si>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</si>
  <si>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</si>
  <si>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</si>
  <si>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</si>
  <si>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</si>
  <si>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</si>
  <si>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</si>
  <si>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</si>
  <si>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</si>
  <si>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</si>
  <si>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</si>
  <si>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</si>
  <si>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</si>
  <si>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</si>
  <si>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</si>
  <si>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</si>
  <si>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</si>
  <si>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</si>
  <si>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</si>
  <si>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</si>
  <si>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</si>
  <si>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</si>
  <si>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</si>
  <si>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</si>
  <si>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</si>
  <si>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</si>
  <si>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</si>
  <si>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</si>
  <si>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</si>
  <si>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</si>
  <si>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</si>
  <si>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</si>
  <si>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</si>
  <si>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</si>
  <si>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</si>
  <si>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</si>
  <si>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</si>
  <si>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</si>
  <si>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</si>
  <si>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</si>
  <si>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</si>
  <si>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</si>
  <si>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</si>
  <si>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</si>
  <si>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</si>
  <si>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</si>
  <si>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</si>
  <si>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</si>
  <si>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</si>
  <si>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</si>
  <si>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</si>
  <si>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</si>
  <si>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</si>
  <si>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</si>
  <si>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</si>
  <si>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</si>
  <si>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</si>
  <si>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</si>
  <si>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</si>
  <si>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</si>
  <si>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</si>
  <si>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</si>
  <si>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</si>
  <si>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</si>
  <si>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</si>
  <si>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</si>
  <si>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</si>
  <si>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</si>
  <si>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</si>
  <si>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</si>
  <si>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</si>
  <si>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</si>
  <si>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</si>
  <si>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</si>
  <si>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</si>
  <si>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</si>
  <si>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</si>
  <si>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</si>
  <si>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</si>
  <si>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</si>
  <si>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</si>
  <si>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</si>
  <si>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</si>
  <si>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</si>
  <si>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</si>
  <si>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</si>
  <si>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</si>
  <si>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</si>
  <si>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</si>
  <si>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</si>
  <si>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</si>
  <si>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</si>
  <si>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</si>
  <si>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</si>
  <si>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</si>
  <si>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</si>
  <si>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</si>
  <si>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</si>
  <si>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</si>
  <si>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</si>
  <si>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</si>
  <si>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</si>
  <si>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</si>
  <si>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</si>
  <si>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</si>
  <si>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</si>
  <si>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</si>
  <si>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</si>
  <si>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</si>
  <si>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</si>
  <si>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</si>
  <si>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</si>
  <si>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</si>
  <si>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</si>
  <si>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</si>
  <si>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</si>
  <si>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</si>
  <si>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</si>
  <si>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</si>
  <si>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</si>
  <si>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</si>
  <si>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</si>
  <si>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</si>
  <si>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</si>
  <si>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</si>
  <si>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</si>
  <si>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</si>
  <si>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</si>
  <si>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</si>
  <si>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</si>
  <si>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</si>
  <si>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</si>
  <si>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</si>
  <si>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</si>
  <si>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</si>
  <si>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</si>
  <si>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</si>
  <si>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</si>
  <si>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</si>
  <si>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</si>
  <si>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</si>
  <si>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</si>
  <si>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</si>
  <si>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</si>
  <si>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</si>
  <si>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</si>
  <si>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</si>
  <si>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</si>
  <si>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</si>
  <si>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</si>
  <si>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</si>
  <si>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</si>
  <si>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</si>
  <si>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</si>
  <si>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</si>
  <si>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</si>
  <si>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</si>
  <si>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</si>
  <si>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</si>
  <si>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</si>
  <si>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</si>
  <si>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</si>
  <si>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</si>
  <si>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</si>
  <si>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</si>
  <si>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</si>
  <si>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</si>
  <si>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</si>
  <si>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</si>
  <si>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</si>
  <si>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</si>
  <si>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</si>
  <si>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</si>
  <si>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</si>
  <si>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</si>
  <si>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</si>
  <si>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</si>
  <si>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</si>
  <si>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</si>
  <si>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</si>
  <si>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</si>
  <si>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</si>
  <si>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</si>
  <si>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</si>
  <si>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</si>
  <si>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</si>
  <si>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</si>
  <si>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</si>
  <si>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</si>
  <si>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</si>
  <si>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</si>
  <si>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</si>
  <si>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</si>
  <si>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</si>
  <si>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</si>
  <si>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</si>
  <si>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</si>
  <si>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</si>
  <si>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</si>
  <si>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</si>
  <si>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</si>
  <si>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</si>
  <si>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</si>
  <si>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</si>
  <si>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</si>
  <si>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</si>
  <si>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</si>
  <si>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</si>
  <si>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</si>
  <si>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</si>
  <si>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</si>
  <si>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</si>
  <si>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</si>
  <si>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</si>
  <si>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</si>
  <si>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</si>
  <si>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</si>
  <si>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</si>
  <si>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</si>
  <si>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</si>
  <si>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</si>
  <si>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</si>
  <si>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</si>
  <si>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</si>
  <si>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</si>
  <si>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</si>
  <si>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</si>
  <si>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</si>
  <si>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</si>
  <si>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</si>
  <si>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</si>
  <si>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</si>
  <si>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</si>
  <si>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</si>
  <si>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商业项目</t>
  </si>
  <si>
    <t>现房</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</si>
  <si>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</si>
  <si>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t>是</t>
  </si>
  <si>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</si>
  <si>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</si>
  <si>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</si>
  <si>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</si>
  <si>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</si>
  <si>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成新度</t>
  </si>
  <si>
    <t>直线</t>
    <phoneticPr fontId="3" type="noConversion"/>
  </si>
  <si>
    <t>观察</t>
    <phoneticPr fontId="3" type="noConversion"/>
  </si>
  <si>
    <t>收益法</t>
  </si>
  <si>
    <t>商务金融用地</t>
  </si>
  <si>
    <t>自定义容积率</t>
  </si>
  <si>
    <t>不临65条商业街</t>
  </si>
  <si>
    <t>与级别开发程度不一致</t>
  </si>
  <si>
    <t>通路</t>
  </si>
  <si>
    <t>通电</t>
  </si>
  <si>
    <t>通讯</t>
  </si>
  <si>
    <t>通上水</t>
  </si>
  <si>
    <t>通下水</t>
  </si>
  <si>
    <t>平整</t>
  </si>
  <si>
    <t>燃气</t>
  </si>
  <si>
    <t>较好</t>
  </si>
  <si>
    <t>一般</t>
  </si>
  <si>
    <t>较差</t>
  </si>
  <si>
    <t>好</t>
  </si>
  <si>
    <t>未包含在土地购买价格中</t>
  </si>
  <si>
    <t>全部缴纳</t>
  </si>
  <si>
    <t>已包含在土地取得成本中</t>
  </si>
  <si>
    <t>2024-3</t>
    <phoneticPr fontId="3" type="noConversion"/>
  </si>
  <si>
    <t>押一</t>
  </si>
  <si>
    <t>钢混</t>
  </si>
  <si>
    <t>非生产用房</t>
  </si>
  <si>
    <t>否</t>
  </si>
  <si>
    <t>成本法</t>
  </si>
  <si>
    <t>总价</t>
  </si>
  <si>
    <t>成本比率</t>
  </si>
  <si>
    <t>买卖合同</t>
  </si>
  <si>
    <t>2016年5月1日后购买</t>
  </si>
  <si>
    <t>情况4</t>
  </si>
  <si>
    <t>正常</t>
  </si>
  <si>
    <t>转让取得</t>
  </si>
  <si>
    <t>非个人房产</t>
  </si>
  <si>
    <r>
      <t>2022</t>
    </r>
    <r>
      <rPr>
        <sz val="10"/>
        <color indexed="8"/>
        <rFont val="宋体"/>
        <family val="3"/>
        <charset val="134"/>
      </rPr>
      <t>年</t>
    </r>
    <phoneticPr fontId="8"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</si>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</sst>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13" fillId="5" borderId="1" xfId="0"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6"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估价对象为北京市房地产，为所有。根据《国有土地使用证》[]，估价对象（分摊）出让国有建设用地使用权面积为0平方米，建筑面积为6221.16平方米。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估价对象为北京市房地产,属开发建设的商业项目，该项目尚在开发建设中。根据《国有土地使用证》[]，估价对象（分摊）出让国有建设用地使用权面积为0平方米，规划建筑面积为6221.16平方米。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2024年7月2日</v>
      </c>
    </row>
    <row r="13" spans="1:2" s="1203" customFormat="1">
      <c r="A13" s="1201" t="s">
        <v>529</v>
      </c>
      <c r="B13" s="1202"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24274</v>
      </c>
    </row>
    <row r="21" spans="1:2" s="1203" customFormat="1">
      <c r="A21" s="1201" t="s">
        <v>537</v>
      </c>
      <c r="B21" s="1202">
        <f ca="1">'预评函-2'!D7</f>
        <v>39018</v>
      </c>
    </row>
    <row r="22" spans="1:2" s="1203" customFormat="1">
      <c r="A22" s="1201" t="s">
        <v>538</v>
      </c>
      <c r="B22" s="1202" t="str">
        <f ca="1">'预评函-2'!D6</f>
        <v>贰亿肆仟贰佰柒拾肆万元整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24274</v>
      </c>
    </row>
    <row r="31" spans="1:2" s="1203" customFormat="1">
      <c r="A31" s="1201" t="s">
        <v>576</v>
      </c>
      <c r="B31" s="1202">
        <f ca="1">'预评函-2'!D15</f>
        <v>39018</v>
      </c>
    </row>
    <row r="32" spans="1:2" s="1203" customFormat="1">
      <c r="A32" s="1201" t="s">
        <v>543</v>
      </c>
      <c r="B32" s="1202" t="str">
        <f ca="1">'预评函-2'!D14</f>
        <v>贰亿肆仟贰佰柒拾肆万元整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24262</v>
      </c>
    </row>
    <row r="39" spans="1:2" s="1203" customFormat="1">
      <c r="A39" s="1201" t="s">
        <v>545</v>
      </c>
      <c r="B39" s="1202">
        <f ca="1">'预评函-2'!D21</f>
        <v>38999</v>
      </c>
    </row>
    <row r="40" spans="1:2" s="1203" customFormat="1">
      <c r="A40" s="1201" t="s">
        <v>546</v>
      </c>
      <c r="B40" s="1202" t="str">
        <f ca="1">'预评函-2'!D20</f>
        <v>贰亿肆仟贰佰陆拾贰万元整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6221.16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21313</v>
      </c>
    </row>
    <row r="48" spans="1:2" s="1203" customFormat="1">
      <c r="A48" s="1201" t="s">
        <v>549</v>
      </c>
      <c r="B48" s="1202">
        <f ca="1">'预评函-3'!E4</f>
        <v>34258</v>
      </c>
    </row>
    <row r="49" spans="1:2" s="1203" customFormat="1">
      <c r="A49" s="1201" t="s">
        <v>550</v>
      </c>
      <c r="B49" s="1202" t="str">
        <f ca="1">'预评函-3'!D5</f>
        <v>贰亿壹仟叁佰壹拾叁万元整</v>
      </c>
    </row>
    <row r="50" spans="1:2" s="1203" customFormat="1">
      <c r="A50" s="1201" t="s">
        <v>574</v>
      </c>
      <c r="B50" s="1202" t="str">
        <f>'预评函-3'!F2</f>
        <v>在建建筑物价值</v>
      </c>
    </row>
    <row r="51" spans="1:2" s="1203" customFormat="1">
      <c r="A51" s="1201" t="s">
        <v>551</v>
      </c>
      <c r="B51" s="1202">
        <f ca="1">'预评函-3'!F4</f>
        <v>2961</v>
      </c>
    </row>
    <row r="52" spans="1:2" s="1203" customFormat="1">
      <c r="A52" s="1201" t="s">
        <v>552</v>
      </c>
      <c r="B52" s="1202">
        <f ca="1">'预评函-3'!G4</f>
        <v>4760</v>
      </c>
    </row>
    <row r="53" spans="1:2" s="1203" customFormat="1">
      <c r="A53" s="1201" t="s">
        <v>580</v>
      </c>
      <c r="B53" s="1202" t="str">
        <f ca="1">'预评函-3'!F5</f>
        <v>贰仟玖佰陆拾壹万元整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45475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2.46</v>
      </c>
      <c r="D5" s="3025">
        <f>IF(ISERROR(ROUND(POWER(1+E5,A5-C5)*(POWER(1+E5,C5)-1)/(POWER(1+E5,A5)-1),3)),0,ROUND(POWER(1+E5,A5-C5)*(POWER(1+E5,C5)-1)/(POWER(1+E5,A5)-1),4))</f>
        <v>0.1162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12.47</v>
      </c>
      <c r="D6" s="3025">
        <f>IF(ISERROR(ROUND(POWER(1+E6,A6-C6)*(POWER(1+E6,C6)-1)/(POWER(1+E6,A6)-1),3)),0,ROUND(POWER(1+E6,A6-C6)*(POWER(1+E6,C6)-1)/(POWER(1+E6,A6)-1),4))</f>
        <v>0.45019999999999999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32.479999999999997</v>
      </c>
      <c r="D7" s="3025">
        <f>IF(ISERROR(ROUND(POWER(1+E7,A7-C7)*(POWER(1+E7,C7)-1)/(POWER(1+E7,A7)-1),3)),0,ROUND(POWER(1+E7,A7-C7)*(POWER(1+E7,C7)-1)/(POWER(1+E7,A7)-1),4))</f>
        <v>0.76970000000000005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9" sqref="L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8"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9"/>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52052</v>
      </c>
      <c r="E13" s="856">
        <v>55704</v>
      </c>
      <c r="F13" s="856"/>
      <c r="G13" s="856"/>
      <c r="H13" s="856"/>
      <c r="I13" s="856"/>
      <c r="J13" s="3062"/>
      <c r="K13" s="2613"/>
      <c r="L13" s="2613"/>
      <c r="M13" s="2439"/>
      <c r="N13" s="2450"/>
      <c r="O13" s="2439"/>
      <c r="P13" s="2439"/>
      <c r="Q13" s="2439"/>
      <c r="AD13" s="1745"/>
    </row>
    <row r="14" spans="1:30">
      <c r="A14" s="1081"/>
      <c r="B14" s="2407" t="s">
        <v>2191</v>
      </c>
      <c r="C14" s="2408"/>
      <c r="D14" s="2408">
        <v>50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18.010000000000002</v>
      </c>
      <c r="E15" s="2410">
        <f>IF(A13="出让",IF(E13="","",ROUNDDOWN(MIN((E13-$D$3)/365,E14),2)),E14)</f>
        <v>28.02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6221.16</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t="s">
        <v>3387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251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6221.16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6221.16</v>
      </c>
      <c r="H5" s="13">
        <f t="shared" ref="H5:AT5" si="0">SUM(H13:H656)</f>
        <v>6221.16</v>
      </c>
      <c r="I5" s="13">
        <f t="shared" si="0"/>
        <v>6221.16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6221.16</v>
      </c>
      <c r="BA5" s="15">
        <f t="shared" si="1"/>
        <v>6221.16</v>
      </c>
      <c r="BB5" s="15">
        <f t="shared" si="1"/>
        <v>6221.16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3389</v>
      </c>
      <c r="D13" s="1625" t="s">
        <v>3390</v>
      </c>
      <c r="E13" s="13">
        <f>IF($C$3="是",ROUND($A$3*G13/$B$3,2),ROUND($A$3*(G13-AT13)/$B$3,2))</f>
        <v>0</v>
      </c>
      <c r="F13" s="29"/>
      <c r="G13" s="30">
        <f>H13+AC13+AT13</f>
        <v>1305.9100000000001</v>
      </c>
      <c r="H13" s="17">
        <f>SUMIF(I$12:AB$12,"总值",I13:AB13)</f>
        <v>1305.9100000000001</v>
      </c>
      <c r="I13" s="1626">
        <v>1305.9100000000001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A座2层</v>
      </c>
      <c r="AY13" s="1349">
        <f>ROUND($AY$6*AZ13/$AZ$5,2)</f>
        <v>0</v>
      </c>
      <c r="AZ13" s="13">
        <f>BA13+BL13</f>
        <v>1305.9100000000001</v>
      </c>
      <c r="BA13" s="13">
        <f>SUM(BB13:BK13)</f>
        <v>1305.9100000000001</v>
      </c>
      <c r="BB13" s="13">
        <f>IF($D13="是",I13-J13,0)</f>
        <v>1305.9100000000001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3391</v>
      </c>
      <c r="D14" s="1625" t="s">
        <v>3390</v>
      </c>
      <c r="E14" s="13">
        <f>IF($C$3="是",ROUND($A$3*G14/$B$3,2),ROUND($A$3*(G14-AT14)/$B$3,2))</f>
        <v>0</v>
      </c>
      <c r="F14" s="29"/>
      <c r="G14" s="30">
        <f>H14+AC14+AT14</f>
        <v>2662.38</v>
      </c>
      <c r="H14" s="17">
        <f>SUMIF(I$12:AB$12,"总值",I14:AB14)</f>
        <v>2662.38</v>
      </c>
      <c r="I14" s="1626">
        <v>2662.38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B座2层</v>
      </c>
      <c r="AY14" s="1349">
        <f>ROUND($AY$6*AZ14/$AZ$5,2)</f>
        <v>0</v>
      </c>
      <c r="AZ14" s="13">
        <f>BA14+BL14</f>
        <v>2662.38</v>
      </c>
      <c r="BA14" s="13">
        <f>SUM(BB14:BK14)</f>
        <v>2662.38</v>
      </c>
      <c r="BB14" s="13">
        <f>IF($D14="是",I14-J14,0)</f>
        <v>2662.38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3392</v>
      </c>
      <c r="D15" s="1625" t="s">
        <v>3390</v>
      </c>
      <c r="E15" s="13">
        <f>IF($C$3="是",ROUND($A$3*G15/$B$3,2),ROUND($A$3*(G15-AT15)/$B$3,2))</f>
        <v>0</v>
      </c>
      <c r="F15" s="29"/>
      <c r="G15" s="30">
        <f>H15+AC15+AT15</f>
        <v>2252.87</v>
      </c>
      <c r="H15" s="17">
        <f>SUMIF(I$12:AB$12,"总值",I15:AB15)</f>
        <v>2252.87</v>
      </c>
      <c r="I15" s="1626">
        <v>2252.87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B座1层</v>
      </c>
      <c r="AY15" s="1349">
        <f>ROUND($AY$6*AZ15/$AZ$5,2)</f>
        <v>0</v>
      </c>
      <c r="AZ15" s="13">
        <f>BA15+BL15</f>
        <v>2252.87</v>
      </c>
      <c r="BA15" s="13">
        <f>SUM(BB15:BK15)</f>
        <v>2252.87</v>
      </c>
      <c r="BB15" s="13">
        <f>IF($D15="是",I15-J15,0)</f>
        <v>2252.87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6221.16</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6221.16</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6221.16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6221.16</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6221.16</v>
      </c>
      <c r="F19" s="2795">
        <f>'数据-基础表'!I5</f>
        <v>6221.16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6221.16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6221.16</v>
      </c>
      <c r="F27" s="1140">
        <f>IF(SUM(F19:F26)=E8,SUM(F19:F26),"地上面积有误")</f>
        <v>6221.16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6221.16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6221.16</v>
      </c>
      <c r="F31" s="677">
        <f>F27+F30</f>
        <v>6221.16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P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55704</v>
      </c>
      <c r="F6" s="64">
        <f>SUMIF(项目基本情况!C$12:I$12,C6,项目基本情况!C$15:I$15)</f>
        <v>28.02</v>
      </c>
      <c r="G6" s="65">
        <f>IF(ISERROR(ROUND(POWER(1+H6,D6-F6)*(POWER(1+H6,F6)-1)/(POWER(1+H6,D6)-1),3)),0,ROUND(POWER(1+H6,D6-F6)*(POWER(1+H6,F6)-1)/(POWER(1+H6,D6)-1),3))</f>
        <v>0.81599999999999995</v>
      </c>
      <c r="H6" s="732">
        <v>0.05</v>
      </c>
      <c r="I6" s="732">
        <v>5.5E-2</v>
      </c>
      <c r="J6" s="66">
        <v>7.4999999999999997E-2</v>
      </c>
      <c r="K6" s="1030">
        <f>SUMIF('数据-汇总表'!C$19:C$33,A6,'数据-汇总表'!E$19:E$33)</f>
        <v>6221.16</v>
      </c>
      <c r="L6" s="733">
        <v>4500</v>
      </c>
      <c r="M6" s="67">
        <f t="shared" ref="M6:M14" si="0">ROUND(K6*L6/10000,0)</f>
        <v>2800</v>
      </c>
      <c r="N6" s="731">
        <f>ROUND(N18*0.5+N19*0.5,2)</f>
        <v>0.79</v>
      </c>
      <c r="O6" s="67" t="str">
        <f>IF($N$5="成新度","——",ROUND(M6*N6,0))</f>
        <v>——</v>
      </c>
      <c r="P6" s="68" t="str">
        <f>IF($N$5="成新度","——",M6-O6)</f>
        <v>——</v>
      </c>
      <c r="Q6" s="3792">
        <v>0.2</v>
      </c>
      <c r="R6" s="69">
        <f ca="1">SUMIF('数据-汇总表'!C$19:C$33,A6,'数据-汇总表'!R$19:R$27)</f>
        <v>0</v>
      </c>
      <c r="S6" s="51">
        <f>IF('数据-汇总表'!$I$17="按面积比例",SUMIF('数据-汇总表'!C$19:C$33,A6,'数据-汇总表'!K$19:K$33),SUMIF('数据-汇总表'!C$19:C$33,A6,'数据-汇总表'!N$19:N$33))</f>
        <v>0</v>
      </c>
      <c r="T6" s="1172">
        <f>ROUND($L$14*S6/10000,0)</f>
        <v>0</v>
      </c>
      <c r="U6" s="3452">
        <v>6.5</v>
      </c>
      <c r="V6" s="70">
        <v>2.5000000000000001E-2</v>
      </c>
      <c r="W6" s="70">
        <v>0.1</v>
      </c>
      <c r="X6" s="1040"/>
      <c r="Y6" s="71">
        <f>N6</f>
        <v>0.79</v>
      </c>
      <c r="Z6" s="72"/>
      <c r="AA6" s="66"/>
      <c r="AB6" s="66"/>
      <c r="AC6" s="1040"/>
      <c r="AD6" s="73"/>
      <c r="AE6" s="1041">
        <f ca="1">IF(AN6="",0,SUMIF(INDIRECT("'"&amp;AN6&amp;"'"&amp;"!E:E"),$AE$5,INDIRECT("'"&amp;AN6&amp;"'"&amp;"!F:F")))</f>
        <v>28.02</v>
      </c>
      <c r="AF6" s="1348"/>
      <c r="AG6" s="138">
        <f>IF(AF6="",0,AE6-AF6)</f>
        <v>0</v>
      </c>
      <c r="AH6" s="74"/>
      <c r="AI6" s="76">
        <v>365</v>
      </c>
      <c r="AJ6" s="77"/>
      <c r="AK6" s="78">
        <v>5.0000000000000001E-3</v>
      </c>
      <c r="AL6" s="79">
        <v>1E-3</v>
      </c>
      <c r="AM6" s="80">
        <v>5.0000000000000001E-3</v>
      </c>
      <c r="AN6" s="1715" t="s">
        <v>3399</v>
      </c>
      <c r="AO6" s="52">
        <f ca="1">SUMIF(INDIRECT("'"&amp;AN6&amp;"'"&amp;"!A:A"),"总价",INDIRECT("'"&amp;AN6&amp;"'"&amp;"!B:B"))</f>
        <v>20124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6221.16</v>
      </c>
      <c r="L16" s="93">
        <f>ROUND(M16*10000/SUM(K6:K14),0)</f>
        <v>4501</v>
      </c>
      <c r="M16" s="93">
        <f>SUM(M6:M14)</f>
        <v>2800</v>
      </c>
      <c r="N16" s="94">
        <f>ROUND(SUMPRODUCT(M6:M14,N6:N14)/M16,3)</f>
        <v>0.79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3397</v>
      </c>
      <c r="N18" s="3450">
        <f>ROUND(1-(2024-N17)/60,2)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3449" t="s">
        <v>3398</v>
      </c>
      <c r="N19" s="3450">
        <v>0.9</v>
      </c>
      <c r="O19" s="2671"/>
      <c r="P19" s="2671"/>
      <c r="Q19" s="2671"/>
      <c r="R19" s="2671"/>
      <c r="S19" s="2671" t="s">
        <v>3433</v>
      </c>
      <c r="T19" s="2671">
        <f>'数据-基础表'!I15</f>
        <v>2252.87</v>
      </c>
      <c r="U19" s="2671">
        <v>8</v>
      </c>
      <c r="V19" s="2671">
        <f>U19*T19</f>
        <v>18022.96</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t="s">
        <v>3434</v>
      </c>
      <c r="T20" s="2671">
        <f>'数据-基础表'!I13+'数据-基础表'!I14</f>
        <v>3968.29</v>
      </c>
      <c r="U20" s="2671">
        <v>5.5</v>
      </c>
      <c r="V20" s="2671">
        <f>U20*T20</f>
        <v>21825.595000000001</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f>T19+T20</f>
        <v>6221.16</v>
      </c>
      <c r="U21" s="2671">
        <f>V21/T21</f>
        <v>6.4053255341447581</v>
      </c>
      <c r="V21" s="2671">
        <f>V19+V20</f>
        <v>39848.555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v>0</v>
      </c>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3" sqref="D1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6221.16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24274</v>
      </c>
      <c r="C5" s="2512">
        <f ca="1">IF(B5=D14,结果表!H102,ROUND(B5*10000/$B$1,0))</f>
        <v>39018</v>
      </c>
      <c r="D5" s="2512" t="e">
        <f ca="1">ROUND(B5*10000/$B$2,0)</f>
        <v>#DIV/0!</v>
      </c>
      <c r="E5" s="2686"/>
      <c r="F5" s="2687"/>
      <c r="G5" s="2687"/>
      <c r="H5" s="2688"/>
      <c r="I5" s="2688"/>
      <c r="J5" s="2688"/>
      <c r="K5" s="2688"/>
    </row>
    <row r="6" spans="1:11" ht="16.5">
      <c r="A6" s="2512" t="s">
        <v>656</v>
      </c>
      <c r="B6" s="2512">
        <f ca="1">SUM(G14:G23)</f>
        <v>24274</v>
      </c>
      <c r="C6" s="2512">
        <f ca="1">IF(B6=G14,结果表!H108,ROUND(B6*10000/$B$1,0))</f>
        <v>39018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38999</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6221.16</v>
      </c>
      <c r="C14" s="2518"/>
      <c r="D14" s="2518">
        <f ca="1">结果表!H118</f>
        <v>24274</v>
      </c>
      <c r="E14" s="2518">
        <f ca="1">ROUND(D14*10000/B14,0)</f>
        <v>39018</v>
      </c>
      <c r="F14" s="2518" t="e">
        <f ca="1">ROUND(D14*10000/C14,0)</f>
        <v>#DIV/0!</v>
      </c>
      <c r="G14" s="2518">
        <f ca="1">D14</f>
        <v>24274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3423</v>
      </c>
      <c r="D4" s="1756" t="s">
        <v>3399</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6</v>
      </c>
      <c r="D14" s="3603">
        <v>4</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4" t="s">
        <v>2131</v>
      </c>
      <c r="F18" s="3635"/>
      <c r="G18" s="3635"/>
      <c r="H18" s="3635"/>
      <c r="I18" s="3635"/>
      <c r="K18" s="302" t="s">
        <v>1289</v>
      </c>
      <c r="L18" s="302">
        <f>IF(C1="",'数据-汇总表'!E3,SUMIF(项目类型,C1,'数据-汇总表'!E17:E26)+SUMIF(项目类型,C1,'数据-汇总表'!I17:I26))</f>
        <v>6221.16</v>
      </c>
      <c r="M18" s="302">
        <f>IF(C1="",'数据-汇总表'!E3,SUMIF(项目类型,C1,'数据-汇总表'!E17:E26))</f>
        <v>6221.16</v>
      </c>
    </row>
    <row r="19" spans="1:36" ht="15">
      <c r="A19" s="1761" t="s">
        <v>1290</v>
      </c>
      <c r="B19" s="1762" t="s">
        <v>1291</v>
      </c>
      <c r="C19" s="134">
        <f ca="1">SUMIF(INDIRECT("'"&amp;C4&amp;"'"&amp;"!A:A"),结果表!B19,INDIRECT("'"&amp;C4&amp;"'"&amp;"!B:B"))</f>
        <v>27041</v>
      </c>
      <c r="D19" s="135">
        <f ca="1">SUMIF(INDIRECT("'"&amp;D4&amp;"'"&amp;"!A:A"),结果表!B19,INDIRECT("'"&amp;D4&amp;"'"&amp;"!B:B"))</f>
        <v>20124</v>
      </c>
      <c r="E19" s="1761" t="s">
        <v>1292</v>
      </c>
      <c r="F19" s="1762" t="s">
        <v>1291</v>
      </c>
      <c r="G19" s="136">
        <f ca="1">ROUND(C19*$C$18+D19*$D$18,0)</f>
        <v>24274</v>
      </c>
      <c r="H19" s="1763" t="s">
        <v>1293</v>
      </c>
      <c r="I19" s="129"/>
      <c r="J19" s="725" t="s">
        <v>3432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43466</v>
      </c>
      <c r="D20" s="138">
        <f ca="1">SUMIF(INDIRECT("'"&amp;D4&amp;"'"&amp;"!A:A"),结果表!B20,INDIRECT("'"&amp;D4&amp;"'"&amp;"!B:B"))</f>
        <v>32348</v>
      </c>
      <c r="E20" s="1764"/>
      <c r="F20" s="1026" t="s">
        <v>1295</v>
      </c>
      <c r="G20" s="139">
        <f ca="1">ROUND(C20*$C$18+D20*$D$18,0)</f>
        <v>39019</v>
      </c>
      <c r="H20" s="808" t="s">
        <v>1296</v>
      </c>
      <c r="I20" s="129"/>
      <c r="J20" s="725">
        <v>24485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v>39358</v>
      </c>
    </row>
    <row r="22" spans="1:36" ht="15" thickBot="1">
      <c r="A22" s="1688" t="s">
        <v>1298</v>
      </c>
      <c r="B22" s="1767"/>
      <c r="C22" s="1768"/>
      <c r="D22" s="721">
        <f ca="1">IF(C19&lt;D19,D19/C19-1,C19/D19-1)</f>
        <v>0.34371894255615176</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24274</v>
      </c>
      <c r="D32" s="1775" t="s">
        <v>3424</v>
      </c>
      <c r="E32" s="129"/>
      <c r="F32" s="129"/>
      <c r="G32" s="129"/>
      <c r="H32" s="129"/>
      <c r="I32" s="129"/>
    </row>
    <row r="33" spans="1:15" ht="15">
      <c r="A33" s="786" t="s">
        <v>1306</v>
      </c>
      <c r="B33" s="1776"/>
      <c r="C33" s="1777" t="s">
        <v>3425</v>
      </c>
      <c r="D33" s="1778" t="s">
        <v>3423</v>
      </c>
      <c r="E33" s="1779" t="s">
        <v>1307</v>
      </c>
      <c r="F33" s="1780" t="str">
        <f>IF(D32="楼面单价","取值（单价）","取值（总价）")</f>
        <v>取值（总价）</v>
      </c>
      <c r="G33" s="129"/>
      <c r="H33" s="129"/>
      <c r="I33" s="129"/>
    </row>
    <row r="34" spans="1:15" ht="15">
      <c r="A34" s="1781"/>
      <c r="B34" s="1782" t="s">
        <v>1308</v>
      </c>
      <c r="C34" s="148">
        <f ca="1">IF(C33="自定义",F34,C32-C35)</f>
        <v>21313</v>
      </c>
      <c r="D34" s="861">
        <f ca="1">IF(C33="自定义",ROUND(C34/C32,3),IF(C33="收益比率",SUMIF(INDIRECT("'"&amp;D33&amp;"'"&amp;"!b:b"),"土地收益比率",INDIRECT("'"&amp;D33&amp;"'"&amp;"!c:c")),SUMIF(INDIRECT("'"&amp;D33&amp;"'"&amp;"!b:b"),"土地成本比率",INDIRECT("'"&amp;D33&amp;"'"&amp;"!c:c"))))</f>
        <v>0.878</v>
      </c>
      <c r="E34" s="1783" t="s">
        <v>1309</v>
      </c>
      <c r="F34" s="1330"/>
      <c r="G34" s="129"/>
      <c r="H34" s="129"/>
      <c r="I34" s="129"/>
    </row>
    <row r="35" spans="1:15" ht="15.75" thickBot="1">
      <c r="A35" s="1784"/>
      <c r="B35" s="1785" t="s">
        <v>1310</v>
      </c>
      <c r="C35" s="1170">
        <f ca="1">IF(C33="自定义",F35,ROUND(C32*D35,0))</f>
        <v>2961</v>
      </c>
      <c r="D35" s="1171">
        <f ca="1">IF(C33="自定义",ROUND(C35/C32,3),IF(C33="收益比率",SUMIF(INDIRECT("'"&amp;D33&amp;"'"&amp;"!b:b"),"建筑物收益比率",INDIRECT("'"&amp;D33&amp;"'"&amp;"!c:c")),SUMIF(INDIRECT("'"&amp;D33&amp;"'"&amp;"!b:b"),"建筑物成本比率",INDIRECT("'"&amp;D33&amp;"'"&amp;"!c:c"))))</f>
        <v>0.122</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24274</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45475</v>
      </c>
      <c r="N47" s="3547"/>
      <c r="O47" s="3547"/>
    </row>
    <row r="48" spans="1:15" ht="25.5">
      <c r="A48" s="3607" t="s">
        <v>1338</v>
      </c>
      <c r="B48" s="3608"/>
      <c r="C48" s="3608"/>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1339</v>
      </c>
      <c r="H48" s="2550" t="s">
        <v>3428</v>
      </c>
      <c r="I48" s="1806"/>
      <c r="J48" s="2523">
        <v>3</v>
      </c>
      <c r="K48" s="3545" t="s">
        <v>1340</v>
      </c>
      <c r="L48" s="3545"/>
      <c r="M48" s="3548">
        <f ca="1">H101</f>
        <v>24274</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24274</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1295</v>
      </c>
      <c r="E52" s="2334" t="s">
        <v>1354</v>
      </c>
      <c r="F52" s="2554">
        <f>'数据-取费表'!B41</f>
        <v>5.6000000000000001E-2</v>
      </c>
      <c r="G52" s="2555"/>
      <c r="H52" s="2544"/>
      <c r="I52" s="1807"/>
      <c r="J52" s="2523">
        <v>1</v>
      </c>
      <c r="K52" s="3570" t="s">
        <v>1355</v>
      </c>
      <c r="L52" s="3570"/>
      <c r="M52" s="2525">
        <f ca="1">D48</f>
        <v>0</v>
      </c>
      <c r="N52" s="2523" t="str">
        <f>E48</f>
        <v>(销售额-原购置价)×税（费）率</v>
      </c>
      <c r="O52" s="2526">
        <f>F48</f>
        <v>5.6000000000000001E-2</v>
      </c>
    </row>
    <row r="53" spans="1:35" ht="12" customHeight="1">
      <c r="A53" s="2335" t="s">
        <v>1356</v>
      </c>
      <c r="B53" s="3594" t="s">
        <v>2291</v>
      </c>
      <c r="C53" s="3595"/>
      <c r="D53" s="1087">
        <f ca="1">ROUND(D45*'数据-取费表'!B41/(1+'数据-取费表'!C42),0)</f>
        <v>1295</v>
      </c>
      <c r="E53" s="2334" t="s">
        <v>1354</v>
      </c>
      <c r="F53" s="2554">
        <f>'数据-取费表'!B41</f>
        <v>5.6000000000000001E-2</v>
      </c>
      <c r="G53" s="2555"/>
      <c r="H53" s="2544"/>
      <c r="I53" s="1807"/>
      <c r="J53" s="2523">
        <v>2</v>
      </c>
      <c r="K53" s="3570" t="s">
        <v>1357</v>
      </c>
      <c r="L53" s="3570"/>
      <c r="M53" s="2525">
        <f t="shared" ref="M53:O54" ca="1" si="0">D55</f>
        <v>12</v>
      </c>
      <c r="N53" s="2523" t="str">
        <f t="shared" si="0"/>
        <v>销售额×税（费）率</v>
      </c>
      <c r="O53" s="2526">
        <f t="shared" si="0"/>
        <v>5.0000000000000001E-4</v>
      </c>
    </row>
    <row r="54" spans="1:35" ht="12" customHeight="1">
      <c r="A54" s="2335" t="s">
        <v>1358</v>
      </c>
      <c r="B54" s="3594" t="s">
        <v>2292</v>
      </c>
      <c r="C54" s="3595"/>
      <c r="D54" s="1087">
        <f ca="1">C68</f>
        <v>0</v>
      </c>
      <c r="E54" s="327" t="s">
        <v>1359</v>
      </c>
      <c r="F54" s="2554">
        <f>'数据-取费表'!B41</f>
        <v>5.6000000000000001E-2</v>
      </c>
      <c r="G54" s="2555"/>
      <c r="H54" s="2556"/>
      <c r="I54" s="1807"/>
      <c r="J54" s="2523">
        <v>3</v>
      </c>
      <c r="K54" s="3570" t="s">
        <v>1360</v>
      </c>
      <c r="L54" s="3570"/>
      <c r="M54" s="2525">
        <f t="shared" ca="1" si="0"/>
        <v>0</v>
      </c>
      <c r="N54" s="2523" t="str">
        <f t="shared" si="0"/>
        <v>增值额×税（费）率</v>
      </c>
      <c r="O54" s="2527" t="str">
        <f t="shared" si="0"/>
        <v>——</v>
      </c>
    </row>
    <row r="55" spans="1:35" ht="24" customHeight="1">
      <c r="A55" s="3630" t="s">
        <v>1361</v>
      </c>
      <c r="B55" s="3608"/>
      <c r="C55" s="3608"/>
      <c r="D55" s="2324">
        <f ca="1">IF(H55="个人住宅",0,ROUND(D45*I55,0))</f>
        <v>12</v>
      </c>
      <c r="E55" s="2334" t="s">
        <v>1362</v>
      </c>
      <c r="F55" s="2554">
        <f>IF(H55="正常",I55,"免征")</f>
        <v>5.0000000000000001E-4</v>
      </c>
      <c r="G55" s="2555"/>
      <c r="H55" s="2550" t="s">
        <v>3429</v>
      </c>
      <c r="I55" s="165">
        <f>'数据-取费表'!B49</f>
        <v>5.0000000000000001E-4</v>
      </c>
      <c r="J55" s="2523" t="str">
        <f>IF(H59="非个人房产","",4)</f>
        <v/>
      </c>
      <c r="K55" s="3570" t="str">
        <f>IF(H59="非个人房产","——","个人所得税")</f>
        <v>——</v>
      </c>
      <c r="L55" s="3570"/>
      <c r="M55" s="2528" t="str">
        <f>D59</f>
        <v>——</v>
      </c>
      <c r="N55" s="2040" t="str">
        <f>E59</f>
        <v>——</v>
      </c>
      <c r="O55" s="2529" t="str">
        <f>F59</f>
        <v>——</v>
      </c>
    </row>
    <row r="56" spans="1:35" ht="24.75">
      <c r="A56" s="3630" t="s">
        <v>1363</v>
      </c>
      <c r="B56" s="3608"/>
      <c r="C56" s="3608"/>
      <c r="D56" s="2324">
        <f ca="1">IF(H56="个人住宅",D57,D58)</f>
        <v>0</v>
      </c>
      <c r="E56" s="2334" t="s">
        <v>1364</v>
      </c>
      <c r="F56" s="2554" t="str">
        <f>IF(H56="正常",F58,"免征")</f>
        <v>——</v>
      </c>
      <c r="G56" s="2557" t="s">
        <v>1365</v>
      </c>
      <c r="H56" s="2558" t="s">
        <v>3429</v>
      </c>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4</v>
      </c>
      <c r="K57" s="3570" t="s">
        <v>1367</v>
      </c>
      <c r="L57" s="2530" t="s">
        <v>1368</v>
      </c>
      <c r="M57" s="2531"/>
      <c r="N57" s="2532">
        <f ca="1">SUMIF(M52:M56,"&lt;9e307")</f>
        <v>12</v>
      </c>
      <c r="O57" s="2533"/>
      <c r="P57" s="2690">
        <f ca="1">N57/M49</f>
        <v>4.9435610117821538E-4</v>
      </c>
    </row>
    <row r="58" spans="1:35" ht="24.75">
      <c r="A58" s="2335" t="s">
        <v>1352</v>
      </c>
      <c r="B58" s="3594" t="s">
        <v>1369</v>
      </c>
      <c r="C58" s="3593"/>
      <c r="D58" s="2324">
        <f ca="1">IF(H58="转让取得",C81,C97)</f>
        <v>0</v>
      </c>
      <c r="E58" s="2334" t="s">
        <v>1364</v>
      </c>
      <c r="F58" s="302" t="s">
        <v>28</v>
      </c>
      <c r="G58" s="2555"/>
      <c r="H58" s="2558" t="s">
        <v>3430</v>
      </c>
      <c r="I58" s="1808"/>
      <c r="J58" s="3570"/>
      <c r="K58" s="3570"/>
      <c r="L58" s="2530" t="s">
        <v>1370</v>
      </c>
      <c r="M58" s="2534"/>
      <c r="N58" s="2535" t="str">
        <f ca="1">NUMBERSTRING(INT(N57*10000),2)&amp;"元整"</f>
        <v>壹拾贰万元整</v>
      </c>
      <c r="O58" s="2536"/>
    </row>
    <row r="59" spans="1:35" ht="24.75" thickBot="1">
      <c r="A59" s="3574" t="s">
        <v>1371</v>
      </c>
      <c r="B59" s="3575"/>
      <c r="C59" s="357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3431</v>
      </c>
      <c r="I59" s="2313" t="s">
        <v>2137</v>
      </c>
      <c r="J59" s="3572">
        <f>J57+1</f>
        <v>5</v>
      </c>
      <c r="K59" s="3570" t="s">
        <v>1372</v>
      </c>
      <c r="L59" s="2523" t="s">
        <v>1368</v>
      </c>
      <c r="M59" s="2537"/>
      <c r="N59" s="2538">
        <f ca="1">M49-N57</f>
        <v>24262</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贰亿肆仟贰佰陆拾贰万元整</v>
      </c>
      <c r="O60" s="2536"/>
    </row>
    <row r="61" spans="1:35" ht="13.5" thickBot="1">
      <c r="A61" s="3629" t="s">
        <v>1373</v>
      </c>
      <c r="B61" s="3629"/>
      <c r="C61" s="3629"/>
      <c r="D61" s="3629"/>
      <c r="E61" s="3629"/>
      <c r="F61" s="1808"/>
      <c r="G61" s="1808"/>
      <c r="H61" s="1810"/>
      <c r="I61" s="129"/>
      <c r="J61" s="2523">
        <f>J59+1</f>
        <v>6</v>
      </c>
      <c r="K61" s="3570" t="s">
        <v>1374</v>
      </c>
      <c r="L61" s="3570"/>
      <c r="M61" s="2540"/>
      <c r="N61" s="2541">
        <f ca="1">ROUND(N59*10000/'数据-汇总表'!E3,0)</f>
        <v>38999</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23118</v>
      </c>
      <c r="D63" s="167"/>
      <c r="E63" s="168"/>
      <c r="F63" s="1808"/>
      <c r="G63" s="1808"/>
      <c r="H63" s="1810"/>
      <c r="I63" s="129"/>
      <c r="J63" s="3553" t="s">
        <v>1379</v>
      </c>
      <c r="K63" s="1332" t="s">
        <v>1380</v>
      </c>
      <c r="L63" s="1332">
        <f ca="1">IF(M49&gt;10000,M49*0.5%,IF(AND(M49&gt;1000,M49&lt;=10000),M49*1%,IF(AND(M49&gt;100,M49&lt;=1000),M49*3%,IF(AND(M49&gt;10,M49&lt;=100),M49*5%,M49*8%))))</f>
        <v>121.37</v>
      </c>
      <c r="M63" s="302">
        <f ca="1">ROUND(L63,1)</f>
        <v>121.4</v>
      </c>
      <c r="N63" s="2543"/>
      <c r="Z63" s="1752"/>
      <c r="AI63" s="1753"/>
    </row>
    <row r="64" spans="1:35" ht="14.25" customHeight="1">
      <c r="A64" s="169" t="s">
        <v>325</v>
      </c>
      <c r="B64" s="170" t="s">
        <v>1381</v>
      </c>
      <c r="C64" s="2565">
        <f ca="1">D45</f>
        <v>24274</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121.37</v>
      </c>
      <c r="M64" s="302">
        <f t="shared" ref="M64:M65" ca="1" si="1">ROUND(L64,1)</f>
        <v>121.4</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24.274000000000001</v>
      </c>
      <c r="M65" s="302">
        <f t="shared" ca="1" si="1"/>
        <v>24.3</v>
      </c>
      <c r="N65" s="2544" t="s">
        <v>1383</v>
      </c>
      <c r="Z65" s="1752"/>
      <c r="AI65" s="1753"/>
    </row>
    <row r="66" spans="1:35" ht="14.25" customHeight="1">
      <c r="A66" s="173" t="s">
        <v>327</v>
      </c>
      <c r="B66" s="174" t="s">
        <v>1386</v>
      </c>
      <c r="C66" s="2567">
        <f>(4200+10753+10847)/1.05</f>
        <v>24571.428571428569</v>
      </c>
      <c r="D66" s="174" t="s">
        <v>26</v>
      </c>
      <c r="E66" s="1338" t="s">
        <v>671</v>
      </c>
      <c r="F66" s="1808"/>
      <c r="G66" s="1808"/>
      <c r="H66" s="1810"/>
      <c r="I66" s="129"/>
      <c r="J66" s="3553"/>
      <c r="K66" s="1332" t="s">
        <v>1387</v>
      </c>
      <c r="L66" s="1332">
        <f ca="1">M49*0.5%</f>
        <v>121.37</v>
      </c>
      <c r="M66" s="302">
        <f ca="1">IF(L66&gt;0.5,0.5,ROUND(L66,0))</f>
        <v>0.5</v>
      </c>
      <c r="N66" s="2544" t="s">
        <v>1388</v>
      </c>
      <c r="Z66" s="1752"/>
      <c r="AI66" s="1753"/>
    </row>
    <row r="67" spans="1:35" ht="14.25" customHeight="1">
      <c r="A67" s="173" t="s">
        <v>328</v>
      </c>
      <c r="B67" s="174" t="s">
        <v>1389</v>
      </c>
      <c r="C67" s="2568">
        <f ca="1">C63-C66</f>
        <v>-1453.4285714285688</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9.6774000000000004</v>
      </c>
      <c r="M67" s="302">
        <f ca="1">ROUND(L67*0.9,1)</f>
        <v>8.6999999999999993</v>
      </c>
      <c r="N67" s="2543"/>
      <c r="Z67" s="1752"/>
      <c r="AI67" s="1753"/>
    </row>
    <row r="68" spans="1:35" ht="14.25" customHeight="1" thickBot="1">
      <c r="A68" s="176" t="s">
        <v>329</v>
      </c>
      <c r="B68" s="177" t="s">
        <v>1391</v>
      </c>
      <c r="C68" s="2569">
        <f ca="1">IF(C67&lt;=0,0,ROUND(C67*D68,0))</f>
        <v>0</v>
      </c>
      <c r="D68" s="2570">
        <f>'数据-取费表'!B41</f>
        <v>5.6000000000000001E-2</v>
      </c>
      <c r="E68" s="178"/>
      <c r="F68" s="1808"/>
      <c r="G68" s="1808"/>
      <c r="H68" s="1810"/>
      <c r="I68" s="129"/>
      <c r="J68" s="3553"/>
      <c r="K68" s="1332" t="s">
        <v>1392</v>
      </c>
      <c r="L68" s="1332">
        <f ca="1">IF(M49&gt;10000,M49*0.5%,IF(AND(M49&gt;5000,M49&lt;=10000),M49*1%,IF(AND(M49&gt;1000,M49&lt;=5000),M49*2%,IF(AND(M49&gt;200,M49&lt;=1000),M49*3%,M49*5%))))</f>
        <v>121.37</v>
      </c>
      <c r="M68" s="302">
        <f ca="1">ROUND(L68,1)</f>
        <v>121.4</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398</v>
      </c>
      <c r="N69" s="2545">
        <f ca="1">M69/M49</f>
        <v>1.6396144022410811E-2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23118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24254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24115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24571.428571428569</v>
      </c>
      <c r="D75" s="170" t="s">
        <v>26</v>
      </c>
      <c r="E75" s="184" t="s">
        <v>1399</v>
      </c>
      <c r="F75" s="2572" t="s">
        <v>3426</v>
      </c>
      <c r="G75" s="184" t="s">
        <v>1400</v>
      </c>
      <c r="H75" s="2573">
        <f>2024-2018</f>
        <v>6</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714</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139</v>
      </c>
      <c r="D78" s="2577">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23118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139</v>
      </c>
      <c r="D93" s="2577">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22979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165.31654676258992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13739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v>
      </c>
      <c r="D101" s="2586" t="str">
        <f>D4</f>
        <v>收益法</v>
      </c>
      <c r="E101" s="3549" t="s">
        <v>1431</v>
      </c>
      <c r="F101" s="3550"/>
      <c r="G101" s="1827" t="s">
        <v>1432</v>
      </c>
      <c r="H101" s="2595">
        <f ca="1">H118</f>
        <v>24274</v>
      </c>
      <c r="I101" s="129"/>
    </row>
    <row r="102" spans="1:35" ht="18.75" customHeight="1">
      <c r="A102" s="3581" t="s">
        <v>1433</v>
      </c>
      <c r="B102" s="2584" t="s">
        <v>1432</v>
      </c>
      <c r="C102" s="2585">
        <f ca="1">IF(D32="楼面单价",ROUND(C19,0),C19)</f>
        <v>27041</v>
      </c>
      <c r="D102" s="2586">
        <f ca="1">IF(D32="楼面单价",ROUND(D19,0),D19)</f>
        <v>20124</v>
      </c>
      <c r="E102" s="3549"/>
      <c r="F102" s="3550"/>
      <c r="G102" s="1827" t="s">
        <v>1434</v>
      </c>
      <c r="H102" s="2555">
        <f ca="1">I118</f>
        <v>39018</v>
      </c>
      <c r="I102" s="129"/>
    </row>
    <row r="103" spans="1:35" ht="42.75" customHeight="1">
      <c r="A103" s="3581"/>
      <c r="B103" s="2584" t="s">
        <v>1434</v>
      </c>
      <c r="C103" s="2587">
        <f ca="1">C20</f>
        <v>43466</v>
      </c>
      <c r="D103" s="2588">
        <f ca="1">D20</f>
        <v>32348</v>
      </c>
      <c r="E103" s="3542" t="s">
        <v>1435</v>
      </c>
      <c r="F103" s="3543"/>
      <c r="G103" s="1828" t="s">
        <v>1436</v>
      </c>
      <c r="H103" s="2595">
        <f>IF(D36="正常操作",H104+H105+H106,H105+H106)</f>
        <v>0</v>
      </c>
      <c r="I103" s="129"/>
    </row>
    <row r="104" spans="1:35" ht="18.75" customHeight="1">
      <c r="A104" s="3581" t="s">
        <v>1437</v>
      </c>
      <c r="B104" s="2589" t="s">
        <v>1432</v>
      </c>
      <c r="C104" s="2590">
        <f ca="1">H118</f>
        <v>24274</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39018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24274</v>
      </c>
      <c r="I107" s="129"/>
    </row>
    <row r="108" spans="1:35" ht="18.75" customHeight="1">
      <c r="A108" s="129"/>
      <c r="B108" s="129"/>
      <c r="C108" s="129"/>
      <c r="D108" s="129"/>
      <c r="E108" s="3582"/>
      <c r="F108" s="3550"/>
      <c r="G108" s="1827" t="s">
        <v>1434</v>
      </c>
      <c r="H108" s="2555">
        <f ca="1">IF(H107=H101,H102,ROUND(H107*10000/'数据-汇总表'!E3,0))</f>
        <v>39018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4.抵押净值</v>
      </c>
      <c r="F111" s="3569"/>
      <c r="G111" s="1827" t="s">
        <v>1432</v>
      </c>
      <c r="H111" s="2595">
        <f ca="1">IF(E111="——","——",N59)</f>
        <v>24262</v>
      </c>
      <c r="I111" s="129"/>
    </row>
    <row r="112" spans="1:35" ht="18.75" customHeight="1" thickBot="1">
      <c r="A112" s="129"/>
      <c r="B112" s="129"/>
      <c r="C112" s="129"/>
      <c r="D112" s="129"/>
      <c r="E112" s="3584"/>
      <c r="F112" s="3585"/>
      <c r="G112" s="1830" t="s">
        <v>1434</v>
      </c>
      <c r="H112" s="2599">
        <f ca="1">IF(E111="——","——",N61)</f>
        <v>38999</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6221.16</v>
      </c>
      <c r="C118" s="2329">
        <f>M19</f>
        <v>0</v>
      </c>
      <c r="D118" s="2329">
        <f ca="1">ROUND(IF(D32="总价",C34,E118*B118/10000),0)</f>
        <v>21313</v>
      </c>
      <c r="E118" s="2329">
        <f ca="1">ROUND(IF(C33="自定义",IF(D32="楼面单价",C34,D118*10000/B118),I118-G118),0)</f>
        <v>34258</v>
      </c>
      <c r="F118" s="2329">
        <f ca="1">ROUND(IF(D32="总价",C35,G118*B118/10000),0)</f>
        <v>2961</v>
      </c>
      <c r="G118" s="2329">
        <f ca="1">ROUND(IF(D32="楼面单价",C35,F118*10000/B118),0)</f>
        <v>4760</v>
      </c>
      <c r="H118" s="2329">
        <f ca="1">ROUND(IF(D32="总价",C32,I118*B118/10000),0)</f>
        <v>24274</v>
      </c>
      <c r="I118" s="2329">
        <f ca="1">ROUND(IF(D32="楼面单价",C32,H118*10000/B118),0)</f>
        <v>39018</v>
      </c>
    </row>
    <row r="119" spans="1:27" ht="18.75" customHeight="1">
      <c r="A119" s="3557" t="s">
        <v>1452</v>
      </c>
      <c r="B119" s="3557"/>
      <c r="C119" s="3557"/>
      <c r="D119" s="3563" t="str">
        <f ca="1">NUMBERSTRING(INT(D118*10000),2)&amp;"元整"</f>
        <v>贰亿壹仟叁佰壹拾叁万元整</v>
      </c>
      <c r="E119" s="3564"/>
      <c r="F119" s="3563" t="str">
        <f ca="1">NUMBERSTRING(INT(F118*10000),2)&amp;"元整"</f>
        <v>贰仟玖佰陆拾壹万元整</v>
      </c>
      <c r="G119" s="3564"/>
      <c r="H119" s="3563" t="str">
        <f ca="1">NUMBERSTRING(INT(H118*10000),2)&amp;"元整"</f>
        <v>贰亿肆仟贰佰柒拾肆万元整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24274</v>
      </c>
      <c r="E122" s="3559"/>
      <c r="F122" s="3559"/>
      <c r="G122" s="3559"/>
      <c r="H122" s="3559"/>
      <c r="I122" s="3560"/>
      <c r="AA122" s="725"/>
    </row>
    <row r="123" spans="1:27" ht="18.75" customHeight="1">
      <c r="A123" s="3557" t="s">
        <v>1452</v>
      </c>
      <c r="B123" s="3557"/>
      <c r="C123" s="3557"/>
      <c r="D123" s="3563" t="str">
        <f ca="1">NUMBERSTRING(INT(D122*10000),2)&amp;"元整"</f>
        <v>贰亿肆仟贰佰柒拾肆万元整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抵押净值</v>
      </c>
      <c r="B126" s="3569"/>
      <c r="C126" s="3569"/>
      <c r="D126" s="3558">
        <f ca="1">H111</f>
        <v>24262</v>
      </c>
      <c r="E126" s="3559"/>
      <c r="F126" s="3559"/>
      <c r="G126" s="3559"/>
      <c r="H126" s="3559"/>
      <c r="I126" s="3560"/>
      <c r="AA126" s="725"/>
    </row>
    <row r="127" spans="1:27" ht="18.75" customHeight="1">
      <c r="A127" s="3557" t="s">
        <v>1452</v>
      </c>
      <c r="B127" s="3557"/>
      <c r="C127" s="3557"/>
      <c r="D127" s="3563" t="str">
        <f ca="1">NUMBERSTRING(INT(D126*10000),2)&amp;"元整"</f>
        <v>贰亿肆仟贰佰陆拾贰万元整</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27041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43466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16901</v>
      </c>
      <c r="D5" s="211" t="s">
        <v>1469</v>
      </c>
      <c r="E5" s="212" t="s">
        <v>1470</v>
      </c>
      <c r="F5" s="212" t="s">
        <v>1471</v>
      </c>
      <c r="G5" s="213"/>
    </row>
    <row r="6" spans="1:9" s="214" customFormat="1" ht="13.5" customHeight="1">
      <c r="A6" s="778" t="s">
        <v>1472</v>
      </c>
      <c r="B6" s="215" t="s">
        <v>1473</v>
      </c>
      <c r="C6" s="216">
        <f>基准地价修正!B2</f>
        <v>16280</v>
      </c>
      <c r="D6" s="217"/>
      <c r="E6" s="218"/>
      <c r="F6" s="218"/>
      <c r="G6" s="219"/>
    </row>
    <row r="7" spans="1:9" s="214" customFormat="1" ht="13.5" customHeight="1">
      <c r="A7" s="778" t="s">
        <v>1474</v>
      </c>
      <c r="B7" s="215" t="s">
        <v>1475</v>
      </c>
      <c r="C7" s="220">
        <f>ROUND(C6*F7,0)</f>
        <v>497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124</v>
      </c>
      <c r="D8" s="222"/>
      <c r="E8" s="220"/>
      <c r="F8" s="221"/>
      <c r="G8" s="1856" t="s">
        <v>3415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3416</v>
      </c>
      <c r="H9" s="1137"/>
      <c r="I9" s="1858" t="s">
        <v>1479</v>
      </c>
    </row>
    <row r="10" spans="1:9" s="214" customFormat="1" ht="13.5" customHeight="1">
      <c r="A10" s="779" t="s">
        <v>356</v>
      </c>
      <c r="B10" s="224" t="s">
        <v>1480</v>
      </c>
      <c r="C10" s="225">
        <f ca="1">ROUND(D10*E10/10000,0)</f>
        <v>124</v>
      </c>
      <c r="D10" s="845">
        <f ca="1">IF(B1="",'数据-汇总表'!E6,IF(INDIRECT("'数据-取费表'!c"&amp;$G$1)="住宅",INDIRECT("'数据-取费表'!s"&amp;$G$1),INDIRECT("'数据-取费表'!k"&amp;$G$1)+INDIRECT("'数据-取费表'!s"&amp;$G$1)))</f>
        <v>6221.16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6221.16</v>
      </c>
      <c r="E19" s="211">
        <f>'数据-取费表'!B31</f>
        <v>200</v>
      </c>
      <c r="F19" s="231"/>
      <c r="G19" s="1856" t="s">
        <v>3417</v>
      </c>
    </row>
    <row r="20" spans="1:7" s="214" customFormat="1" ht="13.5" customHeight="1">
      <c r="A20" s="255" t="s">
        <v>1493</v>
      </c>
      <c r="B20" s="210" t="s">
        <v>1494</v>
      </c>
      <c r="C20" s="232">
        <f>ROUND((C5+C19)*F20,0)</f>
        <v>338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1198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1186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3448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3448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23736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2800</v>
      </c>
      <c r="D34" s="217"/>
      <c r="E34" s="220"/>
      <c r="F34" s="257">
        <f ca="1">IF('数据-取费表'!B24=0,1,IF(B1="",'数据-取费表'!N16,INDIRECT("'数据-取费表'!n"&amp;$G$1)))</f>
        <v>1</v>
      </c>
      <c r="G34" s="219" t="s">
        <v>1526</v>
      </c>
    </row>
    <row r="35" spans="1:7" ht="13.5" customHeight="1">
      <c r="A35" s="780" t="s">
        <v>351</v>
      </c>
      <c r="B35" s="215" t="s">
        <v>1527</v>
      </c>
      <c r="C35" s="220">
        <f ca="1">ROUND(C34*F35,0)</f>
        <v>84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124</v>
      </c>
      <c r="D37" s="217">
        <f ca="1">D19</f>
        <v>6221.16</v>
      </c>
      <c r="E37" s="249">
        <f>'数据-取费表'!B35</f>
        <v>200</v>
      </c>
      <c r="F37" s="259"/>
      <c r="G37" s="261" t="s">
        <v>1532</v>
      </c>
    </row>
    <row r="38" spans="1:7" ht="13.5" customHeight="1">
      <c r="A38" s="780" t="s">
        <v>354</v>
      </c>
      <c r="B38" s="215" t="s">
        <v>1533</v>
      </c>
      <c r="C38" s="220">
        <f ca="1">ROUND(C34*F38,0)</f>
        <v>56</v>
      </c>
      <c r="D38" s="220"/>
      <c r="E38" s="220"/>
      <c r="F38" s="259">
        <f>'数据-取费表'!B36</f>
        <v>0.02</v>
      </c>
      <c r="G38" s="219" t="s">
        <v>1528</v>
      </c>
    </row>
    <row r="39" spans="1:7" s="214" customFormat="1" ht="13.5" customHeight="1">
      <c r="A39" s="255" t="s">
        <v>1534</v>
      </c>
      <c r="B39" s="210" t="s">
        <v>1535</v>
      </c>
      <c r="C39" s="232">
        <f ca="1">ROUND(C33*F20,0)</f>
        <v>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106</v>
      </c>
      <c r="D42" s="238"/>
      <c r="E42" s="238"/>
      <c r="F42" s="239"/>
      <c r="G42" s="3636" t="s">
        <v>1544</v>
      </c>
    </row>
    <row r="43" spans="1:7" ht="13.5" customHeight="1">
      <c r="A43" s="780" t="s">
        <v>347</v>
      </c>
      <c r="B43" s="215" t="s">
        <v>1545</v>
      </c>
      <c r="C43" s="238">
        <f ca="1">ROUND(IF('数据-取费表'!B22&lt;=1,C39*F22*'数据-取费表'!B21/2,C39*(POWER((1+F22),'数据-取费表'!B21/2)-1)),0)</f>
        <v>2</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625</v>
      </c>
      <c r="D45" s="235">
        <f ca="1">C47</f>
        <v>4.0000000000000001E-3</v>
      </c>
      <c r="E45" s="236" t="s">
        <v>1539</v>
      </c>
      <c r="F45" s="246">
        <f ca="1">F27</f>
        <v>0.2</v>
      </c>
      <c r="G45" s="247" t="s">
        <v>1548</v>
      </c>
    </row>
    <row r="46" spans="1:7" s="214" customFormat="1" ht="13.5" customHeight="1">
      <c r="A46" s="780" t="s">
        <v>346</v>
      </c>
      <c r="B46" s="248" t="s">
        <v>1549</v>
      </c>
      <c r="C46" s="249">
        <f ca="1">ROUND((C33+C39)*F27,0)</f>
        <v>625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4184</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3305</v>
      </c>
      <c r="D51" s="232"/>
      <c r="E51" s="232"/>
      <c r="F51" s="264"/>
      <c r="G51" s="234" t="s">
        <v>1560</v>
      </c>
    </row>
    <row r="52" spans="1:7" s="208" customFormat="1" ht="16.5" thickBot="1">
      <c r="A52" s="265" t="s">
        <v>1561</v>
      </c>
      <c r="B52" s="266"/>
      <c r="C52" s="267">
        <f ca="1">C31+C51</f>
        <v>27041</v>
      </c>
      <c r="D52" s="266"/>
      <c r="E52" s="266"/>
      <c r="F52" s="266"/>
      <c r="G52" s="268"/>
    </row>
    <row r="55" spans="1:7" ht="15">
      <c r="B55" s="270" t="s">
        <v>1562</v>
      </c>
      <c r="C55" s="271"/>
    </row>
    <row r="56" spans="1:7">
      <c r="B56" s="273" t="s">
        <v>802</v>
      </c>
      <c r="C56" s="275">
        <f ca="1">1-C57</f>
        <v>0.878</v>
      </c>
    </row>
    <row r="57" spans="1:7">
      <c r="B57" s="273" t="s">
        <v>803</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3655.1984000000002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5875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1244232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1244232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1244232</v>
      </c>
      <c r="D10" s="845">
        <f ca="1">IF(B1="",'数据-汇总表'!E6,IF(INDIRECT("'数据-取费表'!c"&amp;$G$1)="住宅",INDIRECT("'数据-取费表'!s"&amp;$G$1),INDIRECT("'数据-取费表'!k"&amp;$G$1)+INDIRECT("'数据-取费表'!s"&amp;$G$1)))</f>
        <v>6221.16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1244232</v>
      </c>
      <c r="D19" s="849">
        <f ca="1">D9+D10</f>
        <v>6221.16</v>
      </c>
      <c r="E19" s="211">
        <f>'数据-取费表'!B31</f>
        <v>200</v>
      </c>
      <c r="F19" s="231"/>
      <c r="G19" s="1856"/>
    </row>
    <row r="20" spans="1:7" s="214" customFormat="1" ht="13.5" customHeight="1">
      <c r="A20" s="255" t="s">
        <v>1574</v>
      </c>
      <c r="B20" s="210" t="s">
        <v>1575</v>
      </c>
      <c r="C20" s="232">
        <f ca="1">ROUND((C5+C19)*F20,0)</f>
        <v>49769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176383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87333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87333</v>
      </c>
      <c r="D24" s="238"/>
      <c r="E24" s="238"/>
      <c r="F24" s="239"/>
      <c r="G24" s="240" t="s">
        <v>1586</v>
      </c>
    </row>
    <row r="25" spans="1:7" s="214" customFormat="1" ht="24">
      <c r="A25" s="780" t="s">
        <v>1476</v>
      </c>
      <c r="B25" s="215" t="s">
        <v>1587</v>
      </c>
      <c r="C25" s="1128">
        <f ca="1">ROUND(IF('数据-取费表'!B22&lt;=1,C20*F22*'数据-取费表'!B22/2,C20*(POWER((1+F22),'数据-取费表'!B22/2)-1)),0)</f>
        <v>1717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507647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507647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3494862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30639213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27995220</v>
      </c>
      <c r="D34" s="217"/>
      <c r="E34" s="220"/>
      <c r="F34" s="257"/>
      <c r="G34" s="219"/>
    </row>
    <row r="35" spans="1:7" ht="13.5" customHeight="1">
      <c r="A35" s="780" t="s">
        <v>351</v>
      </c>
      <c r="B35" s="215" t="s">
        <v>1527</v>
      </c>
      <c r="C35" s="220">
        <f ca="1">ROUND(C34*F35,0)</f>
        <v>839857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1244232</v>
      </c>
      <c r="D37" s="217">
        <f ca="1">D19</f>
        <v>6221.16</v>
      </c>
      <c r="E37" s="249">
        <f>'数据-取费表'!B35</f>
        <v>200</v>
      </c>
      <c r="F37" s="259"/>
      <c r="G37" s="261"/>
    </row>
    <row r="38" spans="1:7" ht="13.5" customHeight="1">
      <c r="A38" s="780" t="s">
        <v>354</v>
      </c>
      <c r="B38" s="215" t="s">
        <v>1533</v>
      </c>
      <c r="C38" s="220">
        <f ca="1">ROUND(C34*F38,0)</f>
        <v>559904</v>
      </c>
      <c r="D38" s="220"/>
      <c r="E38" s="220"/>
      <c r="F38" s="259">
        <f>'数据-取费表'!B36</f>
        <v>0.02</v>
      </c>
      <c r="G38" s="219" t="s">
        <v>1528</v>
      </c>
    </row>
    <row r="39" spans="1:7" s="214" customFormat="1" ht="13.5" customHeight="1">
      <c r="A39" s="255" t="s">
        <v>1534</v>
      </c>
      <c r="B39" s="210" t="s">
        <v>1535</v>
      </c>
      <c r="C39" s="232">
        <f ca="1">ROUND(C33*F20,0)</f>
        <v>612784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1078194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1057053</v>
      </c>
      <c r="D42" s="238"/>
      <c r="E42" s="238"/>
      <c r="F42" s="239"/>
      <c r="G42" s="3636" t="s">
        <v>1591</v>
      </c>
    </row>
    <row r="43" spans="1:7" ht="13.5" customHeight="1">
      <c r="A43" s="780" t="s">
        <v>347</v>
      </c>
      <c r="B43" s="215" t="s">
        <v>1545</v>
      </c>
      <c r="C43" s="238">
        <f ca="1">ROUND(IF('数据-取费表'!B22&lt;=1,C39*F22*'数据-取费表'!B20/2,C39*(POWER((1+F22),'数据-取费表'!B20/2)-1)),0)</f>
        <v>21141</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6250399</v>
      </c>
      <c r="D45" s="235">
        <f ca="1">C47</f>
        <v>4.0000000000000001E-3</v>
      </c>
      <c r="E45" s="236" t="s">
        <v>1539</v>
      </c>
      <c r="F45" s="246">
        <f ca="1">F27</f>
        <v>0.2</v>
      </c>
      <c r="G45" s="247" t="s">
        <v>1548</v>
      </c>
    </row>
    <row r="46" spans="1:7" s="214" customFormat="1" ht="13.5" customHeight="1">
      <c r="A46" s="780" t="s">
        <v>346</v>
      </c>
      <c r="B46" s="248" t="s">
        <v>1549</v>
      </c>
      <c r="C46" s="249">
        <f ca="1">ROUND((C33+C39)*F27,0)</f>
        <v>6250399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41844458</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33057122</v>
      </c>
      <c r="D51" s="232"/>
      <c r="E51" s="232"/>
      <c r="F51" s="264"/>
      <c r="G51" s="234" t="s">
        <v>1560</v>
      </c>
    </row>
    <row r="52" spans="1:7" s="208" customFormat="1" ht="16.5" thickBot="1">
      <c r="A52" s="265" t="s">
        <v>1561</v>
      </c>
      <c r="B52" s="266"/>
      <c r="C52" s="267">
        <f ca="1">C31+C51</f>
        <v>36551984</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6221.16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6221.16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124</v>
      </c>
      <c r="D20" s="846">
        <f ca="1">IF(C1="",'数据-汇总表'!E6,IF(INDIRECT("'数据-取费表'!c"&amp;$K$1)="住宅",INDIRECT("'数据-取费表'!s"&amp;$K$1),INDIRECT("'数据-取费表'!k"&amp;$K$1)+INDIRECT("'数据-取费表'!s"&amp;$K$1)))</f>
        <v>6221.16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28.02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20124</v>
      </c>
      <c r="C2" s="1387" t="s">
        <v>805</v>
      </c>
      <c r="D2" s="1387"/>
      <c r="E2" s="1388"/>
      <c r="F2" s="1389"/>
      <c r="G2" s="2706"/>
      <c r="H2" s="2695"/>
      <c r="I2" s="2695"/>
      <c r="J2" s="2695"/>
      <c r="K2" s="2696"/>
      <c r="L2" s="2695"/>
      <c r="M2" s="2695"/>
    </row>
    <row r="3" spans="1:37" ht="18" customHeight="1" thickBot="1">
      <c r="A3" s="1390" t="s">
        <v>806</v>
      </c>
      <c r="B3" s="1391">
        <f ca="1">IF(ISERROR(B2*10000/F43),0,ROUND(B2*10000/F43,0))</f>
        <v>32348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1328</v>
      </c>
      <c r="D6" s="155" t="s">
        <v>2109</v>
      </c>
      <c r="E6" s="302" t="s">
        <v>696</v>
      </c>
      <c r="F6" s="303">
        <f ca="1">INDIRECT("'数据-取费表'!u"&amp;$G$1)</f>
        <v>6.5</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6221.16</v>
      </c>
      <c r="G7" s="1384"/>
      <c r="H7" s="304"/>
      <c r="I7" s="3642"/>
      <c r="J7" s="306"/>
      <c r="K7" s="307"/>
      <c r="L7" s="302" t="s">
        <v>697</v>
      </c>
      <c r="M7" s="303">
        <f ca="1">F7</f>
        <v>6221.16</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3305</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2800</v>
      </c>
      <c r="D14" s="1345" t="s">
        <v>708</v>
      </c>
      <c r="E14" s="1342"/>
      <c r="F14" s="319"/>
      <c r="G14" s="1384"/>
      <c r="H14" s="982" t="s">
        <v>398</v>
      </c>
      <c r="I14" s="302" t="s">
        <v>709</v>
      </c>
      <c r="J14" s="21">
        <f ca="1">C29</f>
        <v>4184</v>
      </c>
      <c r="K14" s="12"/>
      <c r="L14" s="807"/>
      <c r="M14" s="808"/>
    </row>
    <row r="15" spans="1:37" s="1397" customFormat="1" ht="18" customHeight="1" thickBot="1">
      <c r="A15" s="982" t="s">
        <v>399</v>
      </c>
      <c r="B15" s="302" t="s">
        <v>710</v>
      </c>
      <c r="C15" s="21">
        <f ca="1">ROUND(C14*F15,0)</f>
        <v>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124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20.92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625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4184</v>
      </c>
      <c r="D29" s="1092"/>
      <c r="E29" s="1090"/>
      <c r="F29" s="1093"/>
      <c r="G29" s="1396"/>
      <c r="H29" s="334" t="s">
        <v>396</v>
      </c>
      <c r="I29" s="335" t="s">
        <v>768</v>
      </c>
      <c r="J29" s="336">
        <f ca="1">ROUND(J26/(1+F40)^F41,0)</f>
        <v>0</v>
      </c>
      <c r="K29" s="337" t="s">
        <v>769</v>
      </c>
      <c r="L29" s="338"/>
      <c r="M29" s="339">
        <f ca="1">INDIRECT("'数据-取费表'!k"&amp;$G$1)</f>
        <v>6221.16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70.83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151.77000000000001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20.92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6.65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1077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19903</v>
      </c>
      <c r="D40" s="324" t="s">
        <v>758</v>
      </c>
      <c r="E40" s="302" t="s">
        <v>759</v>
      </c>
      <c r="F40" s="312">
        <f ca="1">INDIRECT("'数据-取费表'!I"&amp;$G$1)</f>
        <v>5.5E-2</v>
      </c>
      <c r="G40" s="1384"/>
      <c r="H40" s="1461">
        <f ca="1">C39/C5</f>
        <v>0.80977443609022559</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31992</v>
      </c>
      <c r="D43" s="337" t="s">
        <v>777</v>
      </c>
      <c r="E43" s="338" t="s">
        <v>778</v>
      </c>
      <c r="F43" s="339">
        <f ca="1">INDIRECT("'数据-取费表'!k"&amp;$G$1)</f>
        <v>6221.16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-20242</v>
      </c>
      <c r="D46" s="1406" t="str">
        <f>C2</f>
        <v>万元</v>
      </c>
      <c r="E46" s="1400"/>
      <c r="F46" s="1400"/>
      <c r="I46" s="1407" t="s">
        <v>810</v>
      </c>
      <c r="J46" s="1408"/>
      <c r="K46" s="1409"/>
      <c r="L46" s="1410">
        <f ca="1">IF(M47="住宅",0,IF(L48&gt;J51,L60,J60))</f>
        <v>221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19903</v>
      </c>
      <c r="R47" s="1420" t="s">
        <v>818</v>
      </c>
    </row>
    <row r="48" spans="1:18" s="1384" customFormat="1" ht="28.5" thickBot="1">
      <c r="A48" s="1110" t="s">
        <v>438</v>
      </c>
      <c r="B48" s="300" t="s">
        <v>692</v>
      </c>
      <c r="C48" s="1359">
        <f ca="1">C49+C53+C55</f>
        <v>0</v>
      </c>
      <c r="D48" s="1112"/>
      <c r="E48" s="1113"/>
      <c r="F48" s="962"/>
      <c r="G48" s="722"/>
      <c r="H48" s="723"/>
      <c r="I48" s="1421" t="s">
        <v>819</v>
      </c>
      <c r="J48" s="1422" t="s">
        <v>3421</v>
      </c>
      <c r="K48" s="1423" t="s">
        <v>820</v>
      </c>
      <c r="L48" s="1424">
        <f ca="1">INDIRECT("'数据-取费表'!f"&amp;$G$1)</f>
        <v>28.02</v>
      </c>
      <c r="O48" s="1418" t="s">
        <v>404</v>
      </c>
      <c r="P48" s="1419" t="s">
        <v>821</v>
      </c>
      <c r="Q48" s="1420">
        <f ca="1">J60</f>
        <v>221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4184</v>
      </c>
      <c r="R49" s="1420" t="s">
        <v>818</v>
      </c>
    </row>
    <row r="50" spans="1:18" s="1384" customFormat="1" ht="13.5" thickBot="1">
      <c r="A50" s="976"/>
      <c r="B50" s="979"/>
      <c r="C50" s="1118"/>
      <c r="D50" s="953"/>
      <c r="E50" s="1056" t="s">
        <v>697</v>
      </c>
      <c r="F50" s="1057">
        <f ca="1">F7</f>
        <v>6221.16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14227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28.02</v>
      </c>
      <c r="K53" s="3639" t="s">
        <v>837</v>
      </c>
      <c r="L53" s="3640"/>
      <c r="O53" s="1418" t="s">
        <v>409</v>
      </c>
      <c r="P53" s="1419" t="s">
        <v>838</v>
      </c>
      <c r="Q53" s="1420">
        <f ca="1">Q47+Q48</f>
        <v>20124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3305</v>
      </c>
      <c r="D56" s="1447"/>
      <c r="E56" s="1448"/>
      <c r="F56" s="1440"/>
      <c r="I56" s="1449" t="s">
        <v>842</v>
      </c>
      <c r="J56" s="1450" t="s">
        <v>3422</v>
      </c>
      <c r="K56" s="1421" t="s">
        <v>843</v>
      </c>
      <c r="L56" s="1424" t="str">
        <f ca="1">IF(L48&lt;J51,"——",L48-J53)</f>
        <v>——</v>
      </c>
      <c r="O56" s="1418" t="s">
        <v>403</v>
      </c>
      <c r="P56" s="1419" t="s">
        <v>817</v>
      </c>
      <c r="Q56" s="1420">
        <f ca="1">C40+J29</f>
        <v>19903</v>
      </c>
      <c r="R56" s="1420" t="s">
        <v>818</v>
      </c>
    </row>
    <row r="57" spans="1:18" s="1384" customFormat="1" ht="24.75" thickBot="1">
      <c r="A57" s="1451"/>
      <c r="B57" s="950" t="s">
        <v>767</v>
      </c>
      <c r="C57" s="238">
        <f ca="1">C29</f>
        <v>4184</v>
      </c>
      <c r="D57" s="1452"/>
      <c r="E57" s="1453"/>
      <c r="F57" s="1454"/>
      <c r="I57" s="1455" t="s">
        <v>844</v>
      </c>
      <c r="J57" s="1456">
        <f ca="1">IF(OR(M47="住宅",J51&lt;L48,J56="是"),"——",J51-L48)</f>
        <v>11.98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19903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20.92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3.31</v>
      </c>
      <c r="D65" s="964" t="s">
        <v>743</v>
      </c>
      <c r="E65" s="950" t="s">
        <v>744</v>
      </c>
      <c r="F65" s="330">
        <f t="shared" ca="1" si="0"/>
        <v>1E-3</v>
      </c>
      <c r="I65" s="1462" t="s">
        <v>867</v>
      </c>
      <c r="J65" s="1463">
        <v>40</v>
      </c>
      <c r="K65" s="1463">
        <v>30</v>
      </c>
      <c r="L65" s="1463">
        <v>50</v>
      </c>
      <c r="M65" s="1465">
        <v>0.02</v>
      </c>
      <c r="O65" s="1418" t="s">
        <v>403</v>
      </c>
      <c r="P65" s="1419" t="s">
        <v>868</v>
      </c>
      <c r="Q65" s="1420">
        <f ca="1">C40+J29</f>
        <v>19903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-24</v>
      </c>
      <c r="D67" s="963" t="s">
        <v>753</v>
      </c>
      <c r="E67" s="968"/>
      <c r="F67" s="969"/>
      <c r="O67" s="1428" t="s">
        <v>405</v>
      </c>
      <c r="P67" s="1419" t="s">
        <v>850</v>
      </c>
      <c r="Q67" s="1466">
        <f ca="1">L51</f>
        <v>14227</v>
      </c>
      <c r="R67" s="1420" t="s">
        <v>870</v>
      </c>
    </row>
    <row r="68" spans="1:18" s="1384" customFormat="1" ht="16.5" thickBot="1">
      <c r="A68" s="947" t="s">
        <v>395</v>
      </c>
      <c r="B68" s="948" t="s">
        <v>774</v>
      </c>
      <c r="C68" s="301">
        <f ca="1">ROUND(C67*(1-((1+F70)/(1+F68))^F69)/(F68-F70),0)</f>
        <v>-339</v>
      </c>
      <c r="D68" s="965" t="s">
        <v>758</v>
      </c>
      <c r="E68" s="950" t="s">
        <v>759</v>
      </c>
      <c r="F68" s="312">
        <f ca="1">F40</f>
        <v>5.5E-2</v>
      </c>
      <c r="O68" s="1428" t="s">
        <v>406</v>
      </c>
      <c r="P68" s="1467" t="s">
        <v>871</v>
      </c>
      <c r="Q68" s="1420">
        <f ca="1">ROUND(Q69-Q70*Q71,0)</f>
        <v>829</v>
      </c>
      <c r="R68" s="1420" t="s">
        <v>414</v>
      </c>
    </row>
    <row r="69" spans="1:18" s="1384" customFormat="1" ht="13.5" thickBot="1">
      <c r="A69" s="951"/>
      <c r="B69" s="952"/>
      <c r="C69" s="306"/>
      <c r="D69" s="970" t="s">
        <v>762</v>
      </c>
      <c r="E69" s="950" t="s">
        <v>763</v>
      </c>
      <c r="F69" s="333">
        <f ca="1">F41</f>
        <v>28.02</v>
      </c>
      <c r="O69" s="1428" t="s">
        <v>411</v>
      </c>
      <c r="P69" s="1467" t="s">
        <v>872</v>
      </c>
      <c r="Q69" s="1420">
        <f ca="1">C39</f>
        <v>1077</v>
      </c>
      <c r="R69" s="1420" t="s">
        <v>818</v>
      </c>
    </row>
    <row r="70" spans="1:18" s="1384" customFormat="1" ht="13.5" thickBot="1">
      <c r="A70" s="954"/>
      <c r="B70" s="955"/>
      <c r="C70" s="310"/>
      <c r="D70" s="966"/>
      <c r="E70" s="950" t="s">
        <v>766</v>
      </c>
      <c r="F70" s="1054"/>
      <c r="O70" s="1428" t="s">
        <v>412</v>
      </c>
      <c r="P70" s="1467" t="s">
        <v>873</v>
      </c>
      <c r="Q70" s="1420">
        <f ca="1">C13</f>
        <v>3305</v>
      </c>
      <c r="R70" s="1420" t="s">
        <v>818</v>
      </c>
    </row>
    <row r="71" spans="1:18" s="1384" customFormat="1" ht="13.5" thickBot="1">
      <c r="A71" s="971" t="s">
        <v>396</v>
      </c>
      <c r="B71" s="972" t="s">
        <v>776</v>
      </c>
      <c r="C71" s="336">
        <f ca="1">ROUND(C68*10000/F71,0)</f>
        <v>-545</v>
      </c>
      <c r="D71" s="973" t="s">
        <v>777</v>
      </c>
      <c r="E71" s="974" t="s">
        <v>778</v>
      </c>
      <c r="F71" s="339">
        <f ca="1">F43</f>
        <v>6221.16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248</v>
      </c>
      <c r="D75" s="1384"/>
      <c r="E75" s="1384"/>
      <c r="F75" s="1384"/>
      <c r="K75" s="1402"/>
      <c r="L75" s="1384"/>
      <c r="O75" s="1418" t="s">
        <v>409</v>
      </c>
      <c r="P75" s="1419" t="s">
        <v>838</v>
      </c>
      <c r="Q75" s="1420">
        <f ca="1">Q65+Q66</f>
        <v>19903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0.83399999999999996</v>
      </c>
    </row>
    <row r="83" spans="2:3">
      <c r="B83" s="273" t="s">
        <v>803</v>
      </c>
      <c r="C83" s="274">
        <f ca="1">ROUND(C13/C40,3)</f>
        <v>0.16600000000000001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4" t="s">
        <v>2321</v>
      </c>
      <c r="K2" s="364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6" t="s">
        <v>2331</v>
      </c>
      <c r="K3" s="364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6" t="s">
        <v>2333</v>
      </c>
      <c r="K4" s="364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8" t="s">
        <v>2337</v>
      </c>
      <c r="B6" s="3649"/>
      <c r="C6" s="3650"/>
      <c r="D6" s="2870"/>
      <c r="E6" s="2871"/>
      <c r="F6" s="2872"/>
      <c r="G6" s="2873"/>
      <c r="H6" s="2848"/>
      <c r="I6" s="2849"/>
      <c r="J6" s="3651">
        <v>1</v>
      </c>
      <c r="K6" s="365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1"/>
      <c r="K7" s="365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5" t="s">
        <v>2351</v>
      </c>
      <c r="C8" s="3656"/>
      <c r="D8" s="2889" t="s">
        <v>2352</v>
      </c>
      <c r="E8" s="2890" t="s">
        <v>2353</v>
      </c>
      <c r="F8" s="2891" t="s">
        <v>2354</v>
      </c>
      <c r="G8" s="2892"/>
      <c r="H8" s="2848"/>
      <c r="I8" s="2849"/>
      <c r="J8" s="3651"/>
      <c r="K8" s="365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5" t="s">
        <v>2357</v>
      </c>
      <c r="C9" s="3656"/>
      <c r="D9" s="2889">
        <f>ROUND(D6*E9,0)</f>
        <v>0</v>
      </c>
      <c r="E9" s="2893"/>
      <c r="F9" s="2894" t="s">
        <v>2358</v>
      </c>
      <c r="G9" s="2873"/>
      <c r="H9" s="2848"/>
      <c r="I9" s="2849"/>
      <c r="J9" s="3651"/>
      <c r="K9" s="3653"/>
      <c r="L9" s="2883" t="s">
        <v>2359</v>
      </c>
      <c r="M9" s="2884"/>
      <c r="N9" s="2860"/>
      <c r="O9" s="2885"/>
      <c r="P9" s="2885"/>
      <c r="Q9" s="2886">
        <v>365</v>
      </c>
      <c r="R9" s="2887">
        <f t="shared" si="0"/>
        <v>0</v>
      </c>
      <c r="S9" s="2841"/>
      <c r="T9" s="2841"/>
      <c r="U9" s="2841"/>
      <c r="V9" s="2849"/>
    </row>
    <row r="10" spans="1:22" s="2853" customFormat="1" ht="13.15" customHeight="1">
      <c r="A10" s="2888">
        <v>2</v>
      </c>
      <c r="B10" s="3655" t="s">
        <v>2360</v>
      </c>
      <c r="C10" s="3656"/>
      <c r="D10" s="2889">
        <f>ROUND(D6*E10,0)</f>
        <v>0</v>
      </c>
      <c r="E10" s="2893"/>
      <c r="F10" s="2894" t="s">
        <v>2361</v>
      </c>
      <c r="G10" s="2873"/>
      <c r="H10" s="2848"/>
      <c r="I10" s="2849"/>
      <c r="J10" s="3651"/>
      <c r="K10" s="3653"/>
      <c r="L10" s="2883" t="s">
        <v>2362</v>
      </c>
      <c r="M10" s="2884"/>
      <c r="N10" s="2860"/>
      <c r="O10" s="2885"/>
      <c r="P10" s="2885"/>
      <c r="Q10" s="2886">
        <v>365</v>
      </c>
      <c r="R10" s="2887">
        <f t="shared" si="0"/>
        <v>0</v>
      </c>
      <c r="S10" s="2841"/>
      <c r="T10" s="2841"/>
      <c r="U10" s="2841"/>
      <c r="V10" s="2849"/>
    </row>
    <row r="11" spans="1:22" s="2853" customFormat="1" ht="13.15" customHeight="1">
      <c r="A11" s="2888">
        <v>3</v>
      </c>
      <c r="B11" s="3655" t="s">
        <v>2363</v>
      </c>
      <c r="C11" s="3656"/>
      <c r="D11" s="2889">
        <f>D12+D14+D15+D16</f>
        <v>0</v>
      </c>
      <c r="E11" s="2895" t="e">
        <f>D11/D6</f>
        <v>#DIV/0!</v>
      </c>
      <c r="F11" s="2891"/>
      <c r="G11" s="2892"/>
      <c r="H11" s="2848"/>
      <c r="I11" s="2849"/>
      <c r="J11" s="3651"/>
      <c r="K11" s="365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7" t="s">
        <v>2366</v>
      </c>
      <c r="C12" s="3658"/>
      <c r="D12" s="2897">
        <f>ROUND(D13*1.2%*(1-30%),0)</f>
        <v>0</v>
      </c>
      <c r="E12" s="2898">
        <v>1.2E-2</v>
      </c>
      <c r="F12" s="2891" t="s">
        <v>2367</v>
      </c>
      <c r="G12" s="2892"/>
      <c r="H12" s="2848"/>
      <c r="I12" s="2849"/>
      <c r="J12" s="3651"/>
      <c r="K12" s="365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1"/>
      <c r="K13" s="365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7" t="s">
        <v>2372</v>
      </c>
      <c r="C14" s="3658"/>
      <c r="D14" s="2897">
        <f>ROUND(E14*B5/10000,0)</f>
        <v>0</v>
      </c>
      <c r="E14" s="2886"/>
      <c r="F14" s="2891" t="s">
        <v>2373</v>
      </c>
      <c r="G14" s="2892"/>
      <c r="H14" s="2848"/>
      <c r="I14" s="2849"/>
      <c r="J14" s="3651"/>
      <c r="K14" s="365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7" t="s">
        <v>2376</v>
      </c>
      <c r="C15" s="3658"/>
      <c r="D15" s="2897">
        <f>ROUND(D6*E15,0)</f>
        <v>0</v>
      </c>
      <c r="E15" s="2898">
        <v>5.5E-2</v>
      </c>
      <c r="F15" s="2891" t="s">
        <v>2377</v>
      </c>
      <c r="G15" s="2873"/>
      <c r="H15" s="2848"/>
      <c r="I15" s="2849"/>
      <c r="J15" s="3651">
        <v>2</v>
      </c>
      <c r="K15" s="365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7" t="s">
        <v>2385</v>
      </c>
      <c r="C16" s="3658"/>
      <c r="D16" s="2908">
        <f>D6*E16</f>
        <v>0</v>
      </c>
      <c r="E16" s="2909"/>
      <c r="F16" s="2894" t="s">
        <v>2386</v>
      </c>
      <c r="G16" s="2873"/>
      <c r="H16" s="2848"/>
      <c r="I16" s="2849"/>
      <c r="J16" s="3651"/>
      <c r="K16" s="365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2388</v>
      </c>
      <c r="C17" s="3660"/>
      <c r="D17" s="2911">
        <f>ROUND(D6*E17,0)</f>
        <v>0</v>
      </c>
      <c r="E17" s="2912"/>
      <c r="F17" s="2913" t="s">
        <v>2389</v>
      </c>
      <c r="G17" s="2873"/>
      <c r="H17" s="2848"/>
      <c r="I17" s="2849"/>
      <c r="J17" s="3651"/>
      <c r="K17" s="365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1"/>
      <c r="K18" s="365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1"/>
      <c r="K19" s="365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1"/>
      <c r="K21" s="365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1"/>
      <c r="K22" s="365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1"/>
      <c r="K23" s="365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1"/>
      <c r="K24" s="365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4" t="s">
        <v>2321</v>
      </c>
      <c r="K32" s="364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6" t="s">
        <v>2331</v>
      </c>
      <c r="K33" s="364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6" t="s">
        <v>2333</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1">
        <v>1</v>
      </c>
      <c r="K36" s="365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1"/>
      <c r="K40" s="365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20124</v>
      </c>
      <c r="C2" s="1872" t="s">
        <v>1651</v>
      </c>
      <c r="D2" s="1873" t="s">
        <v>1652</v>
      </c>
      <c r="E2" s="2607">
        <f>SUM(E6:E13)</f>
        <v>6221.16</v>
      </c>
      <c r="F2" s="2707"/>
      <c r="G2" s="1489"/>
      <c r="H2" s="1489"/>
      <c r="I2" s="1489"/>
      <c r="J2" s="1489"/>
      <c r="K2" s="1489"/>
      <c r="L2" s="1489"/>
      <c r="M2" s="1489"/>
      <c r="N2" s="1489"/>
      <c r="O2" s="1489"/>
      <c r="P2" s="1489"/>
      <c r="Q2" s="1489"/>
      <c r="R2" s="1489"/>
      <c r="S2" s="1489"/>
    </row>
    <row r="3" spans="1:22" ht="15.75">
      <c r="A3" s="1870" t="s">
        <v>686</v>
      </c>
      <c r="B3" s="2601">
        <f ca="1">ROUND(B2*10000/E2,0)</f>
        <v>32348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20124</v>
      </c>
      <c r="C6" s="1872" t="s">
        <v>1651</v>
      </c>
      <c r="D6" s="2709"/>
      <c r="E6" s="2606">
        <f>IF(OR(A6=0,F6="否"),0,'数据-取费表'!K6+'数据-取费表'!S6)</f>
        <v>6221.16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6221.16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6221.16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6221.16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45475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6221.16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45475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0"/>
      <c r="Q10" s="1343" t="str">
        <f t="shared" si="6"/>
        <v>土地使用年限（年）</v>
      </c>
      <c r="R10" s="701" t="s">
        <v>14</v>
      </c>
      <c r="S10" s="702">
        <f t="shared" si="0"/>
        <v>123</v>
      </c>
      <c r="T10" s="701" t="s">
        <v>14</v>
      </c>
      <c r="U10" s="702">
        <f t="shared" si="1"/>
        <v>123</v>
      </c>
      <c r="V10" s="701" t="s">
        <v>14</v>
      </c>
      <c r="W10" s="702">
        <f t="shared" si="2"/>
        <v>123</v>
      </c>
      <c r="X10" s="703"/>
      <c r="Y10" s="3612"/>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6221.16</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6221.16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0"/>
      <c r="Q10" s="1343" t="str">
        <f t="shared" si="6"/>
        <v>土地使用年限（年）</v>
      </c>
      <c r="R10" s="701" t="s">
        <v>14</v>
      </c>
      <c r="S10" s="702">
        <f t="shared" si="0"/>
        <v>123</v>
      </c>
      <c r="T10" s="701" t="s">
        <v>14</v>
      </c>
      <c r="U10" s="702">
        <f t="shared" si="1"/>
        <v>123</v>
      </c>
      <c r="V10" s="701" t="s">
        <v>14</v>
      </c>
      <c r="W10" s="702">
        <f t="shared" si="2"/>
        <v>123</v>
      </c>
      <c r="X10" s="703"/>
      <c r="Y10" s="3612"/>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6221.16</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16280</v>
      </c>
      <c r="C2" s="2145" t="s">
        <v>2074</v>
      </c>
      <c r="D2" s="2145" t="s">
        <v>2075</v>
      </c>
      <c r="E2" s="2612">
        <f ca="1">SUMIF(E6:E13,"&lt;&gt;#ref!",E6:E13)</f>
        <v>6221.16</v>
      </c>
      <c r="F2" s="2793"/>
      <c r="G2" s="2793"/>
      <c r="H2" s="2793"/>
      <c r="I2" s="2793"/>
      <c r="J2" s="2793"/>
      <c r="K2" s="2793"/>
      <c r="L2" s="2793"/>
      <c r="M2" s="2793"/>
      <c r="N2" s="2793"/>
      <c r="O2" s="2793"/>
      <c r="P2" s="2793"/>
    </row>
    <row r="3" spans="1:16" ht="15.75">
      <c r="A3" s="2145" t="s">
        <v>2076</v>
      </c>
      <c r="B3" s="2602">
        <f ca="1">ROUND(B2*10000/E2,0)</f>
        <v>26169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16280</v>
      </c>
      <c r="C6" s="2145" t="s">
        <v>2074</v>
      </c>
      <c r="D6" s="2793"/>
      <c r="E6" s="2612">
        <f ca="1">SUMIF(INDIRECT("'"&amp;A6&amp;"'"&amp;"!C:C"),"建筑面积",INDIRECT("'"&amp;A6&amp;"'"&amp;"!D:D"))</f>
        <v>6221.16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71" sqref="E7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6221.16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16280</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Ⅱ—18</v>
      </c>
      <c r="J2" s="2002"/>
      <c r="K2" s="1119"/>
      <c r="L2" s="2003" t="s">
        <v>1939</v>
      </c>
      <c r="M2" s="864">
        <f>SUMPRODUCT((区片价!B10:B29=I2)*(区片价!C3:G3=E2)*(区片价!C10:G29))</f>
        <v>27770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37687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26169</v>
      </c>
      <c r="C3" s="1999" t="s">
        <v>1941</v>
      </c>
      <c r="D3" s="2000" t="s">
        <v>1942</v>
      </c>
      <c r="E3" s="3420" t="s">
        <v>3400</v>
      </c>
      <c r="F3" s="2004" t="s">
        <v>3401</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25853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27753</v>
      </c>
      <c r="D5" s="1339">
        <f>ROUND(C6*C17+C20,0)</f>
        <v>27753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23394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22296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2.5</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3258</v>
      </c>
      <c r="B20" s="167" t="s">
        <v>1994</v>
      </c>
      <c r="C20" s="3325">
        <f>ROUND(IF(F21="与级别开发程度一致",0,(G21-E21)/C21),0)</f>
        <v>-17</v>
      </c>
      <c r="D20" s="3341" t="s">
        <v>1998</v>
      </c>
      <c r="E20" s="3342"/>
      <c r="F20" s="3758" t="s">
        <v>1995</v>
      </c>
      <c r="G20" s="3759"/>
      <c r="H20" s="3326" t="s">
        <v>3404</v>
      </c>
      <c r="I20" s="3326" t="s">
        <v>3405</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3403</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50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4" t="s">
        <v>2002</v>
      </c>
      <c r="E23" s="761">
        <v>44197</v>
      </c>
      <c r="F23" s="2054" t="s">
        <v>2003</v>
      </c>
      <c r="G23" s="762">
        <f>'数据-取费表'!B2</f>
        <v>45475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0.83430000000000004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28.02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1.0558000000000001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1.0558000000000001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16280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26168</v>
      </c>
      <c r="D33" s="2098">
        <f>'数据-基础表'!I5</f>
        <v>6221.16</v>
      </c>
      <c r="E33" s="773">
        <f>ROUND(C33*D33/10000,0)</f>
        <v>16280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6542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17349</v>
      </c>
      <c r="D37" s="2098"/>
      <c r="E37" s="171">
        <f>ROUND(C37*D37/10000,0)</f>
        <v>0</v>
      </c>
      <c r="F37" s="171">
        <f>SUMIF(修正!A57:A68,G2,修正!B57:B68)</f>
        <v>0.7</v>
      </c>
      <c r="G37" s="171">
        <f>ROUND(IF(E2="工业",C37*$M$42,C37*$M$41),0)</f>
        <v>4337</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9914</v>
      </c>
      <c r="D38" s="2098"/>
      <c r="E38" s="171">
        <f t="shared" ref="E38:E42" si="4">ROUND(C38*D38/10000,0)</f>
        <v>0</v>
      </c>
      <c r="F38" s="171">
        <f>SUMIF(修正!A57:A68,G2,修正!C57:C68)</f>
        <v>0.4</v>
      </c>
      <c r="G38" s="171">
        <f>ROUND(IF(E2="工业",C38*$M$42,C38*$M$41),0)</f>
        <v>2479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3263</v>
      </c>
      <c r="C39" s="175">
        <f>ROUND(D5*C22*C23*C24*C28*F39,0)</f>
        <v>7435</v>
      </c>
      <c r="D39" s="2098"/>
      <c r="E39" s="171">
        <f t="shared" si="4"/>
        <v>0</v>
      </c>
      <c r="F39" s="171">
        <f>SUMIF(修正!A57:A68,G2,修正!D57:D68)</f>
        <v>0.3</v>
      </c>
      <c r="G39" s="171">
        <f>ROUND(IF(E2="工业",C39*$M$42,C39*$M$41),0)</f>
        <v>1859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7435</v>
      </c>
      <c r="D40" s="2098"/>
      <c r="E40" s="171">
        <f t="shared" si="4"/>
        <v>0</v>
      </c>
      <c r="F40" s="175">
        <f>SUMIF(修正!A57:A68,G2,修正!E57:E68)</f>
        <v>0.3</v>
      </c>
      <c r="G40" s="171">
        <f>ROUND(IF(E2="工业",C40*$M$42,C40*$M$41),0)</f>
        <v>1859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1.0443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3411</v>
      </c>
      <c r="D61" s="1065">
        <f t="shared" ref="D61:D69" si="12">SUMIF($J$60:$N$60,C61,J61:N61)</f>
        <v>1.18E-2</v>
      </c>
      <c r="E61" s="744">
        <f>ROUND(SUM(D61:D69),4)</f>
        <v>4.4299999999999999E-2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3411</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0</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51" t="s">
        <v>3413</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3411</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3411</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3414</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3298</v>
      </c>
      <c r="B103" s="3754"/>
      <c r="C103" s="3754"/>
      <c r="D103" s="3754"/>
      <c r="E103" s="3754"/>
      <c r="F103" s="3754"/>
      <c r="G103" s="3754"/>
      <c r="H103" s="3754"/>
      <c r="I103" s="3754"/>
      <c r="J103" s="3754"/>
      <c r="K103" s="3390"/>
      <c r="L103" s="3390"/>
      <c r="M103" s="3390"/>
      <c r="N103" s="3390"/>
    </row>
    <row r="104" spans="1:14">
      <c r="A104" s="3755" t="s">
        <v>3299</v>
      </c>
      <c r="B104" s="3755" t="s">
        <v>3300</v>
      </c>
      <c r="C104" s="3391" t="s">
        <v>3301</v>
      </c>
      <c r="D104" s="3392"/>
      <c r="E104" s="3392"/>
      <c r="F104" s="3392"/>
      <c r="G104" s="3392"/>
      <c r="H104" s="3392"/>
      <c r="I104" s="3392"/>
      <c r="J104" s="3393"/>
      <c r="K104" s="3394"/>
      <c r="L104" s="3394"/>
      <c r="M104" s="3394"/>
      <c r="N104" s="3394"/>
    </row>
    <row r="105" spans="1:14">
      <c r="A105" s="3755"/>
      <c r="B105" s="3755"/>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1"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3315</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0.96499999999999997</v>
      </c>
      <c r="E116" s="2000" t="s">
        <v>3318</v>
      </c>
      <c r="F116" s="3402" t="str">
        <f>E2</f>
        <v>办公</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0"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0" t="s">
        <v>2616</v>
      </c>
      <c r="C27" s="3103" t="s">
        <v>2456</v>
      </c>
      <c r="D27" s="3104"/>
      <c r="E27" s="3105">
        <v>1</v>
      </c>
      <c r="F27" s="3106" t="s">
        <v>2457</v>
      </c>
      <c r="G27" s="3106"/>
    </row>
    <row r="28" spans="1:13" ht="19.5" customHeight="1">
      <c r="A28" s="3764"/>
      <c r="B28" s="3761"/>
      <c r="C28" s="3107" t="s">
        <v>2458</v>
      </c>
      <c r="D28" s="3108"/>
      <c r="E28" s="3109">
        <v>1</v>
      </c>
      <c r="F28" s="3106" t="s">
        <v>2459</v>
      </c>
      <c r="G28" s="3106"/>
    </row>
    <row r="29" spans="1:13" ht="19.5" customHeight="1">
      <c r="A29" s="3764"/>
      <c r="B29" s="3761"/>
      <c r="C29" s="3107" t="s">
        <v>2460</v>
      </c>
      <c r="D29" s="3108"/>
      <c r="E29" s="3109">
        <v>0.8</v>
      </c>
      <c r="F29" s="3106" t="s">
        <v>2461</v>
      </c>
      <c r="G29" s="3106"/>
    </row>
    <row r="30" spans="1:13" ht="19.5" customHeight="1">
      <c r="A30" s="3764"/>
      <c r="B30" s="3761"/>
      <c r="C30" s="3107" t="s">
        <v>2462</v>
      </c>
      <c r="D30" s="3108"/>
      <c r="E30" s="3109">
        <v>0.8</v>
      </c>
      <c r="F30" s="3106" t="s">
        <v>2463</v>
      </c>
      <c r="G30" s="3106"/>
    </row>
    <row r="31" spans="1:13" ht="19.5" customHeight="1">
      <c r="A31" s="3764"/>
      <c r="B31" s="3761"/>
      <c r="C31" s="3107" t="s">
        <v>2464</v>
      </c>
      <c r="D31" s="3108"/>
      <c r="E31" s="3109">
        <v>0.8</v>
      </c>
      <c r="F31" s="3106" t="s">
        <v>2465</v>
      </c>
      <c r="G31" s="3106"/>
    </row>
    <row r="32" spans="1:13" ht="19.5" customHeight="1">
      <c r="A32" s="3764"/>
      <c r="B32" s="3761"/>
      <c r="C32" s="3107" t="s">
        <v>2466</v>
      </c>
      <c r="D32" s="3108"/>
      <c r="E32" s="3109">
        <v>0.7</v>
      </c>
      <c r="F32" s="3106" t="s">
        <v>2467</v>
      </c>
      <c r="G32" s="3106"/>
    </row>
    <row r="33" spans="1:7" ht="19.5" customHeight="1">
      <c r="A33" s="3764"/>
      <c r="B33" s="3761"/>
      <c r="C33" s="3107" t="s">
        <v>2468</v>
      </c>
      <c r="D33" s="3108"/>
      <c r="E33" s="3109">
        <v>0.8</v>
      </c>
      <c r="F33" s="3106" t="s">
        <v>2469</v>
      </c>
      <c r="G33" s="3106"/>
    </row>
    <row r="34" spans="1:7" ht="19.5" customHeight="1">
      <c r="A34" s="3764"/>
      <c r="B34" s="3761"/>
      <c r="C34" s="3107" t="s">
        <v>2470</v>
      </c>
      <c r="D34" s="3108"/>
      <c r="E34" s="3109">
        <v>0.6</v>
      </c>
      <c r="F34" s="3106" t="s">
        <v>2471</v>
      </c>
      <c r="G34" s="3106"/>
    </row>
    <row r="35" spans="1:7" ht="19.5" customHeight="1">
      <c r="A35" s="3764"/>
      <c r="B35" s="3761"/>
      <c r="C35" s="3107" t="s">
        <v>2472</v>
      </c>
      <c r="D35" s="3108"/>
      <c r="E35" s="3109">
        <v>0.2</v>
      </c>
      <c r="F35" s="3106" t="s">
        <v>2473</v>
      </c>
      <c r="G35" s="3106"/>
    </row>
    <row r="36" spans="1:7" ht="19.5" customHeight="1">
      <c r="A36" s="3764"/>
      <c r="B36" s="3761"/>
      <c r="C36" s="3107" t="s">
        <v>2474</v>
      </c>
      <c r="D36" s="3108"/>
      <c r="E36" s="3109">
        <v>0.2</v>
      </c>
      <c r="F36" s="3106" t="s">
        <v>2475</v>
      </c>
      <c r="G36" s="3106"/>
    </row>
    <row r="37" spans="1:7" ht="19.5" customHeight="1">
      <c r="A37" s="3764"/>
      <c r="B37" s="3766" t="s">
        <v>2636</v>
      </c>
      <c r="C37" s="3107" t="s">
        <v>2476</v>
      </c>
      <c r="D37" s="3108"/>
      <c r="E37" s="3109">
        <v>0.6</v>
      </c>
      <c r="F37" s="3106" t="s">
        <v>2477</v>
      </c>
      <c r="G37" s="3106"/>
    </row>
    <row r="38" spans="1:7" ht="19.5" customHeight="1">
      <c r="A38" s="3764"/>
      <c r="B38" s="3761"/>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0"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7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66"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6"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6"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6"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71" t="s">
        <v>2738</v>
      </c>
      <c r="C113" s="3118" t="s">
        <v>2739</v>
      </c>
      <c r="D113" s="3092" t="s">
        <v>2740</v>
      </c>
      <c r="E113" s="3118">
        <v>0.1</v>
      </c>
      <c r="F113" s="3118">
        <v>15</v>
      </c>
    </row>
    <row r="114" spans="1:6" ht="13.5">
      <c r="A114" s="3118">
        <v>42</v>
      </c>
      <c r="B114" s="3771"/>
      <c r="C114" s="3118" t="s">
        <v>2741</v>
      </c>
      <c r="D114" s="3092" t="s">
        <v>2742</v>
      </c>
      <c r="E114" s="3118">
        <v>0.1</v>
      </c>
      <c r="F114" s="3118">
        <v>15</v>
      </c>
    </row>
    <row r="115" spans="1:6" ht="24">
      <c r="A115" s="3118">
        <v>43</v>
      </c>
      <c r="B115" s="3771"/>
      <c r="C115" s="3118" t="s">
        <v>2743</v>
      </c>
      <c r="D115" s="3092" t="s">
        <v>2744</v>
      </c>
      <c r="E115" s="3118">
        <v>0.1</v>
      </c>
      <c r="F115" s="3118">
        <v>15</v>
      </c>
    </row>
    <row r="116" spans="1:6" ht="13.5">
      <c r="A116" s="3118">
        <v>44</v>
      </c>
      <c r="B116" s="3766"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6"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6"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71" t="s">
        <v>2760</v>
      </c>
      <c r="C122" s="3118" t="s">
        <v>2761</v>
      </c>
      <c r="D122" s="3092" t="s">
        <v>2762</v>
      </c>
      <c r="E122" s="3118">
        <v>0.1</v>
      </c>
      <c r="F122" s="3118">
        <v>15</v>
      </c>
    </row>
    <row r="123" spans="1:6" ht="24">
      <c r="A123" s="3118">
        <v>51</v>
      </c>
      <c r="B123" s="3771"/>
      <c r="C123" s="3118" t="s">
        <v>2763</v>
      </c>
      <c r="D123" s="3092" t="s">
        <v>2764</v>
      </c>
      <c r="E123" s="3118">
        <v>0.1</v>
      </c>
      <c r="F123" s="3118">
        <v>15</v>
      </c>
    </row>
    <row r="124" spans="1:6" ht="24">
      <c r="A124" s="3118">
        <v>52</v>
      </c>
      <c r="B124" s="3771" t="s">
        <v>2765</v>
      </c>
      <c r="C124" s="3118" t="s">
        <v>2766</v>
      </c>
      <c r="D124" s="3092" t="s">
        <v>2767</v>
      </c>
      <c r="E124" s="3118">
        <v>0.1</v>
      </c>
      <c r="F124" s="3118">
        <v>15</v>
      </c>
    </row>
    <row r="125" spans="1:6" ht="24">
      <c r="A125" s="3118">
        <v>53</v>
      </c>
      <c r="B125" s="377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1" t="s">
        <v>2773</v>
      </c>
      <c r="C127" s="3118" t="s">
        <v>2774</v>
      </c>
      <c r="D127" s="3092" t="s">
        <v>2775</v>
      </c>
      <c r="E127" s="3118">
        <v>0.1</v>
      </c>
      <c r="F127" s="3118">
        <v>15</v>
      </c>
    </row>
    <row r="128" spans="1:6" ht="13.5">
      <c r="A128" s="3118">
        <v>56</v>
      </c>
      <c r="B128" s="3771"/>
      <c r="C128" s="3118" t="s">
        <v>2776</v>
      </c>
      <c r="D128" s="3092" t="s">
        <v>2777</v>
      </c>
      <c r="E128" s="3118">
        <v>0.1</v>
      </c>
      <c r="F128" s="3118">
        <v>15</v>
      </c>
    </row>
    <row r="129" spans="1:6" ht="24">
      <c r="A129" s="3118">
        <v>57</v>
      </c>
      <c r="B129" s="3771"/>
      <c r="C129" s="3118" t="s">
        <v>2778</v>
      </c>
      <c r="D129" s="3092" t="s">
        <v>2779</v>
      </c>
      <c r="E129" s="3118">
        <v>0.1</v>
      </c>
      <c r="F129" s="3118">
        <v>15</v>
      </c>
    </row>
    <row r="130" spans="1:6" ht="24">
      <c r="A130" s="3118">
        <v>58</v>
      </c>
      <c r="B130" s="3771" t="s">
        <v>2780</v>
      </c>
      <c r="C130" s="3118" t="s">
        <v>2781</v>
      </c>
      <c r="D130" s="3092" t="s">
        <v>2782</v>
      </c>
      <c r="E130" s="3118">
        <v>0.1</v>
      </c>
      <c r="F130" s="3118">
        <v>15</v>
      </c>
    </row>
    <row r="131" spans="1:6" ht="13.5">
      <c r="A131" s="3118">
        <v>59</v>
      </c>
      <c r="B131" s="3771"/>
      <c r="C131" s="3118" t="s">
        <v>2783</v>
      </c>
      <c r="D131" s="3092" t="s">
        <v>2784</v>
      </c>
      <c r="E131" s="3118">
        <v>0.1</v>
      </c>
      <c r="F131" s="3118">
        <v>15</v>
      </c>
    </row>
    <row r="132" spans="1:6" ht="13.5">
      <c r="A132" s="3118">
        <v>60</v>
      </c>
      <c r="B132" s="3766"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1" t="s">
        <v>2793</v>
      </c>
      <c r="C135" s="3118" t="s">
        <v>2794</v>
      </c>
      <c r="D135" s="3092" t="s">
        <v>2795</v>
      </c>
      <c r="E135" s="3118">
        <v>0.1</v>
      </c>
      <c r="F135" s="3118">
        <v>15</v>
      </c>
    </row>
    <row r="136" spans="1:6" ht="13.5">
      <c r="A136" s="3118">
        <v>64</v>
      </c>
      <c r="B136" s="377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1.0558000000000001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32427</v>
      </c>
      <c r="C2" s="2" t="s">
        <v>106</v>
      </c>
      <c r="D2" s="199"/>
      <c r="E2" s="199"/>
      <c r="F2" s="199"/>
      <c r="G2" s="199"/>
    </row>
    <row r="3" spans="1:7" s="200" customFormat="1" ht="18" customHeight="1" thickBot="1">
      <c r="A3" s="203" t="s">
        <v>58</v>
      </c>
      <c r="B3" s="204">
        <f ca="1">ROUND(B2*10000/'数据-汇总表'!E3,0)</f>
        <v>52124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124</v>
      </c>
      <c r="D10" s="845">
        <f>'数据-汇总表'!E6</f>
        <v>6221.16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124</v>
      </c>
      <c r="D19" s="849">
        <f>'数据-汇总表'!E3</f>
        <v>6221.16</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4230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4230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2800</v>
      </c>
      <c r="D34" s="217"/>
      <c r="E34" s="220"/>
      <c r="F34" s="257">
        <f>IF('数据-取费表'!B24=0,1,'数据-取费表'!N16)</f>
        <v>1</v>
      </c>
      <c r="G34" s="219" t="s">
        <v>89</v>
      </c>
    </row>
    <row r="35" spans="1:7" ht="13.5" customHeight="1">
      <c r="A35" s="780" t="s">
        <v>351</v>
      </c>
      <c r="B35" s="215" t="s">
        <v>33</v>
      </c>
      <c r="C35" s="220">
        <f>ROUND(C34*F35,0)</f>
        <v>84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124</v>
      </c>
      <c r="D37" s="217">
        <f>'数据-汇总表'!E3</f>
        <v>6221.16</v>
      </c>
      <c r="E37" s="249">
        <f>'数据-取费表'!B35</f>
        <v>200</v>
      </c>
      <c r="F37" s="259"/>
      <c r="G37" s="261" t="s">
        <v>92</v>
      </c>
    </row>
    <row r="38" spans="1:7" ht="13.5" customHeight="1">
      <c r="A38" s="780" t="s">
        <v>354</v>
      </c>
      <c r="B38" s="215" t="s">
        <v>36</v>
      </c>
      <c r="C38" s="220">
        <f>ROUND(C34*F38,0)</f>
        <v>56</v>
      </c>
      <c r="D38" s="220"/>
      <c r="E38" s="220"/>
      <c r="F38" s="259">
        <f>'数据-取费表'!B36</f>
        <v>0.02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v>
      </c>
      <c r="D42" s="238"/>
      <c r="E42" s="238"/>
      <c r="F42" s="239"/>
      <c r="G42" s="3636" t="s">
        <v>94</v>
      </c>
    </row>
    <row r="43" spans="1:7" ht="13.5" customHeight="1">
      <c r="A43" s="780" t="s">
        <v>347</v>
      </c>
      <c r="B43" s="215" t="s">
        <v>426</v>
      </c>
      <c r="C43" s="238">
        <f ca="1">ROUND(IF('数据-取费表'!B22&lt;=1,C39*F22*'数据-取费表'!B21/2,C39*(POWER((1+F22),'数据-取费表'!B21/2)-1)),0)</f>
        <v>2</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625</v>
      </c>
      <c r="D45" s="235">
        <f>C47</f>
        <v>4.0000000000000001E-3</v>
      </c>
      <c r="E45" s="236" t="s">
        <v>102</v>
      </c>
      <c r="F45" s="246"/>
      <c r="G45" s="247" t="s">
        <v>434</v>
      </c>
    </row>
    <row r="46" spans="1:7" s="214" customFormat="1" ht="13.5" customHeight="1">
      <c r="A46" s="780" t="s">
        <v>349</v>
      </c>
      <c r="B46" s="248" t="s">
        <v>427</v>
      </c>
      <c r="C46" s="249">
        <f>ROUND((C33+C39)*F27,0)</f>
        <v>625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4185</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3306</v>
      </c>
      <c r="D51" s="232"/>
      <c r="E51" s="232"/>
      <c r="F51" s="264"/>
      <c r="G51" s="234" t="s">
        <v>37</v>
      </c>
    </row>
    <row r="52" spans="1:7" s="208" customFormat="1" ht="16.5" thickBot="1">
      <c r="A52" s="265" t="s">
        <v>38</v>
      </c>
      <c r="B52" s="266"/>
      <c r="C52" s="267">
        <f ca="1">C31+C51</f>
        <v>32427</v>
      </c>
      <c r="D52" s="266"/>
      <c r="E52" s="266"/>
      <c r="F52" s="266"/>
      <c r="G52" s="268"/>
    </row>
    <row r="55" spans="1:7" ht="15">
      <c r="B55" s="270" t="s">
        <v>39</v>
      </c>
      <c r="C55" s="271"/>
    </row>
    <row r="56" spans="1:7">
      <c r="B56" s="273" t="s">
        <v>40</v>
      </c>
      <c r="C56" s="274">
        <f ca="1">ROUND(C51/C52,3)</f>
        <v>0.10199999999999999</v>
      </c>
    </row>
    <row r="57" spans="1:7">
      <c r="B57" s="273" t="s">
        <v>41</v>
      </c>
      <c r="C57" s="275">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24274</v>
      </c>
      <c r="E5" s="1491"/>
    </row>
    <row r="6" spans="1:5" ht="15.75">
      <c r="A6" s="1491"/>
      <c r="B6" s="3455"/>
      <c r="C6" s="1494" t="s">
        <v>911</v>
      </c>
      <c r="D6" s="850" t="str">
        <f ca="1">NUMBERSTRING(INT(D5*10000),2)&amp;"元整"</f>
        <v>贰亿肆仟贰佰柒拾肆万元整</v>
      </c>
      <c r="E6" s="1491"/>
    </row>
    <row r="7" spans="1:5" ht="15.75">
      <c r="A7" s="1491"/>
      <c r="B7" s="3460"/>
      <c r="C7" s="1495" t="s">
        <v>912</v>
      </c>
      <c r="D7" s="851">
        <f ca="1">结果表!H102</f>
        <v>39018</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24274</v>
      </c>
      <c r="E13" s="1491"/>
    </row>
    <row r="14" spans="1:5" ht="15.75">
      <c r="A14" s="1491"/>
      <c r="B14" s="3455"/>
      <c r="C14" s="1494" t="s">
        <v>911</v>
      </c>
      <c r="D14" s="850" t="str">
        <f ca="1">NUMBERSTRING(INT(D13*10000),2)&amp;"元整"</f>
        <v>贰亿肆仟贰佰柒拾肆万元整</v>
      </c>
      <c r="E14" s="1491"/>
    </row>
    <row r="15" spans="1:5" ht="15">
      <c r="A15" s="1491"/>
      <c r="B15" s="3460"/>
      <c r="C15" s="1495" t="s">
        <v>921</v>
      </c>
      <c r="D15" s="859">
        <f ca="1">结果表!H108</f>
        <v>39018</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24262</v>
      </c>
      <c r="E19" s="1491"/>
    </row>
    <row r="20" spans="1:5" ht="15.75">
      <c r="A20" s="1491"/>
      <c r="B20" s="3455"/>
      <c r="C20" s="1494" t="s">
        <v>923</v>
      </c>
      <c r="D20" s="850" t="str">
        <f ca="1">NUMBERSTRING(INT(D19*10000),2)&amp;"元整"</f>
        <v>贰亿肆仟贰佰陆拾贰万元整</v>
      </c>
      <c r="E20" s="1491"/>
    </row>
    <row r="21" spans="1:5" ht="15.75" thickBot="1">
      <c r="A21" s="1491"/>
      <c r="B21" s="3456"/>
      <c r="C21" s="1501" t="s">
        <v>921</v>
      </c>
      <c r="D21" s="860">
        <f ca="1">结果表!H112</f>
        <v>38999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2843</v>
      </c>
      <c r="B1" s="3774"/>
      <c r="C1" s="3774"/>
      <c r="D1" s="3774"/>
      <c r="E1" s="3774"/>
      <c r="F1" s="3774"/>
      <c r="G1" s="377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3185</v>
      </c>
      <c r="B1" s="377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3236</v>
      </c>
      <c r="B1" s="3777"/>
      <c r="C1" s="3777"/>
      <c r="D1" s="3777"/>
      <c r="E1" s="3777"/>
      <c r="F1" s="377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D43" sqref="D43"/>
    </sheetView>
  </sheetViews>
  <sheetFormatPr defaultRowHeight="13.5"/>
  <cols>
    <col min="1" max="1" width="13.875" customWidth="1"/>
    <col min="11" max="17" width="0" hidden="1" customWidth="1"/>
    <col min="25" max="30" width="0" hidden="1" customWidth="1"/>
  </cols>
  <sheetData>
    <row r="1" spans="1:30">
      <c r="A1" s="3221">
        <f>基准地价修正!G23</f>
        <v>45475</v>
      </c>
      <c r="B1" s="3210" t="s">
        <v>3375</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3418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3381</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3382</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3380</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79" t="s">
        <v>2831</v>
      </c>
      <c r="S24" s="3780"/>
      <c r="T24" s="3780"/>
      <c r="U24" s="3780"/>
      <c r="V24" s="3780"/>
      <c r="W24" s="3780"/>
      <c r="X24" s="3165"/>
      <c r="Y24" s="3779" t="s">
        <v>2832</v>
      </c>
      <c r="Z24" s="3780"/>
      <c r="AA24" s="3780"/>
      <c r="AB24" s="3780"/>
      <c r="AC24" s="3780"/>
      <c r="AD24" s="3780"/>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3418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3381</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3383</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3380</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6221.16</v>
      </c>
      <c r="C4" s="854">
        <f>项目基本情况!C18</f>
        <v>0</v>
      </c>
      <c r="D4" s="854">
        <f ca="1">结果表!D118</f>
        <v>21313</v>
      </c>
      <c r="E4" s="854">
        <f ca="1">结果表!E118</f>
        <v>34258</v>
      </c>
      <c r="F4" s="854">
        <f ca="1">结果表!F118</f>
        <v>2961</v>
      </c>
      <c r="G4" s="854">
        <f ca="1">结果表!G118</f>
        <v>4760</v>
      </c>
      <c r="H4" s="854">
        <f ca="1">结果表!H118</f>
        <v>24274</v>
      </c>
      <c r="I4" s="854">
        <f ca="1">结果表!I118</f>
        <v>39018</v>
      </c>
    </row>
    <row r="5" spans="1:9" ht="30" customHeight="1">
      <c r="A5" s="3466" t="s">
        <v>927</v>
      </c>
      <c r="B5" s="3466"/>
      <c r="C5" s="3466"/>
      <c r="D5" s="3466" t="str">
        <f ca="1">结果表!D119</f>
        <v>贰亿壹仟叁佰壹拾叁万元整</v>
      </c>
      <c r="E5" s="3466"/>
      <c r="F5" s="3466" t="str">
        <f ca="1">结果表!F119</f>
        <v>贰仟玖佰陆拾壹万元整</v>
      </c>
      <c r="G5" s="3466"/>
      <c r="H5" s="3466" t="str">
        <f ca="1">结果表!H119</f>
        <v>贰亿肆仟贰佰柒拾肆万元整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24274</v>
      </c>
      <c r="E8" s="3467"/>
      <c r="F8" s="3467"/>
      <c r="G8" s="3467"/>
      <c r="H8" s="3467"/>
      <c r="I8" s="3467"/>
    </row>
    <row r="9" spans="1:9" ht="15">
      <c r="A9" s="3466" t="s">
        <v>927</v>
      </c>
      <c r="B9" s="3466"/>
      <c r="C9" s="3466"/>
      <c r="D9" s="3466" t="str">
        <f ca="1">结果表!D123</f>
        <v>贰亿肆仟贰佰柒拾肆万元整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抵押净值</v>
      </c>
      <c r="B12" s="3467"/>
      <c r="C12" s="3467"/>
      <c r="D12" s="3467">
        <f ca="1">结果表!D126</f>
        <v>24262</v>
      </c>
      <c r="E12" s="3467"/>
      <c r="F12" s="3467"/>
      <c r="G12" s="3467"/>
      <c r="H12" s="3467"/>
      <c r="I12" s="3467"/>
    </row>
    <row r="13" spans="1:9" ht="15.75" thickBot="1">
      <c r="A13" s="3471" t="s">
        <v>927</v>
      </c>
      <c r="B13" s="3471"/>
      <c r="C13" s="3471"/>
      <c r="D13" s="3471" t="str">
        <f ca="1">结果表!D127</f>
        <v>贰亿肆仟贰佰陆拾贰万元整</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45481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2024-07-08T05:40:45Z</dcterms:modified>
</cp:coreProperties>
</file>