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3695" windowHeight="11205" tabRatio="875" firstSheet="12"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商)" sheetId="71" state="hidden" r:id="rId42"/>
    <sheet name="住宅案例" sheetId="72" r:id="rId43"/>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1" i="9" l="1"/>
  <c r="E48" i="39"/>
  <c r="E40" i="39"/>
  <c r="E9" i="39"/>
  <c r="E7" i="39"/>
  <c r="I47" i="21"/>
  <c r="G47" i="21"/>
  <c r="E47" i="21"/>
  <c r="I7" i="21"/>
  <c r="G7" i="21"/>
  <c r="E7" i="21"/>
  <c r="C33" i="21"/>
  <c r="I48" i="39"/>
  <c r="G48" i="39"/>
  <c r="I40" i="39"/>
  <c r="G40" i="39"/>
  <c r="C40" i="39"/>
  <c r="I9" i="39"/>
  <c r="G9" i="39"/>
  <c r="I7" i="39"/>
  <c r="G7" i="39"/>
  <c r="I13" i="3"/>
  <c r="D3" i="4"/>
  <c r="I7" i="6"/>
  <c r="I33" i="21"/>
  <c r="G33" i="21"/>
  <c r="E33" i="21"/>
  <c r="I11" i="21"/>
  <c r="G11" i="21"/>
  <c r="E11" i="21"/>
  <c r="I5" i="21"/>
  <c r="G5" i="21"/>
  <c r="E5" i="21"/>
  <c r="Q73" i="71"/>
  <c r="Q60" i="71"/>
  <c r="D60" i="71"/>
  <c r="Q59" i="71"/>
  <c r="K59" i="71"/>
  <c r="P75" i="71"/>
  <c r="Q52" i="71"/>
  <c r="J50" i="71"/>
  <c r="J51" i="71"/>
  <c r="M47" i="71"/>
  <c r="F33" i="71"/>
  <c r="F60" i="71"/>
  <c r="F23" i="71"/>
  <c r="D24" i="71"/>
  <c r="F21" i="71"/>
  <c r="F20" i="71"/>
  <c r="M19" i="71"/>
  <c r="F18" i="71"/>
  <c r="F17" i="71"/>
  <c r="F15" i="71"/>
  <c r="D22" i="71"/>
  <c r="D23" i="71"/>
  <c r="P62" i="71"/>
  <c r="F19" i="6"/>
  <c r="AH5" i="59"/>
  <c r="AG5" i="59"/>
  <c r="AE5" i="59"/>
  <c r="AF5" i="59"/>
  <c r="AD5" i="59"/>
  <c r="Q5" i="59"/>
  <c r="P5" i="59"/>
  <c r="O5" i="59"/>
  <c r="N5" i="59"/>
  <c r="Q7" i="59"/>
  <c r="P7" i="59"/>
  <c r="O7" i="59"/>
  <c r="N7" i="59"/>
  <c r="AH6" i="59"/>
  <c r="AG6" i="59"/>
  <c r="AE6" i="59"/>
  <c r="AF6" i="59"/>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E10" i="59"/>
  <c r="AF10" i="59"/>
  <c r="AD10" i="59"/>
  <c r="Q10" i="59"/>
  <c r="P10" i="59"/>
  <c r="O10" i="59"/>
  <c r="N10" i="59"/>
  <c r="L3" i="59"/>
  <c r="AH3" i="59"/>
  <c r="K3" i="59"/>
  <c r="AG3" i="59"/>
  <c r="J3" i="59"/>
  <c r="AE3" i="59"/>
  <c r="AF3" i="59"/>
  <c r="I3" i="59"/>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c r="AD13" i="59"/>
  <c r="AE14" i="59"/>
  <c r="AF14" i="59"/>
  <c r="AG14" i="59"/>
  <c r="AH14" i="59"/>
  <c r="AD14" i="59"/>
  <c r="Q14" i="59"/>
  <c r="P14" i="59"/>
  <c r="E14" i="59"/>
  <c r="O14" i="59"/>
  <c r="N14" i="59"/>
  <c r="N15" i="59"/>
  <c r="Q15" i="59"/>
  <c r="P15" i="59"/>
  <c r="O15" i="59"/>
  <c r="K59" i="15"/>
  <c r="Q74" i="44"/>
  <c r="Q61" i="44"/>
  <c r="Q60" i="44"/>
  <c r="Q53" i="44"/>
  <c r="J51" i="44"/>
  <c r="J52" i="44"/>
  <c r="M48" i="44"/>
  <c r="A16" i="55"/>
  <c r="A15" i="55"/>
  <c r="B66" i="63"/>
  <c r="A10" i="55"/>
  <c r="B61" i="63"/>
  <c r="A9" i="55"/>
  <c r="B60" i="63"/>
  <c r="A8" i="55"/>
  <c r="B59" i="63"/>
  <c r="A6" i="54"/>
  <c r="A8" i="54"/>
  <c r="B53" i="63"/>
  <c r="A7" i="54"/>
  <c r="B51" i="63"/>
  <c r="A27" i="51"/>
  <c r="B20" i="63"/>
  <c r="Q16" i="59"/>
  <c r="O16" i="59"/>
  <c r="N17" i="59"/>
  <c r="O17" i="59"/>
  <c r="P17" i="59"/>
  <c r="Q17" i="59"/>
  <c r="N16" i="59"/>
  <c r="P16" i="59"/>
  <c r="K75" i="9"/>
  <c r="K6" i="4"/>
  <c r="L76" i="9"/>
  <c r="K76" i="9"/>
  <c r="K77" i="9"/>
  <c r="K79" i="9"/>
  <c r="K81" i="9"/>
  <c r="B22" i="31"/>
  <c r="E16" i="66"/>
  <c r="F16" i="66"/>
  <c r="E17" i="66"/>
  <c r="F17" i="66"/>
  <c r="E18" i="66"/>
  <c r="F18" i="66"/>
  <c r="E19" i="66"/>
  <c r="F19" i="66"/>
  <c r="E20" i="66"/>
  <c r="F20" i="66"/>
  <c r="E21" i="66"/>
  <c r="F21" i="66"/>
  <c r="E22" i="66"/>
  <c r="F22" i="66"/>
  <c r="E23" i="66"/>
  <c r="F23" i="66"/>
  <c r="B3" i="66"/>
  <c r="B14" i="59"/>
  <c r="E13" i="59"/>
  <c r="E12" i="59"/>
  <c r="E11" i="59"/>
  <c r="E10" i="59"/>
  <c r="E9" i="59"/>
  <c r="E8" i="59"/>
  <c r="E7" i="59"/>
  <c r="E6" i="59"/>
  <c r="E5" i="59"/>
  <c r="F14" i="59"/>
  <c r="V14" i="59"/>
  <c r="U14" i="59"/>
  <c r="AD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13" i="59"/>
  <c r="C3" i="65"/>
  <c r="C1" i="65"/>
  <c r="N1" i="65"/>
  <c r="T14" i="59"/>
  <c r="B76" i="63"/>
  <c r="M5" i="54"/>
  <c r="A23" i="51"/>
  <c r="B17" i="63"/>
  <c r="Y12" i="46"/>
  <c r="AA9" i="46"/>
  <c r="AA10" i="46"/>
  <c r="AB9" i="46"/>
  <c r="AB10" i="46"/>
  <c r="AC9" i="46"/>
  <c r="AD9" i="46"/>
  <c r="AD10" i="46"/>
  <c r="AE9" i="46"/>
  <c r="AE12" i="46"/>
  <c r="AF9" i="46"/>
  <c r="AF10" i="46"/>
  <c r="AG9" i="46"/>
  <c r="AH9" i="46"/>
  <c r="AH10" i="46"/>
  <c r="AI9" i="46"/>
  <c r="AJ9" i="46"/>
  <c r="AJ10" i="46"/>
  <c r="Z9" i="46"/>
  <c r="Z12" i="46"/>
  <c r="AG10" i="46"/>
  <c r="Y10" i="46"/>
  <c r="AG12" i="46"/>
  <c r="B73" i="63"/>
  <c r="A21" i="64"/>
  <c r="B75" i="63"/>
  <c r="A27" i="64"/>
  <c r="A15" i="64"/>
  <c r="A14" i="64"/>
  <c r="A11" i="64"/>
  <c r="A3" i="64"/>
  <c r="A45" i="9"/>
  <c r="K40" i="9"/>
  <c r="A44" i="9"/>
  <c r="K39" i="9"/>
  <c r="C57" i="10"/>
  <c r="C56" i="10"/>
  <c r="C55" i="10"/>
  <c r="C54" i="10"/>
  <c r="B49" i="63"/>
  <c r="B44" i="63"/>
  <c r="B40" i="63"/>
  <c r="B30" i="63"/>
  <c r="B27" i="63"/>
  <c r="B25" i="63"/>
  <c r="A11" i="51"/>
  <c r="B10" i="63"/>
  <c r="A26" i="64"/>
  <c r="A26" i="51"/>
  <c r="B19" i="63"/>
  <c r="B58"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B41" i="63"/>
  <c r="G5" i="54"/>
  <c r="B34" i="63"/>
  <c r="E5" i="54"/>
  <c r="B32" i="63"/>
  <c r="R2" i="54"/>
  <c r="B24" i="63"/>
  <c r="B49" i="50"/>
  <c r="B5" i="63"/>
  <c r="B40" i="50"/>
  <c r="B3" i="63"/>
  <c r="B67" i="63"/>
  <c r="I19" i="46"/>
  <c r="Q18" i="59"/>
  <c r="P18" i="59"/>
  <c r="E18" i="59"/>
  <c r="O18" i="59"/>
  <c r="C18" i="59"/>
  <c r="N18" i="59"/>
  <c r="B18" i="59"/>
  <c r="D79" i="59"/>
  <c r="F78" i="59"/>
  <c r="F77" i="59"/>
  <c r="F76" i="59"/>
  <c r="E78" i="59"/>
  <c r="E77" i="59"/>
  <c r="E76" i="59"/>
  <c r="C78" i="59"/>
  <c r="B78" i="59"/>
  <c r="B77" i="59"/>
  <c r="B76" i="59"/>
  <c r="D75" i="59"/>
  <c r="F74" i="59"/>
  <c r="F73" i="59"/>
  <c r="F72" i="59"/>
  <c r="E74" i="59"/>
  <c r="E73" i="59"/>
  <c r="E72" i="59"/>
  <c r="C74" i="59"/>
  <c r="B74" i="59"/>
  <c r="B73" i="59"/>
  <c r="B72" i="59"/>
  <c r="D71" i="59"/>
  <c r="Q70" i="59"/>
  <c r="P70" i="59"/>
  <c r="O70" i="59"/>
  <c r="N70" i="59"/>
  <c r="F70" i="59"/>
  <c r="V70" i="59"/>
  <c r="E70" i="59"/>
  <c r="U70" i="59"/>
  <c r="C70" i="59"/>
  <c r="B70" i="59"/>
  <c r="S70" i="59"/>
  <c r="Q69" i="59"/>
  <c r="P69" i="59"/>
  <c r="O69" i="59"/>
  <c r="N69" i="59"/>
  <c r="B69" i="59"/>
  <c r="B68" i="59"/>
  <c r="Q68" i="59"/>
  <c r="P68" i="59"/>
  <c r="O68" i="59"/>
  <c r="N68" i="59"/>
  <c r="Q67" i="59"/>
  <c r="P67" i="59"/>
  <c r="O67" i="59"/>
  <c r="N67" i="59"/>
  <c r="D67" i="59"/>
  <c r="Q66" i="59"/>
  <c r="P66" i="59"/>
  <c r="O66" i="59"/>
  <c r="N66" i="59"/>
  <c r="F66" i="59"/>
  <c r="V66" i="59"/>
  <c r="E66" i="59"/>
  <c r="C66" i="59"/>
  <c r="T66" i="59"/>
  <c r="B66" i="59"/>
  <c r="Q65" i="59"/>
  <c r="P65" i="59"/>
  <c r="O65" i="59"/>
  <c r="N65" i="59"/>
  <c r="Q64" i="59"/>
  <c r="P64" i="59"/>
  <c r="O64" i="59"/>
  <c r="N64" i="59"/>
  <c r="Q63" i="59"/>
  <c r="P63" i="59"/>
  <c r="O63" i="59"/>
  <c r="N63" i="59"/>
  <c r="D63" i="59"/>
  <c r="Q62" i="59"/>
  <c r="P62" i="59"/>
  <c r="O62" i="59"/>
  <c r="N62" i="59"/>
  <c r="F62" i="59"/>
  <c r="E62" i="59"/>
  <c r="U62" i="59"/>
  <c r="C62" i="59"/>
  <c r="B62" i="59"/>
  <c r="S62" i="59"/>
  <c r="Q61" i="59"/>
  <c r="P61" i="59"/>
  <c r="O61" i="59"/>
  <c r="N61" i="59"/>
  <c r="Q60" i="59"/>
  <c r="P60" i="59"/>
  <c r="O60" i="59"/>
  <c r="N60" i="59"/>
  <c r="Q59" i="59"/>
  <c r="P59" i="59"/>
  <c r="O59" i="59"/>
  <c r="N59" i="59"/>
  <c r="D59" i="59"/>
  <c r="F58" i="59"/>
  <c r="V58" i="59"/>
  <c r="E58" i="59"/>
  <c r="E57" i="59"/>
  <c r="C58" i="59"/>
  <c r="T58" i="59"/>
  <c r="B58" i="59"/>
  <c r="N58" i="59"/>
  <c r="F57" i="59"/>
  <c r="F56" i="59"/>
  <c r="B57" i="59"/>
  <c r="D55" i="59"/>
  <c r="Q54" i="59"/>
  <c r="P54" i="59"/>
  <c r="O54" i="59"/>
  <c r="N54" i="59"/>
  <c r="Q53" i="59"/>
  <c r="P53" i="59"/>
  <c r="O53" i="59"/>
  <c r="N53" i="59"/>
  <c r="Q52" i="59"/>
  <c r="P52" i="59"/>
  <c r="O52" i="59"/>
  <c r="N52" i="59"/>
  <c r="Q51" i="59"/>
  <c r="F52" i="59"/>
  <c r="P51" i="59"/>
  <c r="E52" i="59"/>
  <c r="O51" i="59"/>
  <c r="C52" i="59"/>
  <c r="N51" i="59"/>
  <c r="B52"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T38" i="59"/>
  <c r="Q38" i="59"/>
  <c r="P38" i="59"/>
  <c r="O38" i="59"/>
  <c r="N38" i="59"/>
  <c r="D38" i="59"/>
  <c r="Q37" i="59"/>
  <c r="P37" i="59"/>
  <c r="O37" i="59"/>
  <c r="N37" i="59"/>
  <c r="Q36" i="59"/>
  <c r="P36" i="59"/>
  <c r="O36" i="59"/>
  <c r="N36" i="59"/>
  <c r="Q35" i="59"/>
  <c r="F36" i="59"/>
  <c r="P35" i="59"/>
  <c r="E36" i="59"/>
  <c r="E37" i="59"/>
  <c r="E38" i="59"/>
  <c r="U38" i="59"/>
  <c r="O35" i="59"/>
  <c r="C36" i="59"/>
  <c r="D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AA29" i="59"/>
  <c r="O29" i="59"/>
  <c r="Y29" i="59"/>
  <c r="Z29" i="59"/>
  <c r="N29" i="59"/>
  <c r="X29" i="59"/>
  <c r="Q28" i="59"/>
  <c r="P28" i="59"/>
  <c r="AA28" i="59"/>
  <c r="O28" i="59"/>
  <c r="Y28" i="59"/>
  <c r="Z28" i="59"/>
  <c r="N28" i="59"/>
  <c r="X28" i="59"/>
  <c r="Q27" i="59"/>
  <c r="P27" i="59"/>
  <c r="O27" i="59"/>
  <c r="C28" i="59"/>
  <c r="N27" i="59"/>
  <c r="D27" i="59"/>
  <c r="Q26" i="59"/>
  <c r="AB26" i="59"/>
  <c r="P26" i="59"/>
  <c r="O26" i="59"/>
  <c r="N26" i="59"/>
  <c r="Q25" i="59"/>
  <c r="P25" i="59"/>
  <c r="O25" i="59"/>
  <c r="N25" i="59"/>
  <c r="Q24" i="59"/>
  <c r="P24" i="59"/>
  <c r="O24" i="59"/>
  <c r="N24" i="59"/>
  <c r="Q23" i="59"/>
  <c r="F24" i="59"/>
  <c r="F25" i="59"/>
  <c r="F26" i="59"/>
  <c r="V26" i="59"/>
  <c r="P23" i="59"/>
  <c r="E24" i="59"/>
  <c r="E25" i="59"/>
  <c r="E26" i="59"/>
  <c r="U26" i="59"/>
  <c r="O23" i="59"/>
  <c r="N23" i="59"/>
  <c r="D23" i="59"/>
  <c r="Q22" i="59"/>
  <c r="P22" i="59"/>
  <c r="O22" i="59"/>
  <c r="N22" i="59"/>
  <c r="Q21" i="59"/>
  <c r="P21" i="59"/>
  <c r="AA21" i="59"/>
  <c r="O21" i="59"/>
  <c r="N21" i="59"/>
  <c r="Q20" i="59"/>
  <c r="P20" i="59"/>
  <c r="O20" i="59"/>
  <c r="N20" i="59"/>
  <c r="Q19" i="59"/>
  <c r="F20" i="59"/>
  <c r="P19" i="59"/>
  <c r="O19" i="59"/>
  <c r="N19" i="59"/>
  <c r="B20" i="59"/>
  <c r="B21" i="59"/>
  <c r="B22" i="59"/>
  <c r="S22" i="59"/>
  <c r="D19" i="59"/>
  <c r="AB3" i="59"/>
  <c r="AB16" i="59"/>
  <c r="S58" i="59"/>
  <c r="F21" i="59"/>
  <c r="F22" i="59"/>
  <c r="V22" i="59"/>
  <c r="F33" i="59"/>
  <c r="F34" i="59"/>
  <c r="V34" i="59"/>
  <c r="F37" i="59"/>
  <c r="F38" i="59"/>
  <c r="V38" i="59"/>
  <c r="F49" i="59"/>
  <c r="F50" i="59"/>
  <c r="V50" i="59"/>
  <c r="F53" i="59"/>
  <c r="F54" i="59"/>
  <c r="V54" i="59"/>
  <c r="D44" i="59"/>
  <c r="D52" i="59"/>
  <c r="N57" i="59"/>
  <c r="B56" i="59"/>
  <c r="N56" i="59"/>
  <c r="Q57" i="59"/>
  <c r="O58" i="59"/>
  <c r="D58" i="59"/>
  <c r="C57" i="59"/>
  <c r="P58" i="59"/>
  <c r="U58" i="59"/>
  <c r="Q58" i="59"/>
  <c r="E61" i="59"/>
  <c r="E60" i="59"/>
  <c r="C65" i="59"/>
  <c r="D66" i="59"/>
  <c r="E69" i="59"/>
  <c r="E68" i="59"/>
  <c r="U16" i="4"/>
  <c r="S16" i="4"/>
  <c r="Q16" i="4"/>
  <c r="R16" i="4"/>
  <c r="O16" i="4"/>
  <c r="M16" i="4"/>
  <c r="N16" i="4"/>
  <c r="K16" i="4"/>
  <c r="N55" i="59"/>
  <c r="O27" i="6"/>
  <c r="N27" i="6"/>
  <c r="P26" i="6"/>
  <c r="L26" i="6"/>
  <c r="P25" i="6"/>
  <c r="L25" i="6"/>
  <c r="P24" i="6"/>
  <c r="L24" i="6"/>
  <c r="P23" i="6"/>
  <c r="L23" i="6"/>
  <c r="P22" i="6"/>
  <c r="L22" i="6"/>
  <c r="P21" i="6"/>
  <c r="L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F21" i="34"/>
  <c r="AA21" i="34"/>
  <c r="Q21" i="33"/>
  <c r="Z21" i="33"/>
  <c r="C21" i="33"/>
  <c r="D83" i="33"/>
  <c r="E83" i="33"/>
  <c r="F83" i="33"/>
  <c r="G83" i="33"/>
  <c r="Q21" i="21"/>
  <c r="Z21" i="21"/>
  <c r="D83" i="21"/>
  <c r="E83" i="21"/>
  <c r="F83" i="21"/>
  <c r="F21" i="21"/>
  <c r="AA21" i="21"/>
  <c r="C21" i="21"/>
  <c r="Z27" i="40"/>
  <c r="Q27" i="40"/>
  <c r="D96" i="40"/>
  <c r="E96" i="40"/>
  <c r="F96" i="40"/>
  <c r="F27" i="40"/>
  <c r="AA27" i="40"/>
  <c r="Q31" i="39"/>
  <c r="Z31" i="39"/>
  <c r="D105" i="39"/>
  <c r="E105" i="39"/>
  <c r="G20" i="20"/>
  <c r="B85" i="46"/>
  <c r="C22" i="20"/>
  <c r="B65" i="46"/>
  <c r="S18" i="36"/>
  <c r="S21" i="37"/>
  <c r="S21" i="34"/>
  <c r="E66" i="36"/>
  <c r="H18" i="35"/>
  <c r="J18" i="35"/>
  <c r="H21" i="37"/>
  <c r="J21" i="37"/>
  <c r="G84" i="34"/>
  <c r="J21" i="34"/>
  <c r="H21" i="34"/>
  <c r="F21" i="33"/>
  <c r="H21" i="33"/>
  <c r="J21" i="33"/>
  <c r="H21" i="21"/>
  <c r="G83" i="21"/>
  <c r="J21" i="21"/>
  <c r="H27" i="40"/>
  <c r="F105" i="39"/>
  <c r="H31" i="39"/>
  <c r="U31" i="39"/>
  <c r="F23" i="15"/>
  <c r="D22" i="15"/>
  <c r="G17" i="11"/>
  <c r="D23" i="15"/>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F13" i="1"/>
  <c r="AP13" i="1"/>
  <c r="D11" i="1"/>
  <c r="D12" i="1"/>
  <c r="D13" i="1"/>
  <c r="D6" i="1"/>
  <c r="D7" i="1"/>
  <c r="D8" i="1"/>
  <c r="D9" i="1"/>
  <c r="F10" i="1"/>
  <c r="AP10" i="1"/>
  <c r="D10" i="1"/>
  <c r="B2" i="1"/>
  <c r="C42" i="1"/>
  <c r="A12" i="1"/>
  <c r="A13" i="1"/>
  <c r="B13" i="1"/>
  <c r="E13" i="1"/>
  <c r="A7" i="1"/>
  <c r="B7" i="1"/>
  <c r="E7" i="1"/>
  <c r="A8" i="1"/>
  <c r="A9" i="1"/>
  <c r="A10" i="1"/>
  <c r="R10" i="1"/>
  <c r="A11" i="1"/>
  <c r="A6" i="1"/>
  <c r="G1" i="71"/>
  <c r="T4"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L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c r="H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A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S35" i="31"/>
  <c r="R36" i="31"/>
  <c r="S36" i="31"/>
  <c r="R37" i="31"/>
  <c r="R38" i="31"/>
  <c r="S38" i="31"/>
  <c r="R39" i="31"/>
  <c r="R40" i="31"/>
  <c r="S40" i="31"/>
  <c r="R41" i="31"/>
  <c r="R42" i="31"/>
  <c r="S42" i="31"/>
  <c r="R43" i="31"/>
  <c r="R44" i="31"/>
  <c r="S44" i="31"/>
  <c r="R45" i="31"/>
  <c r="R46" i="31"/>
  <c r="S46" i="31"/>
  <c r="R47" i="31"/>
  <c r="R48" i="31"/>
  <c r="S48" i="31"/>
  <c r="R49" i="31"/>
  <c r="S49" i="31"/>
  <c r="R50" i="31"/>
  <c r="S50" i="31"/>
  <c r="R51" i="31"/>
  <c r="R52" i="31"/>
  <c r="S52" i="31"/>
  <c r="R53" i="31"/>
  <c r="R54" i="31"/>
  <c r="S54" i="31"/>
  <c r="R55" i="31"/>
  <c r="S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S81" i="31"/>
  <c r="R82" i="31"/>
  <c r="S82" i="31"/>
  <c r="R83" i="31"/>
  <c r="R84" i="31"/>
  <c r="S84" i="31"/>
  <c r="R85" i="31"/>
  <c r="R86" i="31"/>
  <c r="S86" i="31"/>
  <c r="R87" i="31"/>
  <c r="S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S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S145" i="31"/>
  <c r="R146" i="31"/>
  <c r="S146" i="31"/>
  <c r="R147" i="31"/>
  <c r="R148" i="31"/>
  <c r="S148" i="31"/>
  <c r="R149" i="31"/>
  <c r="R150" i="31"/>
  <c r="S150" i="31"/>
  <c r="R151" i="31"/>
  <c r="S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S177" i="31"/>
  <c r="R178" i="31"/>
  <c r="S178" i="31"/>
  <c r="R179" i="31"/>
  <c r="R180" i="31"/>
  <c r="S180" i="31"/>
  <c r="R181" i="31"/>
  <c r="R182" i="31"/>
  <c r="S182" i="31"/>
  <c r="R183" i="31"/>
  <c r="S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S209" i="31"/>
  <c r="R210" i="31"/>
  <c r="S210" i="31"/>
  <c r="R211" i="31"/>
  <c r="R212" i="31"/>
  <c r="S212" i="31"/>
  <c r="R213" i="31"/>
  <c r="R214" i="31"/>
  <c r="S214" i="31"/>
  <c r="R215" i="31"/>
  <c r="S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S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c r="R494" i="31"/>
  <c r="R495" i="31"/>
  <c r="R496" i="31"/>
  <c r="R497" i="31"/>
  <c r="S497" i="31"/>
  <c r="R498" i="31"/>
  <c r="S498" i="31"/>
  <c r="R499" i="31"/>
  <c r="R500" i="31"/>
  <c r="S500" i="31"/>
  <c r="R501" i="31"/>
  <c r="R502" i="31"/>
  <c r="S502" i="31"/>
  <c r="R503" i="31"/>
  <c r="S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AP9" i="1"/>
  <c r="F19" i="4"/>
  <c r="F8" i="1"/>
  <c r="AP8" i="1"/>
  <c r="E19" i="4"/>
  <c r="F7" i="1"/>
  <c r="AP7" i="1"/>
  <c r="B2" i="52"/>
  <c r="E14" i="52"/>
  <c r="I2" i="46"/>
  <c r="N12" i="46"/>
  <c r="A7" i="46"/>
  <c r="F41" i="4"/>
  <c r="J52" i="40"/>
  <c r="H61" i="49"/>
  <c r="H39" i="46"/>
  <c r="H38" i="46"/>
  <c r="H37" i="46"/>
  <c r="H36" i="46"/>
  <c r="H35" i="46"/>
  <c r="H34" i="46"/>
  <c r="H33" i="46"/>
  <c r="J20" i="46"/>
  <c r="C18" i="46"/>
  <c r="F15" i="46"/>
  <c r="E15" i="46"/>
  <c r="D15" i="46"/>
  <c r="C15" i="46"/>
  <c r="C10" i="46"/>
  <c r="C11" i="46"/>
  <c r="E11" i="46"/>
  <c r="C9" i="46"/>
  <c r="E19" i="6"/>
  <c r="E32" i="6"/>
  <c r="E20" i="6"/>
  <c r="E21" i="6"/>
  <c r="K8" i="1"/>
  <c r="M8" i="1"/>
  <c r="O8" i="1"/>
  <c r="E22" i="6"/>
  <c r="E23" i="6"/>
  <c r="E24" i="6"/>
  <c r="E25" i="6"/>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4"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F11" i="39"/>
  <c r="AA11" i="39"/>
  <c r="C25" i="39"/>
  <c r="F36" i="39"/>
  <c r="AA36" i="39"/>
  <c r="F40" i="39"/>
  <c r="S40" i="39"/>
  <c r="F42" i="39"/>
  <c r="AA42" i="39"/>
  <c r="H10" i="39"/>
  <c r="AB10" i="39"/>
  <c r="H11" i="39"/>
  <c r="AB11" i="39"/>
  <c r="H36" i="39"/>
  <c r="AB36" i="39"/>
  <c r="H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7" i="31"/>
  <c r="S205" i="31"/>
  <c r="S203" i="31"/>
  <c r="S201" i="31"/>
  <c r="S199" i="31"/>
  <c r="S197" i="31"/>
  <c r="S195" i="31"/>
  <c r="S193" i="31"/>
  <c r="S191" i="31"/>
  <c r="S189" i="31"/>
  <c r="S187" i="31"/>
  <c r="S185" i="31"/>
  <c r="S181" i="31"/>
  <c r="S179"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467" i="31"/>
  <c r="S465" i="31"/>
  <c r="S463" i="31"/>
  <c r="S461" i="31"/>
  <c r="S459" i="31"/>
  <c r="S457" i="31"/>
  <c r="S455" i="31"/>
  <c r="S451" i="31"/>
  <c r="S53" i="31"/>
  <c r="S51" i="31"/>
  <c r="S47" i="31"/>
  <c r="S45" i="31"/>
  <c r="S43" i="31"/>
  <c r="S41" i="31"/>
  <c r="S39" i="31"/>
  <c r="S37" i="31"/>
  <c r="S33" i="31"/>
  <c r="S77" i="31"/>
  <c r="S75" i="31"/>
  <c r="S73" i="31"/>
  <c r="S71" i="31"/>
  <c r="S69" i="31"/>
  <c r="S67" i="31"/>
  <c r="S65" i="31"/>
  <c r="S63" i="31"/>
  <c r="S61" i="31"/>
  <c r="S59" i="31"/>
  <c r="S57" i="31"/>
  <c r="S24" i="31"/>
  <c r="S97" i="31"/>
  <c r="S95" i="31"/>
  <c r="S93" i="31"/>
  <c r="S91" i="31"/>
  <c r="S89" i="31"/>
  <c r="S85" i="31"/>
  <c r="S83"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S38" i="39"/>
  <c r="J30" i="36"/>
  <c r="H30" i="36"/>
  <c r="U30" i="36"/>
  <c r="F30" i="36"/>
  <c r="C26" i="35"/>
  <c r="C79" i="35"/>
  <c r="J31" i="35"/>
  <c r="H31" i="35"/>
  <c r="F31" i="35"/>
  <c r="S31" i="35"/>
  <c r="D87" i="35"/>
  <c r="E87" i="35"/>
  <c r="F87" i="35"/>
  <c r="G87" i="35"/>
  <c r="H87" i="35"/>
  <c r="I87" i="35"/>
  <c r="J87" i="35"/>
  <c r="K87" i="35"/>
  <c r="L87" i="35"/>
  <c r="M87" i="35"/>
  <c r="H34" i="37"/>
  <c r="AB34" i="37"/>
  <c r="D101" i="37"/>
  <c r="F34" i="37"/>
  <c r="D99" i="37"/>
  <c r="E99" i="37"/>
  <c r="H42" i="34"/>
  <c r="U42" i="34"/>
  <c r="J42" i="34"/>
  <c r="F42" i="34"/>
  <c r="J38" i="34"/>
  <c r="D114" i="34"/>
  <c r="E114" i="34"/>
  <c r="F38" i="34"/>
  <c r="AA38" i="34"/>
  <c r="D112" i="34"/>
  <c r="E112" i="34"/>
  <c r="F112" i="34"/>
  <c r="G112" i="34"/>
  <c r="H112" i="34"/>
  <c r="I112" i="34"/>
  <c r="J112" i="34"/>
  <c r="K112" i="34"/>
  <c r="L112" i="34"/>
  <c r="M112" i="34"/>
  <c r="F40" i="33"/>
  <c r="AA40" i="33"/>
  <c r="J41" i="33"/>
  <c r="D113" i="33"/>
  <c r="F37" i="33"/>
  <c r="S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F98" i="40"/>
  <c r="G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J33" i="39"/>
  <c r="D99" i="39"/>
  <c r="E99" i="39"/>
  <c r="F99" i="39"/>
  <c r="G99" i="39"/>
  <c r="D97" i="39"/>
  <c r="E97" i="39"/>
  <c r="D95" i="39"/>
  <c r="E95" i="39"/>
  <c r="F95" i="39"/>
  <c r="G95" i="39"/>
  <c r="D93" i="39"/>
  <c r="E93" i="39"/>
  <c r="F93" i="39"/>
  <c r="G93" i="39"/>
  <c r="D91" i="39"/>
  <c r="E91" i="39"/>
  <c r="F91" i="39"/>
  <c r="G91" i="39"/>
  <c r="B88" i="39"/>
  <c r="B86" i="39"/>
  <c r="H15" i="39"/>
  <c r="B84" i="39"/>
  <c r="H14" i="39"/>
  <c r="AB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F79" i="37"/>
  <c r="G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F30" i="37"/>
  <c r="AA30" i="37"/>
  <c r="Q29" i="37"/>
  <c r="Z29" i="37"/>
  <c r="H29" i="37"/>
  <c r="U29" i="37"/>
  <c r="Q28" i="37"/>
  <c r="Z28" i="37"/>
  <c r="Q27" i="37"/>
  <c r="Z27" i="37"/>
  <c r="Q26" i="37"/>
  <c r="Z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H24" i="36"/>
  <c r="U24" i="36"/>
  <c r="J24" i="36"/>
  <c r="W24" i="36"/>
  <c r="B71" i="36"/>
  <c r="D70" i="36"/>
  <c r="H22" i="36"/>
  <c r="U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C46" i="36"/>
  <c r="D46" i="36"/>
  <c r="E46" i="36"/>
  <c r="F46" i="36"/>
  <c r="G46" i="36"/>
  <c r="H46" i="36"/>
  <c r="I46" i="36"/>
  <c r="J46" i="36"/>
  <c r="K46" i="36"/>
  <c r="L46" i="36"/>
  <c r="M46" i="36"/>
  <c r="N46" i="36"/>
  <c r="O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F25" i="35"/>
  <c r="B75" i="35"/>
  <c r="J24" i="35"/>
  <c r="AC24" i="35"/>
  <c r="B73" i="35"/>
  <c r="F23" i="35"/>
  <c r="B57" i="35"/>
  <c r="B61" i="35"/>
  <c r="B59" i="35"/>
  <c r="H12" i="35"/>
  <c r="U12" i="35"/>
  <c r="B131" i="34"/>
  <c r="F47" i="34"/>
  <c r="B129" i="34"/>
  <c r="B127" i="34"/>
  <c r="B99" i="34"/>
  <c r="F32" i="34"/>
  <c r="B97" i="34"/>
  <c r="H31" i="34"/>
  <c r="B95" i="34"/>
  <c r="B93" i="34"/>
  <c r="B75" i="34"/>
  <c r="H14" i="34"/>
  <c r="B73" i="34"/>
  <c r="J13" i="34"/>
  <c r="B71" i="34"/>
  <c r="B130" i="33"/>
  <c r="B128" i="33"/>
  <c r="J45" i="33"/>
  <c r="B126" i="33"/>
  <c r="B98" i="33"/>
  <c r="B96" i="33"/>
  <c r="B94" i="33"/>
  <c r="B74" i="33"/>
  <c r="B72" i="33"/>
  <c r="B70" i="33"/>
  <c r="D96" i="35"/>
  <c r="E96" i="35"/>
  <c r="F96" i="35"/>
  <c r="G96" i="35"/>
  <c r="D94" i="35"/>
  <c r="E94" i="35"/>
  <c r="F94" i="35"/>
  <c r="G94" i="35"/>
  <c r="H94" i="35"/>
  <c r="I94" i="35"/>
  <c r="J94" i="35"/>
  <c r="K94" i="35"/>
  <c r="L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H34" i="35"/>
  <c r="AB34" i="35"/>
  <c r="F34" i="35"/>
  <c r="Q33" i="35"/>
  <c r="Z33" i="35"/>
  <c r="Q32" i="35"/>
  <c r="Z32" i="35"/>
  <c r="H32" i="35"/>
  <c r="AB32" i="35"/>
  <c r="F32" i="35"/>
  <c r="AA32" i="35"/>
  <c r="Q31" i="35"/>
  <c r="Z31" i="35"/>
  <c r="AB31" i="35"/>
  <c r="AA31" i="35"/>
  <c r="Q30" i="35"/>
  <c r="Z30" i="35"/>
  <c r="Q29" i="35"/>
  <c r="Z29" i="35"/>
  <c r="Q28" i="35"/>
  <c r="Z28" i="35"/>
  <c r="J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Q11" i="35"/>
  <c r="Z11" i="35"/>
  <c r="Q10" i="35"/>
  <c r="Z10" i="35"/>
  <c r="Q9" i="35"/>
  <c r="Z9" i="35"/>
  <c r="J9" i="35"/>
  <c r="J8" i="35"/>
  <c r="W8" i="35"/>
  <c r="H8" i="35"/>
  <c r="U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D92" i="34"/>
  <c r="E92" i="34"/>
  <c r="F92" i="34"/>
  <c r="G92" i="34"/>
  <c r="H92" i="34"/>
  <c r="I92" i="34"/>
  <c r="J92" i="34"/>
  <c r="K92" i="34"/>
  <c r="L92" i="34"/>
  <c r="M92" i="34"/>
  <c r="B91" i="34"/>
  <c r="F28" i="34"/>
  <c r="AA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H27" i="33"/>
  <c r="AB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H54" i="33"/>
  <c r="P49" i="33"/>
  <c r="P48" i="33"/>
  <c r="V47" i="33"/>
  <c r="T47" i="33"/>
  <c r="R47" i="33"/>
  <c r="P47" i="33"/>
  <c r="Q46" i="33"/>
  <c r="Z46" i="33"/>
  <c r="Q45" i="33"/>
  <c r="Z45" i="33"/>
  <c r="Q44" i="33"/>
  <c r="Z44" i="33"/>
  <c r="Q43" i="33"/>
  <c r="Z43" i="33"/>
  <c r="Q42" i="33"/>
  <c r="Z42" i="33"/>
  <c r="J42" i="33"/>
  <c r="Q41" i="33"/>
  <c r="Z41" i="33"/>
  <c r="Q40" i="33"/>
  <c r="Z40" i="33"/>
  <c r="J40" i="33"/>
  <c r="AC40" i="33"/>
  <c r="H40" i="33"/>
  <c r="U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S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J8" i="33"/>
  <c r="H8" i="33"/>
  <c r="F8" i="33"/>
  <c r="C7" i="33"/>
  <c r="C58" i="33"/>
  <c r="D58" i="33"/>
  <c r="M102" i="21"/>
  <c r="D102" i="21"/>
  <c r="E102" i="21"/>
  <c r="F102" i="21"/>
  <c r="G102" i="21"/>
  <c r="H102" i="21"/>
  <c r="I102" i="21"/>
  <c r="J102" i="21"/>
  <c r="K102" i="21"/>
  <c r="L102" i="21"/>
  <c r="C102" i="21"/>
  <c r="C63" i="21"/>
  <c r="H9" i="21"/>
  <c r="F9" i="21"/>
  <c r="S9" i="21"/>
  <c r="G18" i="20"/>
  <c r="B87" i="46"/>
  <c r="C25" i="40"/>
  <c r="G16" i="20"/>
  <c r="B81" i="46"/>
  <c r="G15" i="20"/>
  <c r="B80" i="46"/>
  <c r="C24" i="20"/>
  <c r="B72" i="46"/>
  <c r="C21" i="20"/>
  <c r="C20" i="20"/>
  <c r="B76" i="46"/>
  <c r="C18" i="20"/>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F77" i="21"/>
  <c r="G77" i="21"/>
  <c r="B130" i="21"/>
  <c r="B128" i="21"/>
  <c r="B126" i="21"/>
  <c r="B98" i="21"/>
  <c r="B96" i="21"/>
  <c r="B94" i="21"/>
  <c r="B92" i="21"/>
  <c r="F28" i="21"/>
  <c r="AA28" i="21"/>
  <c r="B90" i="21"/>
  <c r="B74" i="21"/>
  <c r="B72" i="21"/>
  <c r="B70" i="21"/>
  <c r="F12" i="21"/>
  <c r="F10" i="21"/>
  <c r="S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M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F32" i="21"/>
  <c r="AA32" i="21"/>
  <c r="F38" i="21"/>
  <c r="S38" i="21"/>
  <c r="F36" i="21"/>
  <c r="F39" i="21"/>
  <c r="AA39" i="21"/>
  <c r="J40" i="21"/>
  <c r="H35" i="21"/>
  <c r="AB35" i="21"/>
  <c r="J8" i="21"/>
  <c r="J9" i="21"/>
  <c r="W9" i="21"/>
  <c r="H8" i="21"/>
  <c r="AB8" i="21"/>
  <c r="AB9" i="21"/>
  <c r="H10" i="21"/>
  <c r="U10" i="21"/>
  <c r="H39" i="21"/>
  <c r="AB39" i="21"/>
  <c r="J34" i="21"/>
  <c r="AC34" i="21"/>
  <c r="H36" i="21"/>
  <c r="U36" i="21"/>
  <c r="F35" i="21"/>
  <c r="AA35" i="21"/>
  <c r="J10" i="21"/>
  <c r="AC10" i="21"/>
  <c r="H26" i="21"/>
  <c r="F19" i="21"/>
  <c r="AA19" i="21"/>
  <c r="H19" i="21"/>
  <c r="AB19" i="21"/>
  <c r="J19" i="21"/>
  <c r="W19" i="21"/>
  <c r="J12" i="21"/>
  <c r="W12" i="21"/>
  <c r="H12" i="21"/>
  <c r="J26" i="21"/>
  <c r="W26" i="21"/>
  <c r="F26" i="21"/>
  <c r="AA26" i="21"/>
  <c r="AB41" i="21"/>
  <c r="W41" i="21"/>
  <c r="E103" i="37"/>
  <c r="F103" i="37"/>
  <c r="F39" i="37"/>
  <c r="S39" i="37"/>
  <c r="F29" i="36"/>
  <c r="AA29" i="36"/>
  <c r="F16" i="36"/>
  <c r="W23" i="36"/>
  <c r="W22" i="36"/>
  <c r="U26" i="36"/>
  <c r="J33" i="36"/>
  <c r="W33" i="36"/>
  <c r="AC27" i="35"/>
  <c r="U31" i="35"/>
  <c r="W24" i="35"/>
  <c r="U34" i="35"/>
  <c r="F36" i="34"/>
  <c r="S36" i="34"/>
  <c r="S34" i="34"/>
  <c r="H39" i="33"/>
  <c r="AB39" i="33"/>
  <c r="F26" i="33"/>
  <c r="W38" i="33"/>
  <c r="S40" i="33"/>
  <c r="W33" i="33"/>
  <c r="U38" i="33"/>
  <c r="H39" i="37"/>
  <c r="AB39" i="37"/>
  <c r="AB27" i="35"/>
  <c r="S10" i="40"/>
  <c r="W10" i="40"/>
  <c r="S11" i="40"/>
  <c r="U11" i="40"/>
  <c r="S36" i="40"/>
  <c r="U36" i="40"/>
  <c r="S36" i="39"/>
  <c r="F11" i="21"/>
  <c r="S11" i="21"/>
  <c r="AA38" i="21"/>
  <c r="AB36" i="21"/>
  <c r="AC35" i="21"/>
  <c r="U36" i="39"/>
  <c r="S42" i="39"/>
  <c r="H32" i="33"/>
  <c r="AB32" i="33"/>
  <c r="H11" i="21"/>
  <c r="U11" i="21"/>
  <c r="J11" i="21"/>
  <c r="W11" i="21"/>
  <c r="F86" i="40"/>
  <c r="G86" i="40"/>
  <c r="AA12" i="33"/>
  <c r="U9" i="21"/>
  <c r="J27" i="36"/>
  <c r="W27" i="36"/>
  <c r="J30" i="35"/>
  <c r="W30" i="35"/>
  <c r="F22" i="35"/>
  <c r="H10" i="35"/>
  <c r="U10" i="35"/>
  <c r="AC24" i="36"/>
  <c r="E85" i="36"/>
  <c r="F85" i="36"/>
  <c r="G85" i="36"/>
  <c r="H85" i="36"/>
  <c r="I85" i="36"/>
  <c r="J85" i="36"/>
  <c r="K85" i="36"/>
  <c r="L85" i="36"/>
  <c r="M85" i="36"/>
  <c r="J29" i="36"/>
  <c r="AC29" i="36"/>
  <c r="F24" i="36"/>
  <c r="AA24" i="36"/>
  <c r="S10" i="36"/>
  <c r="AB8" i="36"/>
  <c r="H16" i="35"/>
  <c r="U16" i="35"/>
  <c r="H33" i="35"/>
  <c r="AB33" i="35"/>
  <c r="AC8" i="35"/>
  <c r="F35" i="37"/>
  <c r="E101" i="37"/>
  <c r="F101" i="37"/>
  <c r="G101" i="37"/>
  <c r="H101" i="37"/>
  <c r="I101" i="37"/>
  <c r="J101" i="37"/>
  <c r="K101" i="37"/>
  <c r="L101" i="37"/>
  <c r="M101" i="37"/>
  <c r="J34" i="37"/>
  <c r="W34" i="37"/>
  <c r="AA39" i="37"/>
  <c r="H43" i="34"/>
  <c r="H36" i="34"/>
  <c r="U36" i="34"/>
  <c r="F37" i="34"/>
  <c r="AA37" i="34"/>
  <c r="F33" i="34"/>
  <c r="S33" i="34"/>
  <c r="F19" i="34"/>
  <c r="AA19" i="34"/>
  <c r="J10" i="34"/>
  <c r="AC10" i="34"/>
  <c r="W8" i="34"/>
  <c r="J28" i="34"/>
  <c r="W28" i="34"/>
  <c r="S38" i="33"/>
  <c r="E113" i="33"/>
  <c r="F36" i="33"/>
  <c r="S36" i="33"/>
  <c r="F19" i="33"/>
  <c r="S19" i="33"/>
  <c r="J19" i="33"/>
  <c r="W40" i="33"/>
  <c r="G125" i="21"/>
  <c r="AB30" i="36"/>
  <c r="H29" i="35"/>
  <c r="U34" i="37"/>
  <c r="S34" i="37"/>
  <c r="AA34" i="37"/>
  <c r="AB42" i="34"/>
  <c r="AB40" i="34"/>
  <c r="W36" i="34"/>
  <c r="J19" i="34"/>
  <c r="AC19" i="34"/>
  <c r="F113" i="33"/>
  <c r="G113" i="33"/>
  <c r="H113" i="33"/>
  <c r="I113" i="33"/>
  <c r="J113" i="33"/>
  <c r="K113" i="33"/>
  <c r="L113" i="33"/>
  <c r="M113" i="33"/>
  <c r="H37" i="33"/>
  <c r="AB37" i="33"/>
  <c r="AC42" i="34"/>
  <c r="W42" i="34"/>
  <c r="AA42" i="34"/>
  <c r="S42" i="34"/>
  <c r="S38" i="34"/>
  <c r="J37" i="33"/>
  <c r="J42" i="21"/>
  <c r="AC42" i="21"/>
  <c r="J44" i="34"/>
  <c r="AC44" i="34"/>
  <c r="F44" i="34"/>
  <c r="S44" i="34"/>
  <c r="J10" i="35"/>
  <c r="W10" i="35"/>
  <c r="AL5" i="3"/>
  <c r="BQ13" i="3"/>
  <c r="H28" i="21"/>
  <c r="AB28" i="21"/>
  <c r="J28" i="21"/>
  <c r="AC28" i="21"/>
  <c r="H44"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W13" i="21"/>
  <c r="H27" i="21"/>
  <c r="AB27" i="21"/>
  <c r="J27" i="21"/>
  <c r="W27" i="21"/>
  <c r="F27" i="21"/>
  <c r="AA27" i="21"/>
  <c r="J31" i="21"/>
  <c r="AC31" i="21"/>
  <c r="H31" i="21"/>
  <c r="U31" i="21"/>
  <c r="F31" i="21"/>
  <c r="J27" i="33"/>
  <c r="AC27" i="33"/>
  <c r="S27" i="33"/>
  <c r="F13" i="33"/>
  <c r="S13" i="33"/>
  <c r="J31" i="33"/>
  <c r="AC31" i="33"/>
  <c r="F11" i="35"/>
  <c r="H28" i="36"/>
  <c r="H32" i="36"/>
  <c r="AB32" i="36"/>
  <c r="J32" i="36"/>
  <c r="J11" i="36"/>
  <c r="W11" i="36"/>
  <c r="E89" i="37"/>
  <c r="F89" i="37"/>
  <c r="G89" i="37"/>
  <c r="H89" i="37"/>
  <c r="I89" i="37"/>
  <c r="J89" i="37"/>
  <c r="K89" i="37"/>
  <c r="L89" i="37"/>
  <c r="M89" i="37"/>
  <c r="J29" i="37"/>
  <c r="W29" i="37"/>
  <c r="F29" i="37"/>
  <c r="AA29" i="37"/>
  <c r="AB36" i="37"/>
  <c r="J37" i="37"/>
  <c r="W37" i="37"/>
  <c r="H37" i="37"/>
  <c r="U37" i="37"/>
  <c r="H14" i="33"/>
  <c r="U14" i="33"/>
  <c r="F14" i="33"/>
  <c r="AA14" i="33"/>
  <c r="J14" i="33"/>
  <c r="AC14" i="33"/>
  <c r="H30" i="33"/>
  <c r="U30" i="33"/>
  <c r="F30" i="33"/>
  <c r="S30" i="33"/>
  <c r="J30" i="33"/>
  <c r="H44" i="33"/>
  <c r="AB44" i="33"/>
  <c r="J44" i="33"/>
  <c r="AC44" i="33"/>
  <c r="F44" i="33"/>
  <c r="AA44" i="33"/>
  <c r="J46" i="33"/>
  <c r="AC46" i="33"/>
  <c r="F46" i="33"/>
  <c r="S46" i="33"/>
  <c r="H46" i="33"/>
  <c r="AB46" i="33"/>
  <c r="H13" i="34"/>
  <c r="AB13" i="34"/>
  <c r="W13" i="34"/>
  <c r="F13" i="34"/>
  <c r="AA13" i="34"/>
  <c r="J29" i="34"/>
  <c r="AC29" i="34"/>
  <c r="F29" i="34"/>
  <c r="S29" i="34"/>
  <c r="H29" i="34"/>
  <c r="U29" i="34"/>
  <c r="J31" i="34"/>
  <c r="AC31" i="34"/>
  <c r="AB31" i="34"/>
  <c r="F31" i="34"/>
  <c r="S31" i="34"/>
  <c r="H45" i="34"/>
  <c r="U45" i="34"/>
  <c r="J45" i="34"/>
  <c r="W45" i="34"/>
  <c r="F45" i="34"/>
  <c r="AA45" i="34"/>
  <c r="H47" i="34"/>
  <c r="U47" i="34"/>
  <c r="AA47" i="34"/>
  <c r="J47" i="34"/>
  <c r="AC47" i="34"/>
  <c r="J13" i="35"/>
  <c r="AC13" i="35"/>
  <c r="J25" i="35"/>
  <c r="AC25" i="35"/>
  <c r="AA25" i="35"/>
  <c r="H25" i="35"/>
  <c r="AB25" i="35"/>
  <c r="F35" i="35"/>
  <c r="S35" i="35"/>
  <c r="J25" i="36"/>
  <c r="W25" i="36"/>
  <c r="F25" i="36"/>
  <c r="AA25" i="36"/>
  <c r="H25" i="36"/>
  <c r="AB25" i="36"/>
  <c r="F13" i="37"/>
  <c r="S13" i="37"/>
  <c r="H28" i="37"/>
  <c r="U28" i="37"/>
  <c r="J38" i="37"/>
  <c r="AC38" i="37"/>
  <c r="F27" i="37"/>
  <c r="AA27" i="37"/>
  <c r="J27" i="37"/>
  <c r="W27" i="37"/>
  <c r="J36" i="37"/>
  <c r="AC36" i="37"/>
  <c r="AB31" i="21"/>
  <c r="S28" i="21"/>
  <c r="W31" i="34"/>
  <c r="U36" i="37"/>
  <c r="AA27" i="33"/>
  <c r="U28" i="21"/>
  <c r="G529" i="3"/>
  <c r="G521" i="3"/>
  <c r="G513" i="3"/>
  <c r="G508" i="3"/>
  <c r="G499" i="3"/>
  <c r="G485" i="3"/>
  <c r="G557" i="3"/>
  <c r="G549" i="3"/>
  <c r="G545" i="3"/>
  <c r="BL545" i="3"/>
  <c r="BL535" i="3"/>
  <c r="BL519" i="3"/>
  <c r="BL483" i="3"/>
  <c r="G16" i="3"/>
  <c r="BL525" i="3"/>
  <c r="G518" i="3"/>
  <c r="G514" i="3"/>
  <c r="G510" i="3"/>
  <c r="BL503" i="3"/>
  <c r="BL495" i="3"/>
  <c r="G18" i="3"/>
  <c r="BA543" i="3"/>
  <c r="BA521" i="3"/>
  <c r="BA509" i="3"/>
  <c r="BA501" i="3"/>
  <c r="BA19" i="3"/>
  <c r="BA524" i="3"/>
  <c r="BA520" i="3"/>
  <c r="BA508" i="3"/>
  <c r="BA484" i="3"/>
  <c r="G566" i="3"/>
  <c r="G554" i="3"/>
  <c r="G550" i="3"/>
  <c r="AC542" i="3"/>
  <c r="G542" i="3"/>
  <c r="BQ542" i="3"/>
  <c r="BQ568" i="3"/>
  <c r="BQ566" i="3"/>
  <c r="BQ564" i="3"/>
  <c r="BQ562" i="3"/>
  <c r="BQ560" i="3"/>
  <c r="BQ558" i="3"/>
  <c r="BQ556" i="3"/>
  <c r="BQ554" i="3"/>
  <c r="BQ552" i="3"/>
  <c r="BQ550" i="3"/>
  <c r="BQ548" i="3"/>
  <c r="BQ546" i="3"/>
  <c r="BQ544" i="3"/>
  <c r="G544" i="3"/>
  <c r="G538" i="3"/>
  <c r="G530" i="3"/>
  <c r="G526" i="3"/>
  <c r="G522" i="3"/>
  <c r="BQ540" i="3"/>
  <c r="BQ538" i="3"/>
  <c r="BQ536" i="3"/>
  <c r="BQ534" i="3"/>
  <c r="BQ532" i="3"/>
  <c r="BQ530" i="3"/>
  <c r="BL530" i="3"/>
  <c r="BQ528" i="3"/>
  <c r="BQ526" i="3"/>
  <c r="BL526" i="3"/>
  <c r="AZ526" i="3"/>
  <c r="BQ524" i="3"/>
  <c r="BL524" i="3"/>
  <c r="BQ522" i="3"/>
  <c r="BQ520" i="3"/>
  <c r="BL520" i="3"/>
  <c r="BQ518" i="3"/>
  <c r="BQ516" i="3"/>
  <c r="BL516" i="3"/>
  <c r="BQ514" i="3"/>
  <c r="BQ512" i="3"/>
  <c r="BQ510" i="3"/>
  <c r="BL510" i="3"/>
  <c r="BQ508" i="3"/>
  <c r="BL508" i="3"/>
  <c r="AC506" i="3"/>
  <c r="G506" i="3"/>
  <c r="BQ506" i="3"/>
  <c r="G502" i="3"/>
  <c r="G498" i="3"/>
  <c r="BQ504" i="3"/>
  <c r="BQ502" i="3"/>
  <c r="BQ500" i="3"/>
  <c r="BQ498" i="3"/>
  <c r="BQ496" i="3"/>
  <c r="AC494" i="3"/>
  <c r="G494" i="3"/>
  <c r="BQ494" i="3"/>
  <c r="BL494" i="3"/>
  <c r="G492" i="3"/>
  <c r="G488" i="3"/>
  <c r="G484" i="3"/>
  <c r="BQ492" i="3"/>
  <c r="BL492" i="3"/>
  <c r="BQ490" i="3"/>
  <c r="BQ488" i="3"/>
  <c r="BL488" i="3"/>
  <c r="BQ486" i="3"/>
  <c r="BQ484" i="3"/>
  <c r="BL484" i="3"/>
  <c r="BQ482" i="3"/>
  <c r="BL482" i="3"/>
  <c r="BQ20" i="3"/>
  <c r="BQ18" i="3"/>
  <c r="S505"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F23" i="37"/>
  <c r="AA23" i="37"/>
  <c r="F39" i="33"/>
  <c r="AA39" i="33"/>
  <c r="E123" i="33"/>
  <c r="F42" i="33"/>
  <c r="AA42" i="33"/>
  <c r="H28" i="34"/>
  <c r="U28" i="34"/>
  <c r="F22" i="36"/>
  <c r="S22" i="36"/>
  <c r="H35" i="34"/>
  <c r="AB35" i="34"/>
  <c r="F41" i="34"/>
  <c r="S41" i="34"/>
  <c r="H41" i="34"/>
  <c r="AB41" i="34"/>
  <c r="J41" i="34"/>
  <c r="W41" i="34"/>
  <c r="F10" i="35"/>
  <c r="S10" i="35"/>
  <c r="F24" i="35"/>
  <c r="AA24" i="35"/>
  <c r="H24" i="35"/>
  <c r="AB24" i="35"/>
  <c r="H23" i="37"/>
  <c r="AB23" i="37"/>
  <c r="J32" i="37"/>
  <c r="W32" i="37"/>
  <c r="F36" i="37"/>
  <c r="S36" i="37"/>
  <c r="F37" i="37"/>
  <c r="S37" i="37"/>
  <c r="F123" i="33"/>
  <c r="G123" i="33"/>
  <c r="H123" i="33"/>
  <c r="I123" i="33"/>
  <c r="J123" i="33"/>
  <c r="K123" i="33"/>
  <c r="L123" i="33"/>
  <c r="M123" i="33"/>
  <c r="H42" i="33"/>
  <c r="U42" i="33"/>
  <c r="J43" i="33"/>
  <c r="AC43" i="33"/>
  <c r="J23" i="37"/>
  <c r="F17" i="37"/>
  <c r="AA17" i="37"/>
  <c r="AB43" i="33"/>
  <c r="D3" i="21"/>
  <c r="AC33" i="36"/>
  <c r="AC12" i="35"/>
  <c r="S27" i="37"/>
  <c r="U39" i="37"/>
  <c r="AC8" i="37"/>
  <c r="AC36" i="34"/>
  <c r="AA13" i="33"/>
  <c r="S39" i="33"/>
  <c r="F43" i="33"/>
  <c r="AA9" i="21"/>
  <c r="F37" i="21"/>
  <c r="S37" i="21"/>
  <c r="J37" i="21"/>
  <c r="W37" i="21"/>
  <c r="H19" i="34"/>
  <c r="AB19" i="34"/>
  <c r="J10" i="37"/>
  <c r="W10" i="37"/>
  <c r="F36" i="35"/>
  <c r="H9" i="37"/>
  <c r="U9" i="37"/>
  <c r="F11" i="37"/>
  <c r="H15" i="37"/>
  <c r="E94" i="37"/>
  <c r="F94" i="37"/>
  <c r="G94" i="37"/>
  <c r="H94" i="37"/>
  <c r="I94" i="37"/>
  <c r="J94" i="37"/>
  <c r="K94" i="37"/>
  <c r="L94" i="37"/>
  <c r="M94" i="37"/>
  <c r="F31" i="37"/>
  <c r="S31" i="37"/>
  <c r="H31" i="37"/>
  <c r="AB31" i="37"/>
  <c r="J15" i="37"/>
  <c r="W15" i="37"/>
  <c r="AB10" i="37"/>
  <c r="J11" i="37"/>
  <c r="W11" i="37"/>
  <c r="E90" i="40"/>
  <c r="F21" i="40"/>
  <c r="S21" i="40"/>
  <c r="W36" i="40"/>
  <c r="F90" i="40"/>
  <c r="G90" i="40"/>
  <c r="J21" i="40"/>
  <c r="AC21" i="40"/>
  <c r="S27" i="31"/>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AZ305" i="3"/>
  <c r="G321" i="3"/>
  <c r="BL322" i="3"/>
  <c r="G323" i="3"/>
  <c r="BL324" i="3"/>
  <c r="BA326" i="3"/>
  <c r="BA327" i="3"/>
  <c r="BL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AZ361" i="3"/>
  <c r="G362" i="3"/>
  <c r="BA363" i="3"/>
  <c r="G371" i="3"/>
  <c r="BL372" i="3"/>
  <c r="G373" i="3"/>
  <c r="BL374" i="3"/>
  <c r="BA376" i="3"/>
  <c r="BA377" i="3"/>
  <c r="AZ377" i="3"/>
  <c r="BL377" i="3"/>
  <c r="G378" i="3"/>
  <c r="BA379" i="3"/>
  <c r="BA114" i="3"/>
  <c r="BL115" i="3"/>
  <c r="G116" i="3"/>
  <c r="BA118" i="3"/>
  <c r="BL119" i="3"/>
  <c r="G120" i="3"/>
  <c r="BA122" i="3"/>
  <c r="AZ122" i="3"/>
  <c r="BL123" i="3"/>
  <c r="AZ123" i="3"/>
  <c r="G124" i="3"/>
  <c r="BA126" i="3"/>
  <c r="BL127" i="3"/>
  <c r="G128" i="3"/>
  <c r="BA130" i="3"/>
  <c r="BL131" i="3"/>
  <c r="G132" i="3"/>
  <c r="BA134" i="3"/>
  <c r="BL135" i="3"/>
  <c r="AZ135" i="3"/>
  <c r="G136" i="3"/>
  <c r="BA138" i="3"/>
  <c r="BL139" i="3"/>
  <c r="G140" i="3"/>
  <c r="BA142" i="3"/>
  <c r="BL143" i="3"/>
  <c r="G144" i="3"/>
  <c r="BA146" i="3"/>
  <c r="AZ146" i="3"/>
  <c r="BL147" i="3"/>
  <c r="AZ147" i="3"/>
  <c r="G148" i="3"/>
  <c r="BA150" i="3"/>
  <c r="BL151" i="3"/>
  <c r="BA153" i="3"/>
  <c r="AZ153" i="3"/>
  <c r="BL154" i="3"/>
  <c r="G155" i="3"/>
  <c r="BA157" i="3"/>
  <c r="BL158" i="3"/>
  <c r="G159" i="3"/>
  <c r="BA161" i="3"/>
  <c r="BL162" i="3"/>
  <c r="AZ162" i="3"/>
  <c r="G163" i="3"/>
  <c r="BA165" i="3"/>
  <c r="BA169" i="3"/>
  <c r="BL170" i="3"/>
  <c r="G171" i="3"/>
  <c r="BA173" i="3"/>
  <c r="BL174" i="3"/>
  <c r="G175" i="3"/>
  <c r="BA178" i="3"/>
  <c r="AZ178" i="3"/>
  <c r="BL179" i="3"/>
  <c r="G180" i="3"/>
  <c r="AZ43" i="3"/>
  <c r="G537" i="3"/>
  <c r="BL181" i="3"/>
  <c r="G182" i="3"/>
  <c r="BA184" i="3"/>
  <c r="AZ184" i="3"/>
  <c r="BL185" i="3"/>
  <c r="G186" i="3"/>
  <c r="BA188" i="3"/>
  <c r="AZ188" i="3"/>
  <c r="BL189" i="3"/>
  <c r="G190" i="3"/>
  <c r="BA192" i="3"/>
  <c r="AZ192" i="3"/>
  <c r="BL193" i="3"/>
  <c r="G194" i="3"/>
  <c r="BA196" i="3"/>
  <c r="BL197" i="3"/>
  <c r="G198" i="3"/>
  <c r="BA200" i="3"/>
  <c r="BL201" i="3"/>
  <c r="AZ84" i="3"/>
  <c r="G491" i="3"/>
  <c r="BA298" i="3"/>
  <c r="BA299" i="3"/>
  <c r="AZ299" i="3"/>
  <c r="BL299" i="3"/>
  <c r="G300" i="3"/>
  <c r="G303" i="3"/>
  <c r="BL304" i="3"/>
  <c r="BA306" i="3"/>
  <c r="AZ306" i="3"/>
  <c r="BA307" i="3"/>
  <c r="BL307" i="3"/>
  <c r="G308" i="3"/>
  <c r="G319" i="3"/>
  <c r="BL320" i="3"/>
  <c r="BA322" i="3"/>
  <c r="BA323" i="3"/>
  <c r="BL323" i="3"/>
  <c r="G324" i="3"/>
  <c r="G327" i="3"/>
  <c r="BL328" i="3"/>
  <c r="BA330" i="3"/>
  <c r="BA331" i="3"/>
  <c r="BL331" i="3"/>
  <c r="AZ331" i="3"/>
  <c r="G332" i="3"/>
  <c r="G335" i="3"/>
  <c r="BL336" i="3"/>
  <c r="BA338" i="3"/>
  <c r="AZ338" i="3"/>
  <c r="BA339" i="3"/>
  <c r="BL339" i="3"/>
  <c r="G340" i="3"/>
  <c r="G343" i="3"/>
  <c r="BL344" i="3"/>
  <c r="BA346" i="3"/>
  <c r="BA347" i="3"/>
  <c r="BL347" i="3"/>
  <c r="G348" i="3"/>
  <c r="G351" i="3"/>
  <c r="BL352" i="3"/>
  <c r="BA354" i="3"/>
  <c r="BA355" i="3"/>
  <c r="BL355" i="3"/>
  <c r="G356" i="3"/>
  <c r="BA358" i="3"/>
  <c r="BA359" i="3"/>
  <c r="AZ359" i="3"/>
  <c r="BL359" i="3"/>
  <c r="G360" i="3"/>
  <c r="G361" i="3"/>
  <c r="BL362" i="3"/>
  <c r="BA364" i="3"/>
  <c r="AZ364" i="3"/>
  <c r="BA365" i="3"/>
  <c r="BL365" i="3"/>
  <c r="G366" i="3"/>
  <c r="G369" i="3"/>
  <c r="BL370" i="3"/>
  <c r="BA372" i="3"/>
  <c r="BA373" i="3"/>
  <c r="BL373" i="3"/>
  <c r="AZ373" i="3"/>
  <c r="G374" i="3"/>
  <c r="G377" i="3"/>
  <c r="BL378" i="3"/>
  <c r="BA380" i="3"/>
  <c r="BA381" i="3"/>
  <c r="BL381" i="3"/>
  <c r="AZ381" i="3"/>
  <c r="G382" i="3"/>
  <c r="G385" i="3"/>
  <c r="AZ170" i="3"/>
  <c r="AZ187" i="3"/>
  <c r="G523" i="3"/>
  <c r="BL297" i="3"/>
  <c r="G298" i="3"/>
  <c r="BA300" i="3"/>
  <c r="AZ300" i="3"/>
  <c r="BL301" i="3"/>
  <c r="G302" i="3"/>
  <c r="BA304" i="3"/>
  <c r="AZ304" i="3"/>
  <c r="BL305" i="3"/>
  <c r="G306" i="3"/>
  <c r="BA308" i="3"/>
  <c r="AZ308" i="3"/>
  <c r="BL309" i="3"/>
  <c r="G310" i="3"/>
  <c r="BA310" i="3"/>
  <c r="AZ310" i="3"/>
  <c r="BL311" i="3"/>
  <c r="AZ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AZ349" i="3"/>
  <c r="G350" i="3"/>
  <c r="BA352" i="3"/>
  <c r="AZ352" i="3"/>
  <c r="BL353" i="3"/>
  <c r="G354" i="3"/>
  <c r="BA356" i="3"/>
  <c r="BL357" i="3"/>
  <c r="G358" i="3"/>
  <c r="BA362" i="3"/>
  <c r="AZ362" i="3"/>
  <c r="BL363" i="3"/>
  <c r="G364" i="3"/>
  <c r="BA366" i="3"/>
  <c r="BL367" i="3"/>
  <c r="AZ367" i="3"/>
  <c r="AZ245" i="3"/>
  <c r="AZ321" i="3"/>
  <c r="AZ363" i="3"/>
  <c r="G368" i="3"/>
  <c r="BA370" i="3"/>
  <c r="AZ370" i="3"/>
  <c r="BL371" i="3"/>
  <c r="AZ371" i="3"/>
  <c r="G372" i="3"/>
  <c r="BA374" i="3"/>
  <c r="AZ374" i="3"/>
  <c r="BL375" i="3"/>
  <c r="G376" i="3"/>
  <c r="BA378" i="3"/>
  <c r="AZ378" i="3"/>
  <c r="BL379" i="3"/>
  <c r="G380" i="3"/>
  <c r="BA382" i="3"/>
  <c r="BL383" i="3"/>
  <c r="G384" i="3"/>
  <c r="AZ261" i="3"/>
  <c r="AZ383" i="3"/>
  <c r="AZ351" i="3"/>
  <c r="H7" i="48"/>
  <c r="F33" i="46"/>
  <c r="H16" i="48"/>
  <c r="H9" i="48"/>
  <c r="H8" i="48"/>
  <c r="AB16" i="35"/>
  <c r="AA13" i="40"/>
  <c r="E78" i="40"/>
  <c r="F78" i="40"/>
  <c r="G78" i="40"/>
  <c r="H78" i="40"/>
  <c r="I78" i="40"/>
  <c r="J78" i="40"/>
  <c r="K78" i="40"/>
  <c r="L78" i="40"/>
  <c r="M78" i="40"/>
  <c r="D3" i="35"/>
  <c r="G4" i="4"/>
  <c r="S37" i="34"/>
  <c r="J16" i="35"/>
  <c r="W16" i="35"/>
  <c r="AC26" i="36"/>
  <c r="W25" i="35"/>
  <c r="AZ354" i="3"/>
  <c r="H13" i="39"/>
  <c r="U13" i="39"/>
  <c r="J13" i="39"/>
  <c r="H11" i="37"/>
  <c r="AB11" i="37"/>
  <c r="AA30" i="33"/>
  <c r="AA36" i="37"/>
  <c r="S42" i="33"/>
  <c r="U32" i="33"/>
  <c r="AZ508" i="3"/>
  <c r="AC11" i="36"/>
  <c r="AC10" i="36"/>
  <c r="AB45" i="34"/>
  <c r="S25" i="35"/>
  <c r="W44" i="33"/>
  <c r="AC30" i="33"/>
  <c r="W30" i="33"/>
  <c r="AC29" i="37"/>
  <c r="U28" i="33"/>
  <c r="AB28" i="33"/>
  <c r="J33" i="34"/>
  <c r="AC33" i="34"/>
  <c r="AB36" i="34"/>
  <c r="J40" i="34"/>
  <c r="W40" i="34"/>
  <c r="F16" i="35"/>
  <c r="AA16" i="35"/>
  <c r="S24" i="36"/>
  <c r="J35" i="34"/>
  <c r="W35" i="34"/>
  <c r="F107" i="34"/>
  <c r="G107" i="34"/>
  <c r="H107" i="34"/>
  <c r="I107" i="34"/>
  <c r="J107" i="34"/>
  <c r="K107" i="34"/>
  <c r="L107" i="34"/>
  <c r="M107" i="34"/>
  <c r="H16" i="36"/>
  <c r="AB16" i="36"/>
  <c r="G103" i="37"/>
  <c r="H103" i="37"/>
  <c r="I103" i="37"/>
  <c r="J103" i="37"/>
  <c r="K103" i="37"/>
  <c r="L103" i="37"/>
  <c r="M103" i="37"/>
  <c r="H35" i="37"/>
  <c r="AB35" i="37"/>
  <c r="H32" i="21"/>
  <c r="U39" i="21"/>
  <c r="J32" i="21"/>
  <c r="AC32" i="21"/>
  <c r="F17" i="21"/>
  <c r="S17" i="21"/>
  <c r="H17" i="21"/>
  <c r="J17" i="21"/>
  <c r="AC17" i="21"/>
  <c r="H37" i="21"/>
  <c r="U37" i="21"/>
  <c r="F40" i="21"/>
  <c r="AA40" i="21"/>
  <c r="H40" i="21"/>
  <c r="AB40" i="21"/>
  <c r="E119" i="21"/>
  <c r="F119" i="21"/>
  <c r="G119" i="21"/>
  <c r="H119" i="21"/>
  <c r="I119" i="21"/>
  <c r="J119" i="21"/>
  <c r="K119" i="21"/>
  <c r="L119" i="21"/>
  <c r="M119" i="21"/>
  <c r="AA8" i="33"/>
  <c r="S8" i="33"/>
  <c r="H66" i="33"/>
  <c r="F10" i="33"/>
  <c r="F11" i="33"/>
  <c r="S11" i="33"/>
  <c r="J15" i="33"/>
  <c r="H19" i="33"/>
  <c r="AB19" i="33"/>
  <c r="F32" i="33"/>
  <c r="J32" i="33"/>
  <c r="AC32" i="33"/>
  <c r="F35" i="33"/>
  <c r="AA35" i="33"/>
  <c r="AB39" i="34"/>
  <c r="F11" i="34"/>
  <c r="S11" i="34"/>
  <c r="E80" i="34"/>
  <c r="F80" i="34"/>
  <c r="H17" i="34"/>
  <c r="AB17" i="34"/>
  <c r="AB28" i="35"/>
  <c r="U28" i="35"/>
  <c r="J13" i="33"/>
  <c r="W13" i="33"/>
  <c r="H13" i="33"/>
  <c r="U13" i="33"/>
  <c r="J12" i="34"/>
  <c r="AC12" i="34"/>
  <c r="H12" i="34"/>
  <c r="AB12" i="34"/>
  <c r="F12" i="34"/>
  <c r="S12" i="34"/>
  <c r="H30" i="34"/>
  <c r="AB30" i="34"/>
  <c r="F30" i="34"/>
  <c r="J30" i="34"/>
  <c r="W30" i="34"/>
  <c r="J32" i="34"/>
  <c r="H46" i="34"/>
  <c r="AB46" i="34"/>
  <c r="F46" i="34"/>
  <c r="J46" i="34"/>
  <c r="AC46" i="34"/>
  <c r="H11" i="35"/>
  <c r="J11" i="35"/>
  <c r="AC11" i="35"/>
  <c r="F96" i="37"/>
  <c r="H32" i="37"/>
  <c r="AB32" i="37"/>
  <c r="F19" i="39"/>
  <c r="S19" i="39"/>
  <c r="H19" i="39"/>
  <c r="AB19" i="39"/>
  <c r="J19" i="39"/>
  <c r="F99" i="37"/>
  <c r="G99" i="37"/>
  <c r="H99" i="37"/>
  <c r="I99" i="37"/>
  <c r="J99" i="37"/>
  <c r="K99" i="37"/>
  <c r="L99" i="37"/>
  <c r="M99" i="37"/>
  <c r="AC27" i="37"/>
  <c r="U25" i="35"/>
  <c r="S45" i="34"/>
  <c r="U31" i="34"/>
  <c r="W27" i="33"/>
  <c r="S28" i="33"/>
  <c r="AA44" i="34"/>
  <c r="AB29" i="35"/>
  <c r="U29" i="35"/>
  <c r="U43" i="34"/>
  <c r="AB43" i="34"/>
  <c r="AC34" i="37"/>
  <c r="S35" i="37"/>
  <c r="AA35" i="37"/>
  <c r="AB10" i="35"/>
  <c r="S32" i="21"/>
  <c r="U38" i="21"/>
  <c r="AB34" i="21"/>
  <c r="BL570" i="3"/>
  <c r="F42" i="21"/>
  <c r="AA42" i="21"/>
  <c r="AB40" i="33"/>
  <c r="AA35" i="34"/>
  <c r="E90" i="34"/>
  <c r="S9" i="35"/>
  <c r="J14" i="35"/>
  <c r="F14" i="35"/>
  <c r="H14" i="35"/>
  <c r="U14" i="35"/>
  <c r="E80" i="35"/>
  <c r="M94" i="35"/>
  <c r="J32" i="35"/>
  <c r="AC32" i="35"/>
  <c r="H11" i="36"/>
  <c r="AB11" i="36"/>
  <c r="F11" i="36"/>
  <c r="S11" i="36"/>
  <c r="W16" i="36"/>
  <c r="AC16" i="36"/>
  <c r="E78" i="36"/>
  <c r="F78" i="36"/>
  <c r="G78" i="36"/>
  <c r="H78" i="36"/>
  <c r="I78" i="36"/>
  <c r="J78" i="36"/>
  <c r="K78" i="36"/>
  <c r="L78" i="36"/>
  <c r="M78" i="36"/>
  <c r="F26" i="36"/>
  <c r="AA26" i="36"/>
  <c r="H33" i="36"/>
  <c r="U33" i="36"/>
  <c r="F33" i="36"/>
  <c r="AA33" i="36"/>
  <c r="H27" i="36"/>
  <c r="AB27" i="36"/>
  <c r="AA31" i="36"/>
  <c r="AB29" i="37"/>
  <c r="S30" i="37"/>
  <c r="AC30" i="37"/>
  <c r="AC31" i="37"/>
  <c r="F17" i="39"/>
  <c r="S17" i="39"/>
  <c r="F21" i="39"/>
  <c r="S21" i="39"/>
  <c r="H21" i="39"/>
  <c r="AB21" i="39"/>
  <c r="J21" i="39"/>
  <c r="F33" i="39"/>
  <c r="S33" i="39"/>
  <c r="H33" i="39"/>
  <c r="U33" i="39"/>
  <c r="F44" i="39"/>
  <c r="H44" i="39"/>
  <c r="U44" i="39"/>
  <c r="J44" i="39"/>
  <c r="W44" i="39"/>
  <c r="E128" i="39"/>
  <c r="F128" i="39"/>
  <c r="G128" i="39"/>
  <c r="H128" i="39"/>
  <c r="I128" i="39"/>
  <c r="J128" i="39"/>
  <c r="K128" i="39"/>
  <c r="L128" i="39"/>
  <c r="M128" i="39"/>
  <c r="F29" i="39"/>
  <c r="F39" i="39"/>
  <c r="H39" i="39"/>
  <c r="AB39" i="39"/>
  <c r="J39" i="39"/>
  <c r="J29" i="35"/>
  <c r="AC29" i="35"/>
  <c r="F29" i="35"/>
  <c r="W30" i="36"/>
  <c r="AC30" i="36"/>
  <c r="F37" i="39"/>
  <c r="S37" i="39"/>
  <c r="H37" i="39"/>
  <c r="U37" i="39"/>
  <c r="J37" i="39"/>
  <c r="W37" i="39"/>
  <c r="BL565" i="3"/>
  <c r="BA553" i="3"/>
  <c r="BL549" i="3"/>
  <c r="BA549" i="3"/>
  <c r="BL548" i="3"/>
  <c r="BA548" i="3"/>
  <c r="BA538" i="3"/>
  <c r="BA535" i="3"/>
  <c r="AZ535" i="3"/>
  <c r="BA534" i="3"/>
  <c r="BA533" i="3"/>
  <c r="BL531" i="3"/>
  <c r="BA530" i="3"/>
  <c r="BL529" i="3"/>
  <c r="BA529" i="3"/>
  <c r="BL528" i="3"/>
  <c r="BA527" i="3"/>
  <c r="BA526" i="3"/>
  <c r="BA525" i="3"/>
  <c r="BL523" i="3"/>
  <c r="BA523" i="3"/>
  <c r="BL522" i="3"/>
  <c r="BA522" i="3"/>
  <c r="AZ522" i="3"/>
  <c r="BL521" i="3"/>
  <c r="AZ521" i="3"/>
  <c r="BA519" i="3"/>
  <c r="AZ519" i="3"/>
  <c r="BL518" i="3"/>
  <c r="BA518" i="3"/>
  <c r="BL517" i="3"/>
  <c r="BA517" i="3"/>
  <c r="BL515" i="3"/>
  <c r="BA515" i="3"/>
  <c r="BA514" i="3"/>
  <c r="BL513" i="3"/>
  <c r="BA513" i="3"/>
  <c r="BL512" i="3"/>
  <c r="BA511" i="3"/>
  <c r="BA510" i="3"/>
  <c r="BL509" i="3"/>
  <c r="AZ509" i="3"/>
  <c r="BL507" i="3"/>
  <c r="BA507" i="3"/>
  <c r="AZ507" i="3"/>
  <c r="BL506" i="3"/>
  <c r="BA506" i="3"/>
  <c r="BL505" i="3"/>
  <c r="BL504" i="3"/>
  <c r="BA504" i="3"/>
  <c r="BA503" i="3"/>
  <c r="AZ503" i="3"/>
  <c r="BA499" i="3"/>
  <c r="BA495" i="3"/>
  <c r="AZ495" i="3"/>
  <c r="BA494" i="3"/>
  <c r="AZ494" i="3"/>
  <c r="BA491" i="3"/>
  <c r="BL490" i="3"/>
  <c r="BA490" i="3"/>
  <c r="AZ490" i="3"/>
  <c r="BL489" i="3"/>
  <c r="BA489" i="3"/>
  <c r="BL487" i="3"/>
  <c r="BL486" i="3"/>
  <c r="BA486" i="3"/>
  <c r="BA485" i="3"/>
  <c r="BA483" i="3"/>
  <c r="BA482" i="3"/>
  <c r="AZ482" i="3"/>
  <c r="BL481" i="3"/>
  <c r="BA481" i="3"/>
  <c r="AZ481" i="3"/>
  <c r="BL19" i="3"/>
  <c r="AZ19" i="3"/>
  <c r="BA18" i="3"/>
  <c r="F114" i="34"/>
  <c r="G114" i="34"/>
  <c r="H114" i="34"/>
  <c r="I114" i="34"/>
  <c r="J114" i="34"/>
  <c r="K114" i="34"/>
  <c r="L114" i="34"/>
  <c r="M114" i="34"/>
  <c r="H38" i="34"/>
  <c r="U38" i="34"/>
  <c r="H30" i="40"/>
  <c r="G100" i="40"/>
  <c r="J30" i="40"/>
  <c r="W30" i="40"/>
  <c r="F38" i="40"/>
  <c r="AA38" i="40"/>
  <c r="AA36" i="34"/>
  <c r="U8" i="21"/>
  <c r="AC36" i="21"/>
  <c r="AB8" i="33"/>
  <c r="U8" i="33"/>
  <c r="E106" i="33"/>
  <c r="H34" i="33"/>
  <c r="F34" i="33"/>
  <c r="S34" i="33"/>
  <c r="E121" i="33"/>
  <c r="F121" i="33"/>
  <c r="F41" i="33"/>
  <c r="S41" i="33"/>
  <c r="AC34" i="34"/>
  <c r="W34" i="34"/>
  <c r="AA39" i="34"/>
  <c r="S39" i="34"/>
  <c r="S43" i="34"/>
  <c r="E78" i="34"/>
  <c r="F78" i="34"/>
  <c r="G78" i="34"/>
  <c r="F15" i="34"/>
  <c r="AC28" i="35"/>
  <c r="W28" i="35"/>
  <c r="J20" i="35"/>
  <c r="E72" i="35"/>
  <c r="F72" i="35"/>
  <c r="G72" i="35"/>
  <c r="H22" i="35"/>
  <c r="AB22" i="35"/>
  <c r="AB36" i="35"/>
  <c r="U36" i="35"/>
  <c r="U31" i="36"/>
  <c r="S8" i="37"/>
  <c r="AA8" i="37"/>
  <c r="F16" i="39"/>
  <c r="S16" i="39"/>
  <c r="AA16" i="39"/>
  <c r="H16" i="39"/>
  <c r="U16" i="39"/>
  <c r="J16" i="39"/>
  <c r="W16" i="39"/>
  <c r="AC16" i="39"/>
  <c r="F27" i="39"/>
  <c r="AA27" i="39"/>
  <c r="H27" i="39"/>
  <c r="U27" i="39"/>
  <c r="J27" i="39"/>
  <c r="F15" i="40"/>
  <c r="AA15" i="40"/>
  <c r="J15" i="40"/>
  <c r="W15" i="40"/>
  <c r="H15" i="40"/>
  <c r="AB15" i="40"/>
  <c r="E92" i="40"/>
  <c r="F92" i="40"/>
  <c r="G92" i="40"/>
  <c r="H23" i="40"/>
  <c r="U23" i="40"/>
  <c r="H41" i="40"/>
  <c r="U41" i="40"/>
  <c r="F41" i="40"/>
  <c r="AA41" i="40"/>
  <c r="J41" i="40"/>
  <c r="W41" i="40"/>
  <c r="H36" i="33"/>
  <c r="H37" i="34"/>
  <c r="AB37" i="34"/>
  <c r="F15" i="39"/>
  <c r="S15" i="39"/>
  <c r="J15" i="39"/>
  <c r="W15" i="39"/>
  <c r="H25" i="39"/>
  <c r="U25" i="39"/>
  <c r="J25" i="39"/>
  <c r="W25" i="39"/>
  <c r="F25" i="39"/>
  <c r="AA25" i="39"/>
  <c r="F45" i="39"/>
  <c r="S45" i="39"/>
  <c r="H45" i="39"/>
  <c r="U45" i="39"/>
  <c r="J45" i="39"/>
  <c r="AC45" i="39"/>
  <c r="F47" i="39"/>
  <c r="AA47" i="39"/>
  <c r="H47" i="39"/>
  <c r="AB47" i="39"/>
  <c r="J47" i="39"/>
  <c r="W47" i="39"/>
  <c r="F41" i="39"/>
  <c r="S41" i="39"/>
  <c r="H41" i="39"/>
  <c r="AB41" i="39"/>
  <c r="J41" i="39"/>
  <c r="AC41" i="39"/>
  <c r="E94" i="40"/>
  <c r="J25" i="40"/>
  <c r="AC25" i="40"/>
  <c r="J32" i="40"/>
  <c r="AC32" i="40"/>
  <c r="H32" i="40"/>
  <c r="U32" i="40"/>
  <c r="H33" i="40"/>
  <c r="AB33" i="40"/>
  <c r="F33" i="40"/>
  <c r="AA33" i="40"/>
  <c r="J33" i="40"/>
  <c r="H35" i="40"/>
  <c r="AB35" i="40"/>
  <c r="F35" i="40"/>
  <c r="J35" i="40"/>
  <c r="AC35" i="40"/>
  <c r="J38" i="39"/>
  <c r="W38" i="39"/>
  <c r="H38" i="39"/>
  <c r="U38" i="39"/>
  <c r="J16" i="40"/>
  <c r="J14" i="40"/>
  <c r="W14" i="40"/>
  <c r="H42" i="40"/>
  <c r="H40" i="40"/>
  <c r="U40" i="40"/>
  <c r="B41" i="1"/>
  <c r="J42" i="40"/>
  <c r="AC42" i="40"/>
  <c r="J40" i="40"/>
  <c r="AC40" i="40"/>
  <c r="H16" i="40"/>
  <c r="AB16" i="40"/>
  <c r="H14" i="40"/>
  <c r="F32" i="40"/>
  <c r="AA32" i="40"/>
  <c r="M1" i="46"/>
  <c r="M6" i="46"/>
  <c r="M10" i="46"/>
  <c r="N2" i="46"/>
  <c r="N5" i="46"/>
  <c r="F58" i="46"/>
  <c r="N7" i="46"/>
  <c r="M7" i="46"/>
  <c r="M11" i="46"/>
  <c r="N3" i="46"/>
  <c r="N6" i="46"/>
  <c r="N10" i="46"/>
  <c r="F69" i="46"/>
  <c r="H71" i="46"/>
  <c r="J13" i="40"/>
  <c r="W13" i="40"/>
  <c r="AC14" i="40"/>
  <c r="W35" i="40"/>
  <c r="S33" i="40"/>
  <c r="AB32" i="40"/>
  <c r="AC47" i="39"/>
  <c r="U37" i="34"/>
  <c r="AC41" i="40"/>
  <c r="J23" i="40"/>
  <c r="W23" i="40"/>
  <c r="F23" i="40"/>
  <c r="S23" i="40"/>
  <c r="AC15" i="40"/>
  <c r="AB16" i="39"/>
  <c r="H20" i="35"/>
  <c r="U20" i="35"/>
  <c r="F20" i="35"/>
  <c r="S20" i="35"/>
  <c r="H15" i="34"/>
  <c r="AB15" i="34"/>
  <c r="J15" i="34"/>
  <c r="H41" i="33"/>
  <c r="U41" i="33"/>
  <c r="G121" i="33"/>
  <c r="H121" i="33"/>
  <c r="I121" i="33"/>
  <c r="J121" i="33"/>
  <c r="K121" i="33"/>
  <c r="L121" i="33"/>
  <c r="M121" i="33"/>
  <c r="F30" i="40"/>
  <c r="AA30" i="40"/>
  <c r="H100" i="40"/>
  <c r="I100" i="40"/>
  <c r="J100" i="40"/>
  <c r="K100" i="40"/>
  <c r="L100" i="40"/>
  <c r="M100" i="40"/>
  <c r="AB38" i="34"/>
  <c r="AZ486" i="3"/>
  <c r="AZ504" i="3"/>
  <c r="AZ529" i="3"/>
  <c r="AZ530" i="3"/>
  <c r="AZ548" i="3"/>
  <c r="AZ549" i="3"/>
  <c r="AB37" i="39"/>
  <c r="U39" i="39"/>
  <c r="U21" i="39"/>
  <c r="AB33" i="36"/>
  <c r="AA11" i="36"/>
  <c r="AA14" i="35"/>
  <c r="S14" i="35"/>
  <c r="F33" i="37"/>
  <c r="U19" i="39"/>
  <c r="U46" i="34"/>
  <c r="AC30" i="34"/>
  <c r="W12" i="34"/>
  <c r="AC13" i="33"/>
  <c r="U17" i="34"/>
  <c r="W32" i="33"/>
  <c r="H15" i="33"/>
  <c r="U15" i="33"/>
  <c r="AA11" i="33"/>
  <c r="U16" i="40"/>
  <c r="W32" i="40"/>
  <c r="H25" i="40"/>
  <c r="AB25" i="40"/>
  <c r="F94" i="40"/>
  <c r="G94" i="40"/>
  <c r="U47" i="39"/>
  <c r="J37" i="34"/>
  <c r="AC37" i="34"/>
  <c r="J36" i="33"/>
  <c r="S41" i="40"/>
  <c r="AB23" i="40"/>
  <c r="S15" i="34"/>
  <c r="AA15" i="34"/>
  <c r="AA41" i="33"/>
  <c r="AA34" i="33"/>
  <c r="F106" i="33"/>
  <c r="G106" i="33"/>
  <c r="H106" i="33"/>
  <c r="I106" i="33"/>
  <c r="J106" i="33"/>
  <c r="K106" i="33"/>
  <c r="L106" i="33"/>
  <c r="M106" i="33"/>
  <c r="J34" i="33"/>
  <c r="AA37" i="39"/>
  <c r="W29" i="35"/>
  <c r="AC39" i="39"/>
  <c r="W39" i="39"/>
  <c r="AA39" i="39"/>
  <c r="S39" i="39"/>
  <c r="AB44" i="39"/>
  <c r="AC33" i="39"/>
  <c r="W33" i="39"/>
  <c r="U11" i="36"/>
  <c r="F80" i="35"/>
  <c r="G80" i="35"/>
  <c r="H80" i="35"/>
  <c r="I80" i="35"/>
  <c r="J80" i="35"/>
  <c r="K80" i="35"/>
  <c r="L80" i="35"/>
  <c r="M80" i="35"/>
  <c r="F90" i="34"/>
  <c r="G90" i="34"/>
  <c r="H90" i="34"/>
  <c r="I90" i="34"/>
  <c r="J90" i="34"/>
  <c r="K90" i="34"/>
  <c r="L90" i="34"/>
  <c r="M90" i="34"/>
  <c r="AA19" i="39"/>
  <c r="G96" i="37"/>
  <c r="H96" i="37"/>
  <c r="I96" i="37"/>
  <c r="J96" i="37"/>
  <c r="K96" i="37"/>
  <c r="L96" i="37"/>
  <c r="M96" i="37"/>
  <c r="F32" i="37"/>
  <c r="S32" i="37"/>
  <c r="U12" i="34"/>
  <c r="AB13" i="33"/>
  <c r="G80" i="34"/>
  <c r="F17" i="34"/>
  <c r="AA17" i="34"/>
  <c r="J17" i="34"/>
  <c r="H11" i="34"/>
  <c r="AB11" i="34"/>
  <c r="J35" i="33"/>
  <c r="AC35" i="33"/>
  <c r="H11" i="33"/>
  <c r="U11" i="33"/>
  <c r="H10" i="33"/>
  <c r="U10" i="33"/>
  <c r="I66" i="33"/>
  <c r="J10" i="33"/>
  <c r="AC10" i="33"/>
  <c r="U40" i="21"/>
  <c r="U11" i="37"/>
  <c r="AC16" i="35"/>
  <c r="AC13" i="40"/>
  <c r="J11" i="34"/>
  <c r="AC11" i="34"/>
  <c r="S17" i="34"/>
  <c r="F25" i="40"/>
  <c r="S25" i="40"/>
  <c r="J11" i="33"/>
  <c r="W11" i="33"/>
  <c r="H33" i="37"/>
  <c r="U33" i="37"/>
  <c r="AB20" i="35"/>
  <c r="D73" i="9"/>
  <c r="N73" i="9"/>
  <c r="B11" i="1"/>
  <c r="E11" i="1"/>
  <c r="K11" i="1"/>
  <c r="M11" i="1"/>
  <c r="O11" i="1"/>
  <c r="B9" i="1"/>
  <c r="E9" i="1"/>
  <c r="K9" i="1"/>
  <c r="M9" i="1"/>
  <c r="O9" i="1"/>
  <c r="C20" i="43"/>
  <c r="G11" i="1"/>
  <c r="F32" i="15"/>
  <c r="F59" i="15"/>
  <c r="AC25" i="36"/>
  <c r="S23" i="36"/>
  <c r="S8" i="36"/>
  <c r="AA28" i="36"/>
  <c r="U25" i="36"/>
  <c r="H20" i="36"/>
  <c r="U20" i="36"/>
  <c r="F68" i="36"/>
  <c r="G68" i="36"/>
  <c r="J20" i="36"/>
  <c r="F20" i="36"/>
  <c r="S20" i="36"/>
  <c r="F62" i="36"/>
  <c r="G62" i="36"/>
  <c r="J14" i="36"/>
  <c r="H14" i="36"/>
  <c r="AB14" i="36"/>
  <c r="F14" i="36"/>
  <c r="AA14" i="36"/>
  <c r="U27" i="36"/>
  <c r="U32" i="36"/>
  <c r="S33" i="36"/>
  <c r="AA27" i="36"/>
  <c r="S29" i="36"/>
  <c r="AC33" i="35"/>
  <c r="U22" i="35"/>
  <c r="S8" i="35"/>
  <c r="U33" i="35"/>
  <c r="AA20" i="35"/>
  <c r="S16" i="35"/>
  <c r="AB14" i="35"/>
  <c r="AC10" i="35"/>
  <c r="W13" i="35"/>
  <c r="AC18" i="35"/>
  <c r="W18" i="35"/>
  <c r="U18" i="35"/>
  <c r="AB18" i="35"/>
  <c r="S30" i="35"/>
  <c r="AA35" i="35"/>
  <c r="AB30" i="35"/>
  <c r="S27" i="35"/>
  <c r="J26" i="35"/>
  <c r="F26" i="35"/>
  <c r="S26" i="35"/>
  <c r="H26" i="35"/>
  <c r="U26" i="35"/>
  <c r="AB9" i="37"/>
  <c r="S17" i="37"/>
  <c r="AB37" i="37"/>
  <c r="AA31" i="37"/>
  <c r="S33" i="37"/>
  <c r="AA33" i="37"/>
  <c r="U32" i="37"/>
  <c r="AA32" i="37"/>
  <c r="J33" i="37"/>
  <c r="W33" i="37"/>
  <c r="S29" i="37"/>
  <c r="J19" i="37"/>
  <c r="AC19" i="37"/>
  <c r="G75" i="37"/>
  <c r="F19" i="37"/>
  <c r="H19" i="37"/>
  <c r="J17" i="37"/>
  <c r="AC17" i="37"/>
  <c r="S15" i="37"/>
  <c r="AC10" i="37"/>
  <c r="AC21" i="37"/>
  <c r="W21" i="37"/>
  <c r="AC11" i="37"/>
  <c r="U35" i="37"/>
  <c r="U8" i="37"/>
  <c r="AB25" i="37"/>
  <c r="AB21" i="37"/>
  <c r="U21" i="37"/>
  <c r="W46" i="34"/>
  <c r="AC45" i="34"/>
  <c r="AA40" i="34"/>
  <c r="W33" i="34"/>
  <c r="U30" i="34"/>
  <c r="AA12" i="34"/>
  <c r="AC35" i="34"/>
  <c r="AA33" i="34"/>
  <c r="U44" i="34"/>
  <c r="U34" i="34"/>
  <c r="J25" i="34"/>
  <c r="AC25" i="34"/>
  <c r="H25" i="34"/>
  <c r="F25" i="34"/>
  <c r="J23" i="34"/>
  <c r="AC23" i="34"/>
  <c r="F86" i="34"/>
  <c r="G86" i="34"/>
  <c r="F23" i="34"/>
  <c r="H23" i="34"/>
  <c r="U23" i="34"/>
  <c r="U11" i="34"/>
  <c r="W10" i="34"/>
  <c r="U10" i="34"/>
  <c r="W37" i="34"/>
  <c r="AC40" i="34"/>
  <c r="W44" i="34"/>
  <c r="W19" i="34"/>
  <c r="W29" i="34"/>
  <c r="AC21" i="34"/>
  <c r="W21" i="34"/>
  <c r="U15" i="34"/>
  <c r="AB21" i="34"/>
  <c r="U21" i="34"/>
  <c r="U19" i="34"/>
  <c r="S13" i="34"/>
  <c r="AA41" i="34"/>
  <c r="S10" i="34"/>
  <c r="U39" i="33"/>
  <c r="U37" i="33"/>
  <c r="S35" i="33"/>
  <c r="AB41" i="33"/>
  <c r="W31" i="33"/>
  <c r="W43" i="33"/>
  <c r="U46" i="33"/>
  <c r="W39" i="33"/>
  <c r="U35" i="33"/>
  <c r="W26" i="33"/>
  <c r="AB26" i="33"/>
  <c r="H25" i="33"/>
  <c r="J25" i="33"/>
  <c r="W25" i="33"/>
  <c r="F87" i="33"/>
  <c r="G87" i="33"/>
  <c r="H87" i="33"/>
  <c r="I87" i="33"/>
  <c r="J87" i="33"/>
  <c r="K87" i="33"/>
  <c r="L87" i="33"/>
  <c r="M87" i="33"/>
  <c r="F25" i="33"/>
  <c r="S25" i="33"/>
  <c r="F85" i="33"/>
  <c r="G85" i="33"/>
  <c r="J23" i="33"/>
  <c r="AC23" i="33"/>
  <c r="F23" i="33"/>
  <c r="S23" i="33"/>
  <c r="H23" i="33"/>
  <c r="U19" i="33"/>
  <c r="F79" i="33"/>
  <c r="G79" i="33"/>
  <c r="F17" i="33"/>
  <c r="H17" i="33"/>
  <c r="J17" i="33"/>
  <c r="AC17" i="33"/>
  <c r="AB15" i="33"/>
  <c r="AC11" i="33"/>
  <c r="S14" i="33"/>
  <c r="AC21" i="33"/>
  <c r="W21" i="33"/>
  <c r="W14" i="33"/>
  <c r="AB10" i="33"/>
  <c r="AB21" i="33"/>
  <c r="U21" i="33"/>
  <c r="AA21" i="33"/>
  <c r="S21" i="33"/>
  <c r="AA36" i="33"/>
  <c r="W39" i="21"/>
  <c r="U35" i="21"/>
  <c r="W43" i="21"/>
  <c r="W28" i="21"/>
  <c r="AC26" i="21"/>
  <c r="F15" i="21"/>
  <c r="S15" i="21"/>
  <c r="J15" i="21"/>
  <c r="AC15" i="21"/>
  <c r="AC11" i="21"/>
  <c r="AB11" i="21"/>
  <c r="AA11" i="21"/>
  <c r="AC21" i="21"/>
  <c r="W21" i="21"/>
  <c r="AC38" i="21"/>
  <c r="AB21" i="21"/>
  <c r="U21" i="21"/>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AB39" i="40"/>
  <c r="J39" i="40"/>
  <c r="W39" i="40"/>
  <c r="W38" i="40"/>
  <c r="F29" i="40"/>
  <c r="H29" i="40"/>
  <c r="AB29" i="40"/>
  <c r="J29" i="40"/>
  <c r="AC29" i="40"/>
  <c r="H98" i="40"/>
  <c r="I98" i="40"/>
  <c r="J98" i="40"/>
  <c r="K98" i="40"/>
  <c r="L98" i="40"/>
  <c r="M98" i="40"/>
  <c r="S30" i="40"/>
  <c r="AA23" i="40"/>
  <c r="F88" i="40"/>
  <c r="G88" i="40"/>
  <c r="F19" i="40"/>
  <c r="H19" i="40"/>
  <c r="AB19" i="40"/>
  <c r="J19" i="40"/>
  <c r="W19" i="40"/>
  <c r="W17" i="40"/>
  <c r="AC17" i="40"/>
  <c r="F17" i="40"/>
  <c r="H17" i="40"/>
  <c r="AB17" i="40"/>
  <c r="W21" i="40"/>
  <c r="AB40" i="40"/>
  <c r="U10" i="40"/>
  <c r="U27" i="40"/>
  <c r="AB27" i="40"/>
  <c r="AC44" i="39"/>
  <c r="S11" i="39"/>
  <c r="AB45" i="39"/>
  <c r="AC38" i="39"/>
  <c r="U41" i="39"/>
  <c r="AB38" i="39"/>
  <c r="S25" i="39"/>
  <c r="A18" i="64"/>
  <c r="B74" i="63"/>
  <c r="A18" i="51"/>
  <c r="B14" i="63"/>
  <c r="BA16" i="3"/>
  <c r="BA17" i="3"/>
  <c r="AZ17" i="3"/>
  <c r="G1" i="44"/>
  <c r="G3" i="46"/>
  <c r="H22" i="46"/>
  <c r="BO5" i="3"/>
  <c r="BL18" i="3"/>
  <c r="AZ18" i="3"/>
  <c r="BC5" i="3"/>
  <c r="BL16" i="3"/>
  <c r="G26"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58" i="46"/>
  <c r="B56" i="46"/>
  <c r="A4" i="64"/>
  <c r="A4" i="51"/>
  <c r="B6" i="63"/>
  <c r="C51" i="10"/>
  <c r="I100" i="46"/>
  <c r="C24" i="46"/>
  <c r="N100" i="46"/>
  <c r="H100" i="46"/>
  <c r="F108" i="46"/>
  <c r="H80" i="46"/>
  <c r="E100" i="46"/>
  <c r="G100" i="46"/>
  <c r="H84" i="46"/>
  <c r="C100" i="46"/>
  <c r="J100" i="46"/>
  <c r="M100" i="46"/>
  <c r="W11" i="35"/>
  <c r="C24" i="9"/>
  <c r="C25" i="9"/>
  <c r="I20" i="46"/>
  <c r="L5" i="54"/>
  <c r="B39" i="63"/>
  <c r="T41" i="4"/>
  <c r="A17" i="64"/>
  <c r="B46" i="50"/>
  <c r="B4" i="63"/>
  <c r="H86" i="46"/>
  <c r="H82" i="46"/>
  <c r="H10" i="48"/>
  <c r="H87" i="46"/>
  <c r="H85" i="46"/>
  <c r="H83" i="46"/>
  <c r="K10" i="1"/>
  <c r="M10" i="1"/>
  <c r="S11" i="1"/>
  <c r="R11" i="1"/>
  <c r="S13" i="1"/>
  <c r="R13" i="1"/>
  <c r="B10" i="1"/>
  <c r="E10" i="1"/>
  <c r="S10" i="1"/>
  <c r="B8" i="1"/>
  <c r="E8" i="1"/>
  <c r="B12" i="1"/>
  <c r="E12" i="1"/>
  <c r="S12" i="1"/>
  <c r="K6" i="1"/>
  <c r="M6" i="1"/>
  <c r="F66" i="36"/>
  <c r="H18" i="36"/>
  <c r="AB18" i="36"/>
  <c r="U16" i="36"/>
  <c r="S25" i="36"/>
  <c r="U23" i="36"/>
  <c r="AC27" i="36"/>
  <c r="W28" i="36"/>
  <c r="AA22" i="36"/>
  <c r="U10" i="36"/>
  <c r="W29" i="36"/>
  <c r="W8" i="36"/>
  <c r="AC30" i="35"/>
  <c r="U24" i="35"/>
  <c r="W32" i="35"/>
  <c r="S24" i="35"/>
  <c r="AA33" i="35"/>
  <c r="U32" i="35"/>
  <c r="W34" i="35"/>
  <c r="S32" i="35"/>
  <c r="W35" i="37"/>
  <c r="AC15" i="37"/>
  <c r="AA13" i="37"/>
  <c r="W38" i="37"/>
  <c r="W36" i="37"/>
  <c r="AB28" i="37"/>
  <c r="AA31" i="34"/>
  <c r="W47" i="34"/>
  <c r="AB29" i="34"/>
  <c r="AB47" i="34"/>
  <c r="AC13" i="34"/>
  <c r="S47" i="34"/>
  <c r="AA29" i="34"/>
  <c r="S19" i="34"/>
  <c r="S8" i="34"/>
  <c r="AA19" i="33"/>
  <c r="AC25" i="33"/>
  <c r="AB42" i="33"/>
  <c r="AB14" i="33"/>
  <c r="S15" i="33"/>
  <c r="S39" i="21"/>
  <c r="AB25" i="21"/>
  <c r="W25" i="21"/>
  <c r="AA25" i="21"/>
  <c r="AC37" i="21"/>
  <c r="U27" i="21"/>
  <c r="W31" i="21"/>
  <c r="S27" i="21"/>
  <c r="AC27" i="21"/>
  <c r="G96" i="40"/>
  <c r="J27" i="40"/>
  <c r="W27" i="40"/>
  <c r="W37" i="40"/>
  <c r="U17" i="40"/>
  <c r="U38" i="40"/>
  <c r="S42" i="40"/>
  <c r="G105" i="39"/>
  <c r="J31" i="39"/>
  <c r="W31" i="39"/>
  <c r="W41" i="39"/>
  <c r="W42" i="39"/>
  <c r="W36" i="39"/>
  <c r="AC37" i="39"/>
  <c r="W45" i="39"/>
  <c r="W10" i="39"/>
  <c r="W11" i="39"/>
  <c r="U42" i="39"/>
  <c r="S32" i="40"/>
  <c r="C27" i="39"/>
  <c r="C17" i="40"/>
  <c r="C19" i="40"/>
  <c r="C17" i="39"/>
  <c r="C19" i="39"/>
  <c r="C21" i="39"/>
  <c r="C23" i="40"/>
  <c r="B48" i="46"/>
  <c r="B51" i="46"/>
  <c r="B55" i="46"/>
  <c r="B59" i="46"/>
  <c r="B62" i="46"/>
  <c r="B66" i="46"/>
  <c r="B64" i="46"/>
  <c r="D24" i="15"/>
  <c r="S14" i="36"/>
  <c r="AB20" i="36"/>
  <c r="AA20" i="36"/>
  <c r="AC14" i="36"/>
  <c r="W14" i="36"/>
  <c r="U14" i="36"/>
  <c r="U18" i="36"/>
  <c r="AA26" i="35"/>
  <c r="AB26" i="35"/>
  <c r="W26" i="35"/>
  <c r="AC26" i="35"/>
  <c r="W19" i="37"/>
  <c r="AB19" i="37"/>
  <c r="U19" i="37"/>
  <c r="W17" i="37"/>
  <c r="U25" i="34"/>
  <c r="AB25" i="34"/>
  <c r="AA25" i="34"/>
  <c r="S25" i="34"/>
  <c r="W25" i="34"/>
  <c r="AB23" i="34"/>
  <c r="AA23" i="34"/>
  <c r="S23" i="34"/>
  <c r="W23" i="34"/>
  <c r="AA25" i="33"/>
  <c r="U23" i="33"/>
  <c r="AB23" i="33"/>
  <c r="W23" i="33"/>
  <c r="AA23" i="33"/>
  <c r="W17" i="33"/>
  <c r="AA17" i="33"/>
  <c r="S17" i="33"/>
  <c r="U17" i="33"/>
  <c r="AB17" i="33"/>
  <c r="U39" i="40"/>
  <c r="AC39" i="40"/>
  <c r="AA39" i="40"/>
  <c r="S39" i="40"/>
  <c r="U37" i="40"/>
  <c r="AB37" i="40"/>
  <c r="AA37" i="40"/>
  <c r="S37" i="40"/>
  <c r="U29" i="40"/>
  <c r="W29" i="40"/>
  <c r="AA29" i="40"/>
  <c r="S29" i="40"/>
  <c r="AA19" i="40"/>
  <c r="S19" i="40"/>
  <c r="U19" i="40"/>
  <c r="AT6" i="3"/>
  <c r="AZ16" i="3"/>
  <c r="E4" i="4"/>
  <c r="B21" i="55"/>
  <c r="B72" i="63"/>
  <c r="C4" i="4"/>
  <c r="B20" i="55"/>
  <c r="B70" i="63"/>
  <c r="G66" i="36"/>
  <c r="J18" i="36"/>
  <c r="AC18" i="36"/>
  <c r="AE6" i="1"/>
  <c r="AG6" i="1"/>
  <c r="L20" i="6"/>
  <c r="S9" i="1"/>
  <c r="R9" i="1"/>
  <c r="C45" i="9"/>
  <c r="N76" i="9"/>
  <c r="C46" i="9"/>
  <c r="O41" i="9"/>
  <c r="R8" i="54"/>
  <c r="B54" i="63"/>
  <c r="J17" i="46"/>
  <c r="C17" i="46"/>
  <c r="F34" i="46"/>
  <c r="F38" i="46"/>
  <c r="F37" i="46"/>
  <c r="H113" i="46"/>
  <c r="H49" i="46"/>
  <c r="H53" i="46"/>
  <c r="D13" i="59"/>
  <c r="C12" i="59"/>
  <c r="D12" i="59"/>
  <c r="U10" i="59"/>
  <c r="F13" i="59"/>
  <c r="F12" i="59"/>
  <c r="F11" i="59"/>
  <c r="F10" i="59"/>
  <c r="Y12" i="59"/>
  <c r="Z12" i="59"/>
  <c r="AA12" i="59"/>
  <c r="AB12" i="59"/>
  <c r="Y11" i="59"/>
  <c r="Z11" i="59"/>
  <c r="Y10" i="59"/>
  <c r="Z10" i="59"/>
  <c r="Y9" i="59"/>
  <c r="Z9" i="59"/>
  <c r="AB11" i="59"/>
  <c r="AB10" i="59"/>
  <c r="AB9" i="59"/>
  <c r="AA14" i="59"/>
  <c r="X12" i="59"/>
  <c r="X10" i="59"/>
  <c r="X9" i="59"/>
  <c r="AA10" i="59"/>
  <c r="AA9" i="59"/>
  <c r="H51" i="46"/>
  <c r="X7" i="46"/>
  <c r="E17" i="46"/>
  <c r="N17" i="46"/>
  <c r="O17" i="46"/>
  <c r="M17" i="46"/>
  <c r="L17" i="46"/>
  <c r="H73" i="46"/>
  <c r="H50" i="46"/>
  <c r="H48" i="46"/>
  <c r="F35" i="46"/>
  <c r="I17" i="46"/>
  <c r="D100" i="46"/>
  <c r="AF12" i="46"/>
  <c r="K100" i="46"/>
  <c r="AB12" i="46"/>
  <c r="AJ12" i="46"/>
  <c r="H74" i="46"/>
  <c r="H75" i="46"/>
  <c r="E10" i="46"/>
  <c r="E9" i="46"/>
  <c r="C7" i="46"/>
  <c r="E8" i="46"/>
  <c r="H69" i="46"/>
  <c r="H77" i="46"/>
  <c r="H76" i="46"/>
  <c r="H55" i="46"/>
  <c r="H54" i="46"/>
  <c r="H52" i="46"/>
  <c r="H47" i="46"/>
  <c r="AD12" i="46"/>
  <c r="AH12" i="46"/>
  <c r="G20" i="46"/>
  <c r="E41" i="46"/>
  <c r="C41" i="46"/>
  <c r="E8" i="67"/>
  <c r="F9" i="67"/>
  <c r="B10" i="67"/>
  <c r="E12" i="67"/>
  <c r="N6" i="65"/>
  <c r="E9" i="67"/>
  <c r="F11" i="67"/>
  <c r="F8" i="67"/>
  <c r="N5" i="65"/>
  <c r="E10" i="67"/>
  <c r="B8" i="67"/>
  <c r="B14" i="67"/>
  <c r="F13" i="67"/>
  <c r="B11" i="67"/>
  <c r="M25" i="44"/>
  <c r="B12" i="67"/>
  <c r="E11" i="67"/>
  <c r="B9" i="67"/>
  <c r="N4" i="65"/>
  <c r="F11" i="44"/>
  <c r="E14" i="67"/>
  <c r="F12" i="67"/>
  <c r="F45" i="44"/>
  <c r="F10" i="67"/>
  <c r="N7" i="65"/>
  <c r="N3" i="65"/>
  <c r="F14" i="67"/>
  <c r="B13" i="67"/>
  <c r="E13" i="67"/>
  <c r="F109" i="39"/>
  <c r="F34" i="39"/>
  <c r="AA33" i="39"/>
  <c r="AB33" i="39"/>
  <c r="W18" i="36"/>
  <c r="W11" i="34"/>
  <c r="S47" i="39"/>
  <c r="W40" i="40"/>
  <c r="AC15" i="39"/>
  <c r="AZ513" i="3"/>
  <c r="AZ518" i="3"/>
  <c r="S26" i="36"/>
  <c r="AZ356" i="3"/>
  <c r="AZ340" i="3"/>
  <c r="AZ329" i="3"/>
  <c r="AZ358" i="3"/>
  <c r="AZ355" i="3"/>
  <c r="AZ339" i="3"/>
  <c r="AZ307" i="3"/>
  <c r="AZ322" i="3"/>
  <c r="AZ303" i="3"/>
  <c r="U23" i="37"/>
  <c r="I14" i="66"/>
  <c r="B8" i="66"/>
  <c r="H12" i="33"/>
  <c r="J12" i="33"/>
  <c r="G389" i="3"/>
  <c r="BL391" i="3"/>
  <c r="G395" i="3"/>
  <c r="BA398" i="3"/>
  <c r="G399" i="3"/>
  <c r="BA403" i="3"/>
  <c r="G404" i="3"/>
  <c r="G407" i="3"/>
  <c r="BA408" i="3"/>
  <c r="G413" i="3"/>
  <c r="G416" i="3"/>
  <c r="BA417" i="3"/>
  <c r="BL421" i="3"/>
  <c r="BA422" i="3"/>
  <c r="G423" i="3"/>
  <c r="G425" i="3"/>
  <c r="G428" i="3"/>
  <c r="BL429" i="3"/>
  <c r="BL430" i="3"/>
  <c r="G564" i="3"/>
  <c r="G497" i="3"/>
  <c r="G495" i="3"/>
  <c r="G493" i="3"/>
  <c r="G490" i="3"/>
  <c r="G487" i="3"/>
  <c r="G15" i="3"/>
  <c r="G14" i="3"/>
  <c r="G431" i="3"/>
  <c r="BA434" i="3"/>
  <c r="BL434" i="3"/>
  <c r="BA435" i="3"/>
  <c r="BL435" i="3"/>
  <c r="G436" i="3"/>
  <c r="BA439" i="3"/>
  <c r="G440" i="3"/>
  <c r="G445" i="3"/>
  <c r="BA447" i="3"/>
  <c r="G448" i="3"/>
  <c r="G453" i="3"/>
  <c r="G457" i="3"/>
  <c r="G460" i="3"/>
  <c r="BA462" i="3"/>
  <c r="G463" i="3"/>
  <c r="BA465" i="3"/>
  <c r="G466" i="3"/>
  <c r="G470" i="3"/>
  <c r="BA475" i="3"/>
  <c r="G476" i="3"/>
  <c r="BA478" i="3"/>
  <c r="BL478" i="3"/>
  <c r="G480" i="3"/>
  <c r="BA301" i="3"/>
  <c r="AZ301" i="3"/>
  <c r="G307" i="3"/>
  <c r="G317" i="3"/>
  <c r="BL330" i="3"/>
  <c r="AZ330" i="3"/>
  <c r="BA334" i="3"/>
  <c r="BL334" i="3"/>
  <c r="BL346" i="3"/>
  <c r="AZ346" i="3"/>
  <c r="BA350" i="3"/>
  <c r="G388" i="3"/>
  <c r="G208" i="3"/>
  <c r="BL210" i="3"/>
  <c r="G214" i="3"/>
  <c r="BA216" i="3"/>
  <c r="BL216" i="3"/>
  <c r="G218" i="3"/>
  <c r="G220" i="3"/>
  <c r="G224" i="3"/>
  <c r="BL226" i="3"/>
  <c r="G230" i="3"/>
  <c r="BA232" i="3"/>
  <c r="BL232" i="3"/>
  <c r="BA233" i="3"/>
  <c r="G235" i="3"/>
  <c r="BA237" i="3"/>
  <c r="BL237" i="3"/>
  <c r="BA238" i="3"/>
  <c r="BL238" i="3"/>
  <c r="G239" i="3"/>
  <c r="G241" i="3"/>
  <c r="BA243" i="3"/>
  <c r="BL243" i="3"/>
  <c r="BA244" i="3"/>
  <c r="G245" i="3"/>
  <c r="BL247" i="3"/>
  <c r="G251" i="3"/>
  <c r="BA253" i="3"/>
  <c r="BL253" i="3"/>
  <c r="BA254" i="3"/>
  <c r="G255" i="3"/>
  <c r="G257" i="3"/>
  <c r="BA259" i="3"/>
  <c r="BL259" i="3"/>
  <c r="BA260" i="3"/>
  <c r="G261" i="3"/>
  <c r="BL263" i="3"/>
  <c r="G268" i="3"/>
  <c r="BL272" i="3"/>
  <c r="BA273" i="3"/>
  <c r="BL273" i="3"/>
  <c r="G274" i="3"/>
  <c r="G276" i="3"/>
  <c r="BL277" i="3"/>
  <c r="BA278" i="3"/>
  <c r="AZ278" i="3"/>
  <c r="BL278" i="3"/>
  <c r="G279" i="3"/>
  <c r="BL280" i="3"/>
  <c r="BA281" i="3"/>
  <c r="AZ281" i="3"/>
  <c r="BL281" i="3"/>
  <c r="G282" i="3"/>
  <c r="G286" i="3"/>
  <c r="BA290" i="3"/>
  <c r="AZ290" i="3"/>
  <c r="BL290" i="3"/>
  <c r="BL291" i="3"/>
  <c r="BL292" i="3"/>
  <c r="G113" i="3"/>
  <c r="G115" i="3"/>
  <c r="BA121" i="3"/>
  <c r="AZ121" i="3"/>
  <c r="BL121" i="3"/>
  <c r="G123" i="3"/>
  <c r="BA131" i="3"/>
  <c r="AZ131" i="3"/>
  <c r="BA132" i="3"/>
  <c r="G133" i="3"/>
  <c r="BA136" i="3"/>
  <c r="BL136" i="3"/>
  <c r="G138" i="3"/>
  <c r="BA140" i="3"/>
  <c r="G141" i="3"/>
  <c r="BL141" i="3"/>
  <c r="G146" i="3"/>
  <c r="G151" i="3"/>
  <c r="BA151" i="3"/>
  <c r="AZ151" i="3"/>
  <c r="BA158" i="3"/>
  <c r="AZ158" i="3"/>
  <c r="BL160" i="3"/>
  <c r="BL163" i="3"/>
  <c r="G165" i="3"/>
  <c r="G169" i="3"/>
  <c r="G170" i="3"/>
  <c r="G174" i="3"/>
  <c r="G176" i="3"/>
  <c r="G179" i="3"/>
  <c r="D32" i="59"/>
  <c r="C33" i="59"/>
  <c r="D33" i="59"/>
  <c r="BA181" i="3"/>
  <c r="AZ181" i="3"/>
  <c r="G185" i="3"/>
  <c r="BA186" i="3"/>
  <c r="G195" i="3"/>
  <c r="BA195" i="3"/>
  <c r="G196" i="3"/>
  <c r="G197" i="3"/>
  <c r="BL200" i="3"/>
  <c r="AZ200" i="3"/>
  <c r="BA202" i="3"/>
  <c r="BL202" i="3"/>
  <c r="G203" i="3"/>
  <c r="BL203" i="3"/>
  <c r="G21" i="3"/>
  <c r="G24" i="3"/>
  <c r="G27" i="3"/>
  <c r="BA28" i="3"/>
  <c r="G29" i="3"/>
  <c r="BA29" i="3"/>
  <c r="G30" i="3"/>
  <c r="BA32" i="3"/>
  <c r="BL32" i="3"/>
  <c r="BL33" i="3"/>
  <c r="G34" i="3"/>
  <c r="BA35" i="3"/>
  <c r="G36" i="3"/>
  <c r="BL40" i="3"/>
  <c r="BA42" i="3"/>
  <c r="G50" i="3"/>
  <c r="BL55" i="3"/>
  <c r="BA56" i="3"/>
  <c r="G63" i="3"/>
  <c r="G66" i="3"/>
  <c r="G69" i="3"/>
  <c r="BL73" i="3"/>
  <c r="BA74" i="3"/>
  <c r="G75" i="3"/>
  <c r="G78" i="3"/>
  <c r="BA80" i="3"/>
  <c r="BA83" i="3"/>
  <c r="BL87" i="3"/>
  <c r="BA88" i="3"/>
  <c r="AZ88" i="3"/>
  <c r="BL88" i="3"/>
  <c r="G90" i="3"/>
  <c r="G94" i="3"/>
  <c r="BA99" i="3"/>
  <c r="G100" i="3"/>
  <c r="BA101" i="3"/>
  <c r="G106" i="3"/>
  <c r="BA108" i="3"/>
  <c r="BL108" i="3"/>
  <c r="BL109" i="3"/>
  <c r="G110" i="3"/>
  <c r="AE10" i="46"/>
  <c r="Z10" i="46"/>
  <c r="D14" i="59"/>
  <c r="E26" i="57"/>
  <c r="I20" i="57"/>
  <c r="C27" i="40"/>
  <c r="F31" i="39"/>
  <c r="AA31" i="39"/>
  <c r="AB15" i="59"/>
  <c r="AA24" i="59"/>
  <c r="AA26" i="59"/>
  <c r="AB28" i="59"/>
  <c r="C45" i="59"/>
  <c r="B53" i="59"/>
  <c r="B54" i="59"/>
  <c r="S54" i="59"/>
  <c r="F65" i="59"/>
  <c r="F64" i="59"/>
  <c r="AB14" i="59"/>
  <c r="F97" i="39"/>
  <c r="G97" i="39"/>
  <c r="H23" i="39"/>
  <c r="AB23" i="39"/>
  <c r="F23" i="39"/>
  <c r="AA23" i="39"/>
  <c r="J23" i="39"/>
  <c r="W23" i="39"/>
  <c r="W42" i="21"/>
  <c r="U42" i="21"/>
  <c r="S42" i="21"/>
  <c r="AB37" i="21"/>
  <c r="AA37" i="21"/>
  <c r="W32" i="21"/>
  <c r="H23" i="21"/>
  <c r="AB23" i="21"/>
  <c r="F85" i="21"/>
  <c r="G85" i="21"/>
  <c r="J23" i="21"/>
  <c r="W23" i="21"/>
  <c r="S21" i="21"/>
  <c r="AC19" i="21"/>
  <c r="U19" i="21"/>
  <c r="S19" i="21"/>
  <c r="AA17" i="21"/>
  <c r="H15" i="21"/>
  <c r="AB15" i="21"/>
  <c r="W15" i="21"/>
  <c r="AA15" i="21"/>
  <c r="W10" i="21"/>
  <c r="AB10" i="21"/>
  <c r="S8" i="21"/>
  <c r="G13" i="3"/>
  <c r="C11" i="59"/>
  <c r="C10" i="59"/>
  <c r="AA25" i="40"/>
  <c r="AB41" i="40"/>
  <c r="AB27" i="39"/>
  <c r="AZ489" i="3"/>
  <c r="AZ506" i="3"/>
  <c r="AZ515" i="3"/>
  <c r="AZ517" i="3"/>
  <c r="AZ523" i="3"/>
  <c r="S40" i="21"/>
  <c r="U9" i="33"/>
  <c r="AB9" i="33"/>
  <c r="U27" i="37"/>
  <c r="AB27" i="37"/>
  <c r="C20" i="46"/>
  <c r="W35" i="33"/>
  <c r="F66" i="9"/>
  <c r="P72" i="9"/>
  <c r="F28" i="71"/>
  <c r="C28" i="71"/>
  <c r="M18" i="71"/>
  <c r="F32" i="71"/>
  <c r="F59" i="71"/>
  <c r="AA41" i="39"/>
  <c r="F83" i="39"/>
  <c r="G83" i="39"/>
  <c r="H83" i="39"/>
  <c r="I83" i="39"/>
  <c r="J83" i="39"/>
  <c r="K83" i="39"/>
  <c r="L83" i="39"/>
  <c r="M83" i="39"/>
  <c r="F13" i="39"/>
  <c r="S13" i="39"/>
  <c r="AZ365" i="3"/>
  <c r="AZ323" i="3"/>
  <c r="AZ298" i="3"/>
  <c r="AZ372" i="3"/>
  <c r="AZ327" i="3"/>
  <c r="AZ15" i="3"/>
  <c r="U31" i="37"/>
  <c r="AC41" i="34"/>
  <c r="S23" i="37"/>
  <c r="AZ484" i="3"/>
  <c r="AZ520" i="3"/>
  <c r="W46" i="33"/>
  <c r="AC37" i="37"/>
  <c r="AA10" i="21"/>
  <c r="F9" i="33"/>
  <c r="U27" i="33"/>
  <c r="AC39" i="34"/>
  <c r="S28" i="34"/>
  <c r="J36" i="35"/>
  <c r="H9" i="35"/>
  <c r="AB22" i="36"/>
  <c r="F25" i="37"/>
  <c r="AA37" i="33"/>
  <c r="G568" i="3"/>
  <c r="BL567" i="3"/>
  <c r="G565" i="3"/>
  <c r="G562" i="3"/>
  <c r="BL560" i="3"/>
  <c r="G560" i="3"/>
  <c r="G556" i="3"/>
  <c r="BL555" i="3"/>
  <c r="G555" i="3"/>
  <c r="G552" i="3"/>
  <c r="G551" i="3"/>
  <c r="G548" i="3"/>
  <c r="G547" i="3"/>
  <c r="BL546" i="3"/>
  <c r="BA546" i="3"/>
  <c r="G541" i="3"/>
  <c r="BL540" i="3"/>
  <c r="BL538" i="3"/>
  <c r="BA537" i="3"/>
  <c r="BL536" i="3"/>
  <c r="G536" i="3"/>
  <c r="G520" i="3"/>
  <c r="G519" i="3"/>
  <c r="G516" i="3"/>
  <c r="G511" i="3"/>
  <c r="BL499" i="3"/>
  <c r="BL497" i="3"/>
  <c r="BA496" i="3"/>
  <c r="G496" i="3"/>
  <c r="G486" i="3"/>
  <c r="G482" i="3"/>
  <c r="G20" i="3"/>
  <c r="G19" i="3"/>
  <c r="AZ510" i="3"/>
  <c r="AZ483" i="3"/>
  <c r="BH5" i="3"/>
  <c r="BL568" i="3"/>
  <c r="BA567" i="3"/>
  <c r="AZ567" i="3"/>
  <c r="BA565" i="3"/>
  <c r="BA563" i="3"/>
  <c r="BA556" i="3"/>
  <c r="BL547" i="3"/>
  <c r="BA547" i="3"/>
  <c r="BL542" i="3"/>
  <c r="BA542" i="3"/>
  <c r="BP5" i="3"/>
  <c r="BA541" i="3"/>
  <c r="BA502" i="3"/>
  <c r="BL501" i="3"/>
  <c r="AZ501" i="3"/>
  <c r="BL500" i="3"/>
  <c r="BA500" i="3"/>
  <c r="F34" i="15"/>
  <c r="F61" i="15"/>
  <c r="F34" i="71"/>
  <c r="M20" i="71"/>
  <c r="G17" i="3"/>
  <c r="AA40" i="39"/>
  <c r="D25" i="44"/>
  <c r="C12" i="46"/>
  <c r="BA389" i="3"/>
  <c r="AZ389" i="3"/>
  <c r="BA391" i="3"/>
  <c r="AZ391" i="3"/>
  <c r="BL392" i="3"/>
  <c r="BA393" i="3"/>
  <c r="BL393" i="3"/>
  <c r="G394" i="3"/>
  <c r="BA395" i="3"/>
  <c r="BL395" i="3"/>
  <c r="BA396" i="3"/>
  <c r="G397" i="3"/>
  <c r="BA399" i="3"/>
  <c r="BL399" i="3"/>
  <c r="G400" i="3"/>
  <c r="BA401" i="3"/>
  <c r="G402" i="3"/>
  <c r="BA404" i="3"/>
  <c r="BA405" i="3"/>
  <c r="BL405" i="3"/>
  <c r="G406" i="3"/>
  <c r="BA407" i="3"/>
  <c r="G408" i="3"/>
  <c r="BA409" i="3"/>
  <c r="AZ409" i="3"/>
  <c r="BL411" i="3"/>
  <c r="G412" i="3"/>
  <c r="BL412" i="3"/>
  <c r="BA415" i="3"/>
  <c r="BL415" i="3"/>
  <c r="BA416" i="3"/>
  <c r="G417" i="3"/>
  <c r="BA419" i="3"/>
  <c r="BA421" i="3"/>
  <c r="AZ421" i="3"/>
  <c r="BA423" i="3"/>
  <c r="AZ423" i="3"/>
  <c r="BL424" i="3"/>
  <c r="BA425" i="3"/>
  <c r="BL425" i="3"/>
  <c r="G426" i="3"/>
  <c r="BA427" i="3"/>
  <c r="BL427" i="3"/>
  <c r="BA428" i="3"/>
  <c r="BL428" i="3"/>
  <c r="BA429" i="3"/>
  <c r="AZ429" i="3"/>
  <c r="BA431" i="3"/>
  <c r="AZ431" i="3"/>
  <c r="G433" i="3"/>
  <c r="BA436" i="3"/>
  <c r="AZ436" i="3"/>
  <c r="BA440" i="3"/>
  <c r="BL441" i="3"/>
  <c r="AZ441" i="3"/>
  <c r="BA442" i="3"/>
  <c r="BL442" i="3"/>
  <c r="G443" i="3"/>
  <c r="G444" i="3"/>
  <c r="BL444" i="3"/>
  <c r="AZ444" i="3"/>
  <c r="BL445" i="3"/>
  <c r="G446" i="3"/>
  <c r="BA448" i="3"/>
  <c r="BL449" i="3"/>
  <c r="AZ449" i="3"/>
  <c r="BA450" i="3"/>
  <c r="BL450" i="3"/>
  <c r="G451" i="3"/>
  <c r="G452" i="3"/>
  <c r="BL452" i="3"/>
  <c r="AZ452" i="3"/>
  <c r="BL453" i="3"/>
  <c r="G454" i="3"/>
  <c r="BA455" i="3"/>
  <c r="G456" i="3"/>
  <c r="G459" i="3"/>
  <c r="BL459" i="3"/>
  <c r="AZ459" i="3"/>
  <c r="BL460" i="3"/>
  <c r="G461" i="3"/>
  <c r="BA463" i="3"/>
  <c r="BL463" i="3"/>
  <c r="G464" i="3"/>
  <c r="BA466" i="3"/>
  <c r="BL466" i="3"/>
  <c r="G467" i="3"/>
  <c r="BL467" i="3"/>
  <c r="AZ467" i="3"/>
  <c r="BA468" i="3"/>
  <c r="BL468" i="3"/>
  <c r="G469" i="3"/>
  <c r="BA470" i="3"/>
  <c r="BL470" i="3"/>
  <c r="BA471" i="3"/>
  <c r="BL471" i="3"/>
  <c r="BA472" i="3"/>
  <c r="AZ472" i="3"/>
  <c r="BA476" i="3"/>
  <c r="BL477" i="3"/>
  <c r="AZ477" i="3"/>
  <c r="BA297" i="3"/>
  <c r="AZ297" i="3"/>
  <c r="G311" i="3"/>
  <c r="BA313" i="3"/>
  <c r="AZ313" i="3"/>
  <c r="BA315" i="3"/>
  <c r="AZ315" i="3"/>
  <c r="BA317" i="3"/>
  <c r="AZ317" i="3"/>
  <c r="BL319" i="3"/>
  <c r="AZ319" i="3"/>
  <c r="G325" i="3"/>
  <c r="BA335" i="3"/>
  <c r="AZ335" i="3"/>
  <c r="BA341" i="3"/>
  <c r="AZ341" i="3"/>
  <c r="BA353" i="3"/>
  <c r="AZ353" i="3"/>
  <c r="BA357" i="3"/>
  <c r="AZ357" i="3"/>
  <c r="G365" i="3"/>
  <c r="BL366" i="3"/>
  <c r="AZ366" i="3"/>
  <c r="G367" i="3"/>
  <c r="G375" i="3"/>
  <c r="BL376" i="3"/>
  <c r="AZ376" i="3"/>
  <c r="BL380" i="3"/>
  <c r="AZ380" i="3"/>
  <c r="G381" i="3"/>
  <c r="BL382" i="3"/>
  <c r="AZ382" i="3"/>
  <c r="BA384" i="3"/>
  <c r="AZ384" i="3"/>
  <c r="BA385" i="3"/>
  <c r="BL385" i="3"/>
  <c r="BA386" i="3"/>
  <c r="AZ386" i="3"/>
  <c r="BL387" i="3"/>
  <c r="BL388" i="3"/>
  <c r="G205" i="3"/>
  <c r="BL205" i="3"/>
  <c r="AZ205" i="3"/>
  <c r="BA206" i="3"/>
  <c r="BL206" i="3"/>
  <c r="G207" i="3"/>
  <c r="BA210" i="3"/>
  <c r="AZ210" i="3"/>
  <c r="BL211" i="3"/>
  <c r="BA212" i="3"/>
  <c r="BL212" i="3"/>
  <c r="G213" i="3"/>
  <c r="BL213" i="3"/>
  <c r="AZ213" i="3"/>
  <c r="BA214" i="3"/>
  <c r="BL214" i="3"/>
  <c r="G215" i="3"/>
  <c r="BA218" i="3"/>
  <c r="AZ218" i="3"/>
  <c r="BL219" i="3"/>
  <c r="BA220" i="3"/>
  <c r="BL220" i="3"/>
  <c r="BL221" i="3"/>
  <c r="AZ221" i="3"/>
  <c r="BA222" i="3"/>
  <c r="G223" i="3"/>
  <c r="BA226" i="3"/>
  <c r="AZ226" i="3"/>
  <c r="BL227" i="3"/>
  <c r="BA228" i="3"/>
  <c r="BL228" i="3"/>
  <c r="G229" i="3"/>
  <c r="BL229" i="3"/>
  <c r="AZ229" i="3"/>
  <c r="BA230" i="3"/>
  <c r="BL230" i="3"/>
  <c r="G231" i="3"/>
  <c r="BA239" i="3"/>
  <c r="AZ239" i="3"/>
  <c r="BL240" i="3"/>
  <c r="BA241" i="3"/>
  <c r="BL241" i="3"/>
  <c r="G242" i="3"/>
  <c r="BA247" i="3"/>
  <c r="AZ247" i="3"/>
  <c r="BL248" i="3"/>
  <c r="BL249" i="3"/>
  <c r="G250" i="3"/>
  <c r="BA255" i="3"/>
  <c r="AZ255" i="3"/>
  <c r="BL256" i="3"/>
  <c r="BA257" i="3"/>
  <c r="BL257" i="3"/>
  <c r="G258" i="3"/>
  <c r="BA263" i="3"/>
  <c r="AZ263" i="3"/>
  <c r="BL264" i="3"/>
  <c r="AZ264" i="3"/>
  <c r="BA265" i="3"/>
  <c r="BL265" i="3"/>
  <c r="BA266" i="3"/>
  <c r="AZ266" i="3"/>
  <c r="BL267" i="3"/>
  <c r="BL268" i="3"/>
  <c r="G269" i="3"/>
  <c r="BA270" i="3"/>
  <c r="BL270" i="3"/>
  <c r="G271" i="3"/>
  <c r="BA272" i="3"/>
  <c r="AZ272" i="3"/>
  <c r="BA274" i="3"/>
  <c r="AZ274" i="3"/>
  <c r="BL275" i="3"/>
  <c r="BA276" i="3"/>
  <c r="BL276" i="3"/>
  <c r="BA277" i="3"/>
  <c r="AZ277" i="3"/>
  <c r="BA279" i="3"/>
  <c r="BL279" i="3"/>
  <c r="BA280" i="3"/>
  <c r="AZ280" i="3"/>
  <c r="BA282" i="3"/>
  <c r="AZ282" i="3"/>
  <c r="G284" i="3"/>
  <c r="BA394" i="3"/>
  <c r="AZ394" i="3"/>
  <c r="BL397" i="3"/>
  <c r="AZ397" i="3"/>
  <c r="BA400" i="3"/>
  <c r="AZ400" i="3"/>
  <c r="BL402" i="3"/>
  <c r="AZ402" i="3"/>
  <c r="BA406" i="3"/>
  <c r="AZ406" i="3"/>
  <c r="AZ408" i="3"/>
  <c r="BL408" i="3"/>
  <c r="BL414" i="3"/>
  <c r="BL417" i="3"/>
  <c r="AZ417" i="3"/>
  <c r="BL420" i="3"/>
  <c r="AZ420" i="3"/>
  <c r="BA426" i="3"/>
  <c r="AZ426" i="3"/>
  <c r="BL433" i="3"/>
  <c r="AZ433" i="3"/>
  <c r="BL438" i="3"/>
  <c r="AZ438" i="3"/>
  <c r="BA446" i="3"/>
  <c r="AZ446" i="3"/>
  <c r="BA454" i="3"/>
  <c r="AZ454" i="3"/>
  <c r="BA456" i="3"/>
  <c r="AZ456" i="3"/>
  <c r="BA461" i="3"/>
  <c r="AZ461" i="3"/>
  <c r="BA464" i="3"/>
  <c r="AZ464" i="3"/>
  <c r="BA469" i="3"/>
  <c r="AZ469" i="3"/>
  <c r="BL474" i="3"/>
  <c r="AZ474" i="3"/>
  <c r="BL479" i="3"/>
  <c r="BA368" i="3"/>
  <c r="AZ368" i="3"/>
  <c r="BL369" i="3"/>
  <c r="AZ369" i="3"/>
  <c r="BA375" i="3"/>
  <c r="AZ375" i="3"/>
  <c r="BA207" i="3"/>
  <c r="AZ207" i="3"/>
  <c r="BL209" i="3"/>
  <c r="AZ209" i="3"/>
  <c r="BA215" i="3"/>
  <c r="AZ215" i="3"/>
  <c r="BL217" i="3"/>
  <c r="AZ219" i="3"/>
  <c r="BA223" i="3"/>
  <c r="AZ223" i="3"/>
  <c r="BL225" i="3"/>
  <c r="AZ225" i="3"/>
  <c r="BA231" i="3"/>
  <c r="AZ231" i="3"/>
  <c r="BL233" i="3"/>
  <c r="AZ233" i="3"/>
  <c r="BA234" i="3"/>
  <c r="AZ234" i="3"/>
  <c r="BL236" i="3"/>
  <c r="BA242" i="3"/>
  <c r="AZ242" i="3"/>
  <c r="BL244" i="3"/>
  <c r="AZ244" i="3"/>
  <c r="BA250" i="3"/>
  <c r="AZ250" i="3"/>
  <c r="BL252" i="3"/>
  <c r="AZ252" i="3"/>
  <c r="BA258" i="3"/>
  <c r="AZ258" i="3"/>
  <c r="BL260" i="3"/>
  <c r="AZ260" i="3"/>
  <c r="BA269" i="3"/>
  <c r="AZ269" i="3"/>
  <c r="BL271" i="3"/>
  <c r="AZ275" i="3"/>
  <c r="BA284" i="3"/>
  <c r="AZ284" i="3"/>
  <c r="BL285" i="3"/>
  <c r="BL287" i="3"/>
  <c r="AZ287" i="3"/>
  <c r="G289" i="3"/>
  <c r="BL289" i="3"/>
  <c r="AZ289" i="3"/>
  <c r="BA292" i="3"/>
  <c r="AZ292" i="3"/>
  <c r="G293" i="3"/>
  <c r="BA293" i="3"/>
  <c r="AZ293" i="3"/>
  <c r="G295" i="3"/>
  <c r="BL114" i="3"/>
  <c r="AZ114" i="3"/>
  <c r="BL116" i="3"/>
  <c r="G118" i="3"/>
  <c r="BL124" i="3"/>
  <c r="AZ124" i="3"/>
  <c r="G126" i="3"/>
  <c r="BL129" i="3"/>
  <c r="BL132" i="3"/>
  <c r="BL134" i="3"/>
  <c r="AZ134" i="3"/>
  <c r="BL137" i="3"/>
  <c r="G139" i="3"/>
  <c r="BL140" i="3"/>
  <c r="AZ140" i="3"/>
  <c r="BA141" i="3"/>
  <c r="AZ141" i="3"/>
  <c r="G143" i="3"/>
  <c r="BA143" i="3"/>
  <c r="AZ143" i="3"/>
  <c r="BL144" i="3"/>
  <c r="AZ144" i="3"/>
  <c r="BA145" i="3"/>
  <c r="BL145" i="3"/>
  <c r="BA148" i="3"/>
  <c r="G149" i="3"/>
  <c r="BL150" i="3"/>
  <c r="AZ150" i="3"/>
  <c r="G153" i="3"/>
  <c r="BA155" i="3"/>
  <c r="BL157" i="3"/>
  <c r="AZ157" i="3"/>
  <c r="G160" i="3"/>
  <c r="BA160" i="3"/>
  <c r="AZ160" i="3"/>
  <c r="G162" i="3"/>
  <c r="BA163" i="3"/>
  <c r="AZ163" i="3"/>
  <c r="BL166" i="3"/>
  <c r="G167" i="3"/>
  <c r="BL169" i="3"/>
  <c r="AZ169" i="3"/>
  <c r="G173" i="3"/>
  <c r="BA177" i="3"/>
  <c r="AZ177" i="3"/>
  <c r="G181" i="3"/>
  <c r="BA183" i="3"/>
  <c r="AZ183" i="3"/>
  <c r="G187" i="3"/>
  <c r="G189" i="3"/>
  <c r="G192" i="3"/>
  <c r="BA194" i="3"/>
  <c r="BL194" i="3"/>
  <c r="BL196" i="3"/>
  <c r="AZ196" i="3"/>
  <c r="BA197" i="3"/>
  <c r="AZ197" i="3"/>
  <c r="BA198" i="3"/>
  <c r="G199" i="3"/>
  <c r="BA199" i="3"/>
  <c r="BA203" i="3"/>
  <c r="AZ203" i="3"/>
  <c r="G204" i="3"/>
  <c r="BL21" i="3"/>
  <c r="BA22" i="3"/>
  <c r="BL23" i="3"/>
  <c r="AZ23" i="3"/>
  <c r="BA24" i="3"/>
  <c r="BL24" i="3"/>
  <c r="BA25" i="3"/>
  <c r="G28" i="3"/>
  <c r="BL28" i="3"/>
  <c r="BL29" i="3"/>
  <c r="G31" i="3"/>
  <c r="G32" i="3"/>
  <c r="BL34" i="3"/>
  <c r="BA38" i="3"/>
  <c r="AZ38" i="3"/>
  <c r="BA40" i="3"/>
  <c r="AZ40" i="3"/>
  <c r="G42" i="3"/>
  <c r="BL46" i="3"/>
  <c r="BL48" i="3"/>
  <c r="BA50" i="3"/>
  <c r="G51" i="3"/>
  <c r="BA55" i="3"/>
  <c r="AZ55" i="3"/>
  <c r="G60" i="3"/>
  <c r="BA62" i="3"/>
  <c r="BL62" i="3"/>
  <c r="BL63" i="3"/>
  <c r="BL64" i="3"/>
  <c r="BA65" i="3"/>
  <c r="BL65" i="3"/>
  <c r="BA66" i="3"/>
  <c r="BL66" i="3"/>
  <c r="BA68" i="3"/>
  <c r="BL68" i="3"/>
  <c r="G70" i="3"/>
  <c r="BA71" i="3"/>
  <c r="BA73" i="3"/>
  <c r="AZ73" i="3"/>
  <c r="BL75" i="3"/>
  <c r="BL76" i="3"/>
  <c r="AZ76" i="3"/>
  <c r="BA77" i="3"/>
  <c r="BL77" i="3"/>
  <c r="BA78" i="3"/>
  <c r="BL78" i="3"/>
  <c r="G80" i="3"/>
  <c r="BA81" i="3"/>
  <c r="BL81" i="3"/>
  <c r="G83" i="3"/>
  <c r="BA87" i="3"/>
  <c r="AZ87" i="3"/>
  <c r="BA90" i="3"/>
  <c r="AZ90" i="3"/>
  <c r="BA92" i="3"/>
  <c r="BL92" i="3"/>
  <c r="G93" i="3"/>
  <c r="BA94" i="3"/>
  <c r="G95" i="3"/>
  <c r="BA100" i="3"/>
  <c r="Q56" i="59"/>
  <c r="Q55" i="59"/>
  <c r="D18" i="59"/>
  <c r="T18" i="59"/>
  <c r="BA296" i="3"/>
  <c r="AZ296" i="3"/>
  <c r="BA133" i="3"/>
  <c r="AZ133" i="3"/>
  <c r="BL142" i="3"/>
  <c r="AZ142" i="3"/>
  <c r="BL161" i="3"/>
  <c r="AZ161" i="3"/>
  <c r="BA168" i="3"/>
  <c r="AZ168" i="3"/>
  <c r="BL175" i="3"/>
  <c r="BA189" i="3"/>
  <c r="AZ189" i="3"/>
  <c r="BL198" i="3"/>
  <c r="BA26" i="3"/>
  <c r="AZ26" i="3"/>
  <c r="AZ28" i="3"/>
  <c r="BL37" i="3"/>
  <c r="BA49" i="3"/>
  <c r="AZ49" i="3"/>
  <c r="BL51" i="3"/>
  <c r="BL57" i="3"/>
  <c r="AZ57" i="3"/>
  <c r="BA58" i="3"/>
  <c r="AZ58" i="3"/>
  <c r="AZ60" i="3"/>
  <c r="BL60" i="3"/>
  <c r="BA61" i="3"/>
  <c r="AZ61" i="3"/>
  <c r="BA67" i="3"/>
  <c r="AZ67" i="3"/>
  <c r="BA70" i="3"/>
  <c r="AZ70" i="3"/>
  <c r="BL72" i="3"/>
  <c r="AZ72" i="3"/>
  <c r="BL86" i="3"/>
  <c r="AZ86" i="3"/>
  <c r="BA93" i="3"/>
  <c r="AZ93" i="3"/>
  <c r="BL95" i="3"/>
  <c r="BL98" i="3"/>
  <c r="AZ98" i="3"/>
  <c r="AZ101" i="3"/>
  <c r="BL101" i="3"/>
  <c r="BA105" i="3"/>
  <c r="AZ105" i="3"/>
  <c r="C41" i="59"/>
  <c r="D40" i="59"/>
  <c r="BA103" i="3"/>
  <c r="G105" i="3"/>
  <c r="BA106" i="3"/>
  <c r="BL107" i="3"/>
  <c r="AZ107" i="3"/>
  <c r="BA110" i="3"/>
  <c r="AZ110" i="3"/>
  <c r="BA112" i="3"/>
  <c r="AZ112" i="3"/>
  <c r="BL112" i="3"/>
  <c r="G9" i="1"/>
  <c r="E47" i="46"/>
  <c r="B45" i="46"/>
  <c r="P27" i="6"/>
  <c r="L16" i="4"/>
  <c r="AB21" i="59"/>
  <c r="Y22" i="59"/>
  <c r="Z22" i="59"/>
  <c r="AB22" i="59"/>
  <c r="X25" i="59"/>
  <c r="X26" i="59"/>
  <c r="E41" i="59"/>
  <c r="E42" i="59"/>
  <c r="U42" i="59"/>
  <c r="E53" i="59"/>
  <c r="E54" i="59"/>
  <c r="U54" i="59"/>
  <c r="B61" i="59"/>
  <c r="B60" i="59"/>
  <c r="F69" i="59"/>
  <c r="F68" i="59"/>
  <c r="O76" i="9"/>
  <c r="L108" i="46"/>
  <c r="B74" i="46"/>
  <c r="X14" i="59"/>
  <c r="Y5" i="59"/>
  <c r="Y7" i="59"/>
  <c r="Z7" i="59"/>
  <c r="G17" i="46"/>
  <c r="C16" i="46"/>
  <c r="D5" i="46"/>
  <c r="J43" i="39"/>
  <c r="AC43" i="39"/>
  <c r="F43" i="39"/>
  <c r="S43" i="39"/>
  <c r="H126" i="39"/>
  <c r="I126" i="39"/>
  <c r="J126" i="39"/>
  <c r="K126" i="39"/>
  <c r="L126" i="39"/>
  <c r="M126" i="39"/>
  <c r="H43" i="39"/>
  <c r="U43" i="39"/>
  <c r="J29" i="39"/>
  <c r="AC29" i="39"/>
  <c r="H29" i="39"/>
  <c r="U29" i="39"/>
  <c r="AC25" i="39"/>
  <c r="J17" i="39"/>
  <c r="W17" i="39"/>
  <c r="H17" i="39"/>
  <c r="AB17" i="39"/>
  <c r="W40" i="39"/>
  <c r="AB13" i="39"/>
  <c r="AB31" i="39"/>
  <c r="AC31" i="39"/>
  <c r="S27" i="39"/>
  <c r="AB25" i="39"/>
  <c r="AA17" i="39"/>
  <c r="AA21" i="39"/>
  <c r="U11" i="39"/>
  <c r="K7" i="1"/>
  <c r="M7" i="1"/>
  <c r="O7" i="1"/>
  <c r="P7" i="1"/>
  <c r="G1" i="15"/>
  <c r="K1" i="12"/>
  <c r="P8" i="1"/>
  <c r="H5" i="3"/>
  <c r="BL13" i="3"/>
  <c r="BR5" i="3"/>
  <c r="AJ11" i="46"/>
  <c r="AJ13" i="46"/>
  <c r="E22" i="46"/>
  <c r="S2" i="46"/>
  <c r="J101" i="46"/>
  <c r="J102" i="46"/>
  <c r="S4" i="46"/>
  <c r="F22" i="46"/>
  <c r="N101" i="46"/>
  <c r="N105" i="46"/>
  <c r="AA11" i="46"/>
  <c r="S7" i="46"/>
  <c r="C23" i="46"/>
  <c r="C21" i="46"/>
  <c r="AF11" i="46"/>
  <c r="AF13" i="46"/>
  <c r="Z11" i="46"/>
  <c r="Z13" i="46"/>
  <c r="Z7" i="46"/>
  <c r="N104" i="45"/>
  <c r="C101" i="46"/>
  <c r="C109" i="46"/>
  <c r="AC11" i="46"/>
  <c r="Y11" i="46"/>
  <c r="Y13" i="46"/>
  <c r="S6" i="46"/>
  <c r="S5" i="46"/>
  <c r="AE11" i="46"/>
  <c r="AE13" i="46"/>
  <c r="AH11" i="46"/>
  <c r="AH13" i="46"/>
  <c r="K101" i="46"/>
  <c r="K103" i="46"/>
  <c r="L101" i="46"/>
  <c r="L105" i="46"/>
  <c r="G101" i="46"/>
  <c r="G103" i="46"/>
  <c r="AD11" i="46"/>
  <c r="AD13" i="46"/>
  <c r="M101" i="46"/>
  <c r="M106" i="46"/>
  <c r="F101" i="46"/>
  <c r="F109" i="46"/>
  <c r="H101" i="46"/>
  <c r="H106" i="46"/>
  <c r="S3" i="46"/>
  <c r="AB11" i="46"/>
  <c r="AB13" i="46"/>
  <c r="AI11" i="46"/>
  <c r="AG11" i="46"/>
  <c r="AG13" i="46"/>
  <c r="E101" i="46"/>
  <c r="E107" i="46"/>
  <c r="B113" i="46"/>
  <c r="D116" i="46"/>
  <c r="E116" i="46"/>
  <c r="F116" i="46"/>
  <c r="G116" i="46"/>
  <c r="H116" i="46"/>
  <c r="I101" i="46"/>
  <c r="I106" i="46"/>
  <c r="D101" i="46"/>
  <c r="D109" i="46"/>
  <c r="G22" i="46"/>
  <c r="AP6" i="1"/>
  <c r="G6" i="1"/>
  <c r="P16" i="4"/>
  <c r="K17" i="4"/>
  <c r="A22" i="51"/>
  <c r="B16" i="63"/>
  <c r="G7" i="1"/>
  <c r="F36" i="44"/>
  <c r="M20" i="15"/>
  <c r="M22" i="44"/>
  <c r="C92" i="9"/>
  <c r="F31" i="43"/>
  <c r="C31" i="43"/>
  <c r="F72" i="9"/>
  <c r="D86" i="9"/>
  <c r="F71" i="9"/>
  <c r="F28" i="15"/>
  <c r="C28" i="15"/>
  <c r="F70" i="9"/>
  <c r="F27" i="43"/>
  <c r="C27" i="43"/>
  <c r="D96" i="9"/>
  <c r="F30" i="44"/>
  <c r="C30" i="44"/>
  <c r="F29" i="12"/>
  <c r="F34" i="44"/>
  <c r="M18" i="15"/>
  <c r="M20" i="44"/>
  <c r="D26" i="44"/>
  <c r="G27" i="12"/>
  <c r="G22" i="43"/>
  <c r="G28" i="12"/>
  <c r="G21" i="43"/>
  <c r="C15" i="43"/>
  <c r="C25" i="12"/>
  <c r="G13" i="1"/>
  <c r="C7" i="21"/>
  <c r="C58" i="21"/>
  <c r="D58" i="21"/>
  <c r="E58" i="21"/>
  <c r="F58" i="21"/>
  <c r="C7" i="34"/>
  <c r="C59" i="34"/>
  <c r="D59" i="34"/>
  <c r="E59" i="34"/>
  <c r="C7" i="35"/>
  <c r="C48" i="35"/>
  <c r="D48" i="35"/>
  <c r="E48" i="35"/>
  <c r="F48" i="35"/>
  <c r="G48" i="35"/>
  <c r="H48" i="35"/>
  <c r="I48" i="35"/>
  <c r="J48" i="35"/>
  <c r="K48" i="35"/>
  <c r="L48" i="35"/>
  <c r="M48" i="35"/>
  <c r="N48" i="35"/>
  <c r="O48" i="35"/>
  <c r="C9" i="39"/>
  <c r="C70" i="39"/>
  <c r="G19" i="46"/>
  <c r="O19" i="46"/>
  <c r="G8" i="1"/>
  <c r="C9" i="40"/>
  <c r="C65" i="40"/>
  <c r="H1" i="65"/>
  <c r="C7" i="37"/>
  <c r="C52" i="37"/>
  <c r="D52" i="37"/>
  <c r="E52" i="37"/>
  <c r="F52" i="37"/>
  <c r="G52" i="37"/>
  <c r="H52" i="37"/>
  <c r="I52" i="37"/>
  <c r="J52" i="37"/>
  <c r="K52" i="37"/>
  <c r="L52" i="37"/>
  <c r="M52" i="37"/>
  <c r="N52" i="37"/>
  <c r="O52" i="37"/>
  <c r="D38" i="4"/>
  <c r="C39" i="4"/>
  <c r="E58" i="33"/>
  <c r="F58" i="33"/>
  <c r="G58" i="33"/>
  <c r="H58" i="33"/>
  <c r="I58" i="33"/>
  <c r="J58" i="33"/>
  <c r="K58" i="33"/>
  <c r="L58" i="33"/>
  <c r="M58" i="33"/>
  <c r="N58" i="33"/>
  <c r="O58" i="33"/>
  <c r="H61" i="46"/>
  <c r="H64" i="46"/>
  <c r="H60" i="46"/>
  <c r="H66" i="46"/>
  <c r="H62" i="46"/>
  <c r="H58" i="46"/>
  <c r="U34" i="33"/>
  <c r="AB34" i="33"/>
  <c r="AA29" i="35"/>
  <c r="S29" i="35"/>
  <c r="S46" i="34"/>
  <c r="AA46" i="34"/>
  <c r="W45" i="33"/>
  <c r="AC45" i="33"/>
  <c r="W17" i="34"/>
  <c r="AC17" i="34"/>
  <c r="H7" i="36"/>
  <c r="F9" i="59"/>
  <c r="F8" i="59"/>
  <c r="F7" i="59"/>
  <c r="F6" i="59"/>
  <c r="F5" i="59"/>
  <c r="V10" i="59"/>
  <c r="AB14" i="40"/>
  <c r="U14" i="40"/>
  <c r="S44" i="39"/>
  <c r="AA44" i="39"/>
  <c r="W21" i="39"/>
  <c r="AC21" i="39"/>
  <c r="S30" i="34"/>
  <c r="AA30" i="34"/>
  <c r="AA32" i="33"/>
  <c r="S32" i="33"/>
  <c r="S43" i="33"/>
  <c r="AA43" i="33"/>
  <c r="O40" i="9"/>
  <c r="H14" i="66"/>
  <c r="B7" i="66"/>
  <c r="O10" i="1"/>
  <c r="P10" i="1"/>
  <c r="AB17" i="21"/>
  <c r="U17" i="21"/>
  <c r="AB14" i="34"/>
  <c r="U14" i="34"/>
  <c r="AA23" i="35"/>
  <c r="S23" i="35"/>
  <c r="C9" i="59"/>
  <c r="T10" i="59"/>
  <c r="D10" i="59"/>
  <c r="H65" i="46"/>
  <c r="AC14" i="35"/>
  <c r="W14" i="35"/>
  <c r="W19" i="39"/>
  <c r="AC19" i="39"/>
  <c r="AB11" i="35"/>
  <c r="U11" i="35"/>
  <c r="AZ565" i="3"/>
  <c r="AZ547" i="3"/>
  <c r="AZ542" i="3"/>
  <c r="J7" i="36"/>
  <c r="P9" i="1"/>
  <c r="F7" i="36"/>
  <c r="D11" i="59"/>
  <c r="H59" i="46"/>
  <c r="H63" i="46"/>
  <c r="U14" i="39"/>
  <c r="S17" i="40"/>
  <c r="AA17" i="40"/>
  <c r="AB25" i="33"/>
  <c r="U25" i="33"/>
  <c r="P11" i="1"/>
  <c r="U42" i="40"/>
  <c r="AB42" i="40"/>
  <c r="AC33" i="40"/>
  <c r="W33" i="40"/>
  <c r="AZ499" i="3"/>
  <c r="AC32" i="34"/>
  <c r="W32" i="34"/>
  <c r="S36" i="35"/>
  <c r="AA36" i="35"/>
  <c r="O6" i="1"/>
  <c r="AA19" i="37"/>
  <c r="S19" i="37"/>
  <c r="W15" i="34"/>
  <c r="AC15" i="34"/>
  <c r="J34" i="40"/>
  <c r="W16" i="40"/>
  <c r="AC16" i="40"/>
  <c r="H23" i="35"/>
  <c r="AZ538" i="3"/>
  <c r="W15" i="33"/>
  <c r="AC15" i="33"/>
  <c r="AZ165" i="3"/>
  <c r="U15" i="37"/>
  <c r="AB15" i="37"/>
  <c r="AA37" i="37"/>
  <c r="AC32" i="37"/>
  <c r="AA10" i="35"/>
  <c r="U41" i="34"/>
  <c r="U35" i="34"/>
  <c r="AB28" i="34"/>
  <c r="U13" i="34"/>
  <c r="AA46" i="33"/>
  <c r="S44" i="33"/>
  <c r="U44" i="33"/>
  <c r="AB30" i="33"/>
  <c r="W32" i="36"/>
  <c r="AC32" i="36"/>
  <c r="S31" i="21"/>
  <c r="AA31" i="21"/>
  <c r="AC13" i="21"/>
  <c r="I4" i="6"/>
  <c r="BD5" i="3"/>
  <c r="H14" i="21"/>
  <c r="J14" i="21"/>
  <c r="F14" i="21"/>
  <c r="J30" i="21"/>
  <c r="H30" i="21"/>
  <c r="F30" i="21"/>
  <c r="J46" i="21"/>
  <c r="F46" i="21"/>
  <c r="H46" i="21"/>
  <c r="B73" i="46"/>
  <c r="C29" i="39"/>
  <c r="U12" i="33"/>
  <c r="AB12" i="33"/>
  <c r="H27" i="34"/>
  <c r="J27" i="34"/>
  <c r="U33" i="34"/>
  <c r="AB33" i="34"/>
  <c r="AA12" i="35"/>
  <c r="S12" i="35"/>
  <c r="J23" i="35"/>
  <c r="H9" i="36"/>
  <c r="J9" i="36"/>
  <c r="F9" i="36"/>
  <c r="F46" i="39"/>
  <c r="J46" i="39"/>
  <c r="H46" i="39"/>
  <c r="AA30" i="36"/>
  <c r="S30" i="36"/>
  <c r="AA38" i="39"/>
  <c r="BA566" i="3"/>
  <c r="BA562" i="3"/>
  <c r="BA561" i="3"/>
  <c r="BL556" i="3"/>
  <c r="AZ556" i="3"/>
  <c r="BL552" i="3"/>
  <c r="BA552" i="3"/>
  <c r="BA545" i="3"/>
  <c r="AZ545" i="3"/>
  <c r="BA544" i="3"/>
  <c r="BL543" i="3"/>
  <c r="AZ543" i="3"/>
  <c r="BA540" i="3"/>
  <c r="AZ540" i="3"/>
  <c r="BL539" i="3"/>
  <c r="BA539" i="3"/>
  <c r="BL537" i="3"/>
  <c r="AZ537" i="3"/>
  <c r="BL498" i="3"/>
  <c r="BA498" i="3"/>
  <c r="BA497" i="3"/>
  <c r="AZ497" i="3"/>
  <c r="BL496" i="3"/>
  <c r="AZ496" i="3"/>
  <c r="BQ5" i="3"/>
  <c r="AA16" i="36"/>
  <c r="S16" i="36"/>
  <c r="AA28" i="35"/>
  <c r="S28" i="35"/>
  <c r="J29" i="33"/>
  <c r="H29" i="33"/>
  <c r="F29" i="33"/>
  <c r="H45" i="33"/>
  <c r="F45" i="33"/>
  <c r="F14" i="34"/>
  <c r="J14" i="34"/>
  <c r="S32" i="34"/>
  <c r="AA32" i="34"/>
  <c r="F34" i="36"/>
  <c r="H34" i="36"/>
  <c r="J34" i="36"/>
  <c r="J12" i="37"/>
  <c r="F12" i="37"/>
  <c r="H12" i="37"/>
  <c r="J26" i="37"/>
  <c r="F26" i="37"/>
  <c r="H26" i="37"/>
  <c r="F14" i="39"/>
  <c r="J14" i="39"/>
  <c r="AC31" i="35"/>
  <c r="W31" i="35"/>
  <c r="BL564" i="3"/>
  <c r="BA564" i="3"/>
  <c r="BL563" i="3"/>
  <c r="AZ563" i="3"/>
  <c r="BL562" i="3"/>
  <c r="BA560" i="3"/>
  <c r="AZ560" i="3"/>
  <c r="BL558" i="3"/>
  <c r="BA558" i="3"/>
  <c r="BA555" i="3"/>
  <c r="AZ555" i="3"/>
  <c r="BL554" i="3"/>
  <c r="BA554" i="3"/>
  <c r="BL553" i="3"/>
  <c r="AZ553" i="3"/>
  <c r="AZ500" i="3"/>
  <c r="BB5" i="3"/>
  <c r="E8" i="6"/>
  <c r="BA13" i="3"/>
  <c r="AB40" i="39"/>
  <c r="U40" i="39"/>
  <c r="AA10" i="39"/>
  <c r="S10" i="39"/>
  <c r="C53" i="10"/>
  <c r="K5" i="54"/>
  <c r="A17" i="51"/>
  <c r="B13" i="63"/>
  <c r="S22" i="31"/>
  <c r="K141" i="21"/>
  <c r="K143" i="21"/>
  <c r="K144" i="21"/>
  <c r="BL165" i="3"/>
  <c r="BM5" i="3"/>
  <c r="F29" i="6"/>
  <c r="BK5" i="3"/>
  <c r="BE5" i="3"/>
  <c r="BI5" i="3"/>
  <c r="BN5" i="3"/>
  <c r="G29" i="6"/>
  <c r="BF5" i="3"/>
  <c r="BJ5" i="3"/>
  <c r="BS5" i="3"/>
  <c r="F3" i="35"/>
  <c r="K1" i="43"/>
  <c r="B6" i="1"/>
  <c r="E6" i="1"/>
  <c r="AP12" i="1"/>
  <c r="G12" i="1"/>
  <c r="AC28" i="33"/>
  <c r="W28" i="33"/>
  <c r="W37" i="33"/>
  <c r="AC37" i="33"/>
  <c r="J28" i="37"/>
  <c r="F28" i="37"/>
  <c r="J40" i="37"/>
  <c r="F40" i="37"/>
  <c r="H40" i="37"/>
  <c r="BL569" i="3"/>
  <c r="BA569" i="3"/>
  <c r="BA568" i="3"/>
  <c r="AZ568" i="3"/>
  <c r="BL566" i="3"/>
  <c r="BL561" i="3"/>
  <c r="BL559" i="3"/>
  <c r="BA559" i="3"/>
  <c r="BL557" i="3"/>
  <c r="BA557" i="3"/>
  <c r="BL502" i="3"/>
  <c r="AZ502" i="3"/>
  <c r="K33" i="9"/>
  <c r="K34" i="9"/>
  <c r="AC27" i="40"/>
  <c r="AC19" i="40"/>
  <c r="B53" i="46"/>
  <c r="S34" i="40"/>
  <c r="AC33" i="37"/>
  <c r="W22" i="35"/>
  <c r="AB12" i="35"/>
  <c r="C5" i="46"/>
  <c r="S10" i="37"/>
  <c r="AC34" i="33"/>
  <c r="W34" i="33"/>
  <c r="W36" i="33"/>
  <c r="AC36" i="33"/>
  <c r="AA35" i="40"/>
  <c r="S35" i="40"/>
  <c r="AB36" i="33"/>
  <c r="U36" i="33"/>
  <c r="AC20" i="35"/>
  <c r="W20" i="35"/>
  <c r="S34" i="21"/>
  <c r="S35" i="21"/>
  <c r="AB30" i="40"/>
  <c r="U30" i="40"/>
  <c r="AA29" i="39"/>
  <c r="S29" i="39"/>
  <c r="H32" i="34"/>
  <c r="U32" i="21"/>
  <c r="AB32" i="21"/>
  <c r="AC13" i="39"/>
  <c r="W13" i="39"/>
  <c r="S11" i="37"/>
  <c r="AA11" i="37"/>
  <c r="W23" i="37"/>
  <c r="AC23" i="37"/>
  <c r="W19" i="33"/>
  <c r="AC19" i="33"/>
  <c r="AA26" i="33"/>
  <c r="S26" i="33"/>
  <c r="AB43" i="21"/>
  <c r="U43" i="21"/>
  <c r="AC42" i="33"/>
  <c r="W42" i="33"/>
  <c r="U8" i="34"/>
  <c r="AB8" i="34"/>
  <c r="J9" i="34"/>
  <c r="H9" i="34"/>
  <c r="F9" i="34"/>
  <c r="W9" i="35"/>
  <c r="AC9" i="35"/>
  <c r="S32" i="36"/>
  <c r="AA32" i="36"/>
  <c r="AB29" i="36"/>
  <c r="U29" i="36"/>
  <c r="W31" i="36"/>
  <c r="AC31" i="36"/>
  <c r="AB15" i="39"/>
  <c r="U15" i="39"/>
  <c r="AC38" i="34"/>
  <c r="W38" i="34"/>
  <c r="A9" i="64"/>
  <c r="A9" i="51"/>
  <c r="B9" i="63"/>
  <c r="U33" i="40"/>
  <c r="W17" i="21"/>
  <c r="W10" i="33"/>
  <c r="AB11" i="33"/>
  <c r="AC20" i="36"/>
  <c r="W20" i="36"/>
  <c r="AB33" i="37"/>
  <c r="F27" i="34"/>
  <c r="AA11" i="34"/>
  <c r="AC23" i="40"/>
  <c r="H70" i="46"/>
  <c r="H72" i="46"/>
  <c r="H34" i="40"/>
  <c r="AA45" i="39"/>
  <c r="AA15" i="39"/>
  <c r="AC27" i="39"/>
  <c r="W27" i="39"/>
  <c r="AC12" i="21"/>
  <c r="AC30" i="40"/>
  <c r="AZ525" i="3"/>
  <c r="AB8" i="35"/>
  <c r="AA10" i="33"/>
  <c r="S10" i="33"/>
  <c r="S26" i="21"/>
  <c r="AA43" i="21"/>
  <c r="AZ379" i="3"/>
  <c r="S11" i="35"/>
  <c r="AA11" i="35"/>
  <c r="AB44" i="21"/>
  <c r="U44" i="21"/>
  <c r="U12" i="21"/>
  <c r="AB12" i="21"/>
  <c r="U26" i="21"/>
  <c r="AB26" i="21"/>
  <c r="W34" i="21"/>
  <c r="AC9" i="21"/>
  <c r="W40" i="21"/>
  <c r="AC40" i="21"/>
  <c r="BL572" i="3"/>
  <c r="BA572" i="3"/>
  <c r="BL571" i="3"/>
  <c r="BA571" i="3"/>
  <c r="AZ571" i="3"/>
  <c r="H13" i="21"/>
  <c r="F13" i="21"/>
  <c r="J29" i="21"/>
  <c r="F29" i="21"/>
  <c r="H29" i="21"/>
  <c r="J45" i="21"/>
  <c r="H45" i="21"/>
  <c r="F45" i="21"/>
  <c r="AC43" i="34"/>
  <c r="W43" i="34"/>
  <c r="H13" i="36"/>
  <c r="F13" i="36"/>
  <c r="J13" i="36"/>
  <c r="AA40" i="40"/>
  <c r="S40" i="40"/>
  <c r="AZ347" i="3"/>
  <c r="AZ524" i="3"/>
  <c r="BG5" i="3"/>
  <c r="B70" i="46"/>
  <c r="C23" i="39"/>
  <c r="W8" i="33"/>
  <c r="AC8" i="33"/>
  <c r="J35" i="35"/>
  <c r="H35" i="35"/>
  <c r="J9" i="37"/>
  <c r="F9" i="37"/>
  <c r="H14" i="37"/>
  <c r="F14" i="37"/>
  <c r="J14" i="37"/>
  <c r="AC39" i="37"/>
  <c r="W39" i="37"/>
  <c r="S41" i="21"/>
  <c r="AA41" i="21"/>
  <c r="BL550" i="3"/>
  <c r="BA550" i="3"/>
  <c r="BA532" i="3"/>
  <c r="AZ532" i="3"/>
  <c r="BL514" i="3"/>
  <c r="AZ514" i="3"/>
  <c r="BA512" i="3"/>
  <c r="AZ512" i="3"/>
  <c r="BL511" i="3"/>
  <c r="AZ511" i="3"/>
  <c r="BL20" i="3"/>
  <c r="BA20" i="3"/>
  <c r="AZ326" i="3"/>
  <c r="U17" i="37"/>
  <c r="AB17" i="37"/>
  <c r="U28" i="36"/>
  <c r="AB28" i="36"/>
  <c r="AA22" i="35"/>
  <c r="S22" i="35"/>
  <c r="S36" i="21"/>
  <c r="AA36" i="21"/>
  <c r="AC5" i="3"/>
  <c r="BA570" i="3"/>
  <c r="AZ570" i="3"/>
  <c r="AB33" i="33"/>
  <c r="U33" i="33"/>
  <c r="AA34" i="35"/>
  <c r="S34" i="35"/>
  <c r="H31" i="33"/>
  <c r="F31" i="33"/>
  <c r="H12" i="36"/>
  <c r="F12" i="36"/>
  <c r="J12" i="36"/>
  <c r="W25" i="37"/>
  <c r="AC25" i="37"/>
  <c r="AB30" i="37"/>
  <c r="U30" i="37"/>
  <c r="AC41" i="33"/>
  <c r="W41" i="33"/>
  <c r="BL551" i="3"/>
  <c r="BA551" i="3"/>
  <c r="BA536" i="3"/>
  <c r="AZ536" i="3"/>
  <c r="BL534" i="3"/>
  <c r="AZ534" i="3"/>
  <c r="BL533" i="3"/>
  <c r="AZ533" i="3"/>
  <c r="BL532" i="3"/>
  <c r="BA531" i="3"/>
  <c r="AZ531" i="3"/>
  <c r="BL493" i="3"/>
  <c r="BA493" i="3"/>
  <c r="BA492" i="3"/>
  <c r="AZ492" i="3"/>
  <c r="BL491" i="3"/>
  <c r="AZ491" i="3"/>
  <c r="AC8" i="21"/>
  <c r="W8" i="21"/>
  <c r="BT5" i="3"/>
  <c r="G28" i="6"/>
  <c r="F13" i="35"/>
  <c r="H13" i="35"/>
  <c r="H13" i="37"/>
  <c r="J13" i="37"/>
  <c r="H38" i="37"/>
  <c r="F38" i="37"/>
  <c r="G561" i="3"/>
  <c r="BL544" i="3"/>
  <c r="G543" i="3"/>
  <c r="J44" i="21"/>
  <c r="F44" i="21"/>
  <c r="BL541" i="3"/>
  <c r="AZ541" i="3"/>
  <c r="BA528" i="3"/>
  <c r="AZ528" i="3"/>
  <c r="BL527" i="3"/>
  <c r="AZ527" i="3"/>
  <c r="BA516" i="3"/>
  <c r="AZ516" i="3"/>
  <c r="BA505" i="3"/>
  <c r="AZ505" i="3"/>
  <c r="BA488" i="3"/>
  <c r="AZ488" i="3"/>
  <c r="BA487" i="3"/>
  <c r="AZ487" i="3"/>
  <c r="BL485" i="3"/>
  <c r="AZ485" i="3"/>
  <c r="AZ480" i="3"/>
  <c r="G528" i="3"/>
  <c r="G525" i="3"/>
  <c r="AZ412" i="3"/>
  <c r="K145" i="21"/>
  <c r="G398" i="3"/>
  <c r="BL398" i="3"/>
  <c r="AZ398" i="3"/>
  <c r="G403" i="3"/>
  <c r="BL403" i="3"/>
  <c r="AZ403" i="3"/>
  <c r="BL404" i="3"/>
  <c r="AZ404" i="3"/>
  <c r="G405" i="3"/>
  <c r="G409" i="3"/>
  <c r="BA410" i="3"/>
  <c r="AZ410" i="3"/>
  <c r="BA411" i="3"/>
  <c r="AZ411" i="3"/>
  <c r="BA414" i="3"/>
  <c r="AZ414" i="3"/>
  <c r="G418" i="3"/>
  <c r="BL418" i="3"/>
  <c r="AZ418" i="3"/>
  <c r="BL419" i="3"/>
  <c r="G420" i="3"/>
  <c r="G429" i="3"/>
  <c r="BA430" i="3"/>
  <c r="AZ430" i="3"/>
  <c r="BL432" i="3"/>
  <c r="AZ432" i="3"/>
  <c r="G439" i="3"/>
  <c r="BL439" i="3"/>
  <c r="AZ439" i="3"/>
  <c r="BL440" i="3"/>
  <c r="G441" i="3"/>
  <c r="BA445" i="3"/>
  <c r="AZ445" i="3"/>
  <c r="BL447" i="3"/>
  <c r="AZ447" i="3"/>
  <c r="BL448" i="3"/>
  <c r="G449" i="3"/>
  <c r="BA453" i="3"/>
  <c r="AZ453" i="3"/>
  <c r="BA460" i="3"/>
  <c r="AZ460" i="3"/>
  <c r="BL462" i="3"/>
  <c r="AZ462" i="3"/>
  <c r="BL465" i="3"/>
  <c r="AZ465" i="3"/>
  <c r="G472" i="3"/>
  <c r="G475" i="3"/>
  <c r="BL475" i="3"/>
  <c r="AZ475" i="3"/>
  <c r="BL476" i="3"/>
  <c r="AZ476" i="3"/>
  <c r="G477" i="3"/>
  <c r="BA479" i="3"/>
  <c r="AZ479" i="3"/>
  <c r="BL302" i="3"/>
  <c r="AZ302" i="3"/>
  <c r="BA309" i="3"/>
  <c r="AZ309" i="3"/>
  <c r="BL314" i="3"/>
  <c r="AZ314" i="3"/>
  <c r="BL318" i="3"/>
  <c r="AZ318" i="3"/>
  <c r="BL326" i="3"/>
  <c r="BA333" i="3"/>
  <c r="AZ333" i="3"/>
  <c r="BA337" i="3"/>
  <c r="AZ337" i="3"/>
  <c r="BL350" i="3"/>
  <c r="AZ350" i="3"/>
  <c r="G379" i="3"/>
  <c r="G383" i="3"/>
  <c r="G386" i="3"/>
  <c r="BA388" i="3"/>
  <c r="AZ388" i="3"/>
  <c r="AZ206" i="3"/>
  <c r="AZ208" i="3"/>
  <c r="BA217" i="3"/>
  <c r="AZ217" i="3"/>
  <c r="G221" i="3"/>
  <c r="BL222" i="3"/>
  <c r="AZ227" i="3"/>
  <c r="G234" i="3"/>
  <c r="BA236" i="3"/>
  <c r="AZ236" i="3"/>
  <c r="AZ238" i="3"/>
  <c r="AZ240" i="3"/>
  <c r="BA249" i="3"/>
  <c r="AZ249" i="3"/>
  <c r="G253" i="3"/>
  <c r="BL254" i="3"/>
  <c r="AZ259" i="3"/>
  <c r="G266" i="3"/>
  <c r="BA268" i="3"/>
  <c r="AZ268" i="3"/>
  <c r="BA271" i="3"/>
  <c r="AZ271" i="3"/>
  <c r="G277" i="3"/>
  <c r="G280" i="3"/>
  <c r="AZ285" i="3"/>
  <c r="BA291" i="3"/>
  <c r="AZ291" i="3"/>
  <c r="AZ129" i="3"/>
  <c r="AZ136" i="3"/>
  <c r="AZ198" i="3"/>
  <c r="AZ29" i="3"/>
  <c r="C18" i="9"/>
  <c r="AZ392" i="3"/>
  <c r="AZ419" i="3"/>
  <c r="AZ424" i="3"/>
  <c r="AZ440" i="3"/>
  <c r="AZ448" i="3"/>
  <c r="AZ457" i="3"/>
  <c r="AZ211" i="3"/>
  <c r="AZ222" i="3"/>
  <c r="AZ224" i="3"/>
  <c r="AZ243" i="3"/>
  <c r="AZ254" i="3"/>
  <c r="AZ256" i="3"/>
  <c r="AZ132" i="3"/>
  <c r="AZ64" i="3"/>
  <c r="D62" i="59"/>
  <c r="C61" i="59"/>
  <c r="T62" i="59"/>
  <c r="A30" i="64"/>
  <c r="A30" i="51"/>
  <c r="B22" i="63"/>
  <c r="BL390" i="3"/>
  <c r="AZ390" i="3"/>
  <c r="AZ393" i="3"/>
  <c r="BL396" i="3"/>
  <c r="AZ396" i="3"/>
  <c r="BL401" i="3"/>
  <c r="AZ401" i="3"/>
  <c r="BL407" i="3"/>
  <c r="AZ407" i="3"/>
  <c r="AZ413" i="3"/>
  <c r="BL416" i="3"/>
  <c r="AZ416" i="3"/>
  <c r="BL422" i="3"/>
  <c r="AZ422" i="3"/>
  <c r="AZ425" i="3"/>
  <c r="AZ435" i="3"/>
  <c r="BA443" i="3"/>
  <c r="AZ443" i="3"/>
  <c r="BA451" i="3"/>
  <c r="AZ451" i="3"/>
  <c r="BL455" i="3"/>
  <c r="AZ455" i="3"/>
  <c r="BA458" i="3"/>
  <c r="AZ458" i="3"/>
  <c r="AZ468" i="3"/>
  <c r="AZ478" i="3"/>
  <c r="AZ334" i="3"/>
  <c r="AZ387" i="3"/>
  <c r="AZ214" i="3"/>
  <c r="AZ216" i="3"/>
  <c r="AZ235" i="3"/>
  <c r="AZ246" i="3"/>
  <c r="AZ248" i="3"/>
  <c r="AZ267" i="3"/>
  <c r="AZ21" i="3"/>
  <c r="E17" i="59"/>
  <c r="E16" i="59"/>
  <c r="U18" i="59"/>
  <c r="Y15" i="59"/>
  <c r="Z15" i="59"/>
  <c r="Y17" i="59"/>
  <c r="Z17" i="59"/>
  <c r="Y16" i="59"/>
  <c r="Z16" i="59"/>
  <c r="C17" i="59"/>
  <c r="AZ116" i="3"/>
  <c r="AZ155" i="3"/>
  <c r="AZ25" i="3"/>
  <c r="R12" i="1"/>
  <c r="K12" i="1"/>
  <c r="E20" i="59"/>
  <c r="E21" i="59"/>
  <c r="E22" i="59"/>
  <c r="U22" i="59"/>
  <c r="AA19" i="59"/>
  <c r="P57" i="59"/>
  <c r="E56" i="59"/>
  <c r="AA13" i="59"/>
  <c r="A11" i="55"/>
  <c r="B62" i="63"/>
  <c r="BA286" i="3"/>
  <c r="AZ286" i="3"/>
  <c r="BA295" i="3"/>
  <c r="AZ295" i="3"/>
  <c r="BA115" i="3"/>
  <c r="AZ115" i="3"/>
  <c r="BA117" i="3"/>
  <c r="AZ117" i="3"/>
  <c r="BA119" i="3"/>
  <c r="AZ119" i="3"/>
  <c r="G121" i="3"/>
  <c r="BA125" i="3"/>
  <c r="AZ125" i="3"/>
  <c r="BA127" i="3"/>
  <c r="AZ127" i="3"/>
  <c r="G129" i="3"/>
  <c r="G131" i="3"/>
  <c r="BA137" i="3"/>
  <c r="AZ137" i="3"/>
  <c r="BA139" i="3"/>
  <c r="AZ139" i="3"/>
  <c r="BL148" i="3"/>
  <c r="AZ148" i="3"/>
  <c r="G150" i="3"/>
  <c r="BL152" i="3"/>
  <c r="BA156" i="3"/>
  <c r="AZ156" i="3"/>
  <c r="BA159" i="3"/>
  <c r="AZ159" i="3"/>
  <c r="BL164" i="3"/>
  <c r="BA167" i="3"/>
  <c r="AZ167" i="3"/>
  <c r="BA174" i="3"/>
  <c r="AZ174" i="3"/>
  <c r="BA179" i="3"/>
  <c r="AZ179" i="3"/>
  <c r="BA185" i="3"/>
  <c r="AZ185" i="3"/>
  <c r="BL190" i="3"/>
  <c r="AZ190" i="3"/>
  <c r="BL191" i="3"/>
  <c r="AZ191" i="3"/>
  <c r="BL195" i="3"/>
  <c r="AZ195" i="3"/>
  <c r="G200" i="3"/>
  <c r="BA37" i="3"/>
  <c r="AZ37" i="3"/>
  <c r="BA48" i="3"/>
  <c r="AZ48" i="3"/>
  <c r="BA59" i="3"/>
  <c r="G82" i="3"/>
  <c r="BL82" i="3"/>
  <c r="AZ82" i="3"/>
  <c r="BL83" i="3"/>
  <c r="G84" i="3"/>
  <c r="G102" i="3"/>
  <c r="BL102" i="3"/>
  <c r="AZ102" i="3"/>
  <c r="BL103" i="3"/>
  <c r="AZ103" i="3"/>
  <c r="G104" i="3"/>
  <c r="B13" i="59"/>
  <c r="B12" i="59"/>
  <c r="B11" i="59"/>
  <c r="B10" i="59"/>
  <c r="S14" i="59"/>
  <c r="BL283" i="3"/>
  <c r="AZ283" i="3"/>
  <c r="G290" i="3"/>
  <c r="BL294" i="3"/>
  <c r="AZ294" i="3"/>
  <c r="BL113" i="3"/>
  <c r="AZ113" i="3"/>
  <c r="BL118" i="3"/>
  <c r="AZ118" i="3"/>
  <c r="BL120" i="3"/>
  <c r="AZ120" i="3"/>
  <c r="BL126" i="3"/>
  <c r="AZ126" i="3"/>
  <c r="BL128" i="3"/>
  <c r="AZ128" i="3"/>
  <c r="BL130" i="3"/>
  <c r="AZ130" i="3"/>
  <c r="BL138" i="3"/>
  <c r="AZ138" i="3"/>
  <c r="BL149" i="3"/>
  <c r="AZ149" i="3"/>
  <c r="BA152" i="3"/>
  <c r="AZ152" i="3"/>
  <c r="BA154" i="3"/>
  <c r="AZ154" i="3"/>
  <c r="G156" i="3"/>
  <c r="G158" i="3"/>
  <c r="BA164" i="3"/>
  <c r="BA166" i="3"/>
  <c r="AZ166" i="3"/>
  <c r="G172" i="3"/>
  <c r="BL173" i="3"/>
  <c r="AZ173" i="3"/>
  <c r="AZ202" i="3"/>
  <c r="BA204" i="3"/>
  <c r="AZ204" i="3"/>
  <c r="G23" i="3"/>
  <c r="BA27" i="3"/>
  <c r="BL30" i="3"/>
  <c r="AZ30" i="3"/>
  <c r="BA36" i="3"/>
  <c r="BA51" i="3"/>
  <c r="AZ51" i="3"/>
  <c r="G58" i="3"/>
  <c r="BA63" i="3"/>
  <c r="AZ63" i="3"/>
  <c r="BA69" i="3"/>
  <c r="BA75" i="3"/>
  <c r="AZ75" i="3"/>
  <c r="BA89" i="3"/>
  <c r="BA95" i="3"/>
  <c r="AZ95" i="3"/>
  <c r="X24" i="59"/>
  <c r="X17" i="59"/>
  <c r="X18" i="59"/>
  <c r="BA172" i="3"/>
  <c r="AZ172" i="3"/>
  <c r="BL186" i="3"/>
  <c r="AZ186" i="3"/>
  <c r="BA201" i="3"/>
  <c r="AZ201" i="3"/>
  <c r="BL22" i="3"/>
  <c r="AZ22" i="3"/>
  <c r="BL27" i="3"/>
  <c r="BA31" i="3"/>
  <c r="AZ31" i="3"/>
  <c r="G35" i="3"/>
  <c r="BL35" i="3"/>
  <c r="AZ35" i="3"/>
  <c r="BL36" i="3"/>
  <c r="G37" i="3"/>
  <c r="G47" i="3"/>
  <c r="BL47" i="3"/>
  <c r="AZ47" i="3"/>
  <c r="BL50" i="3"/>
  <c r="AZ50" i="3"/>
  <c r="BL54" i="3"/>
  <c r="AZ54" i="3"/>
  <c r="BL59" i="3"/>
  <c r="BL69" i="3"/>
  <c r="BL74" i="3"/>
  <c r="AZ74" i="3"/>
  <c r="AZ83" i="3"/>
  <c r="BL89" i="3"/>
  <c r="BL94" i="3"/>
  <c r="AZ94" i="3"/>
  <c r="BA104" i="3"/>
  <c r="AZ104" i="3"/>
  <c r="AZ108" i="3"/>
  <c r="C37" i="59"/>
  <c r="D37" i="59"/>
  <c r="AI10" i="46"/>
  <c r="AI12" i="46"/>
  <c r="AC12" i="46"/>
  <c r="AC10" i="46"/>
  <c r="BL171" i="3"/>
  <c r="AZ171" i="3"/>
  <c r="BA175" i="3"/>
  <c r="AZ175" i="3"/>
  <c r="BA180" i="3"/>
  <c r="AZ180" i="3"/>
  <c r="BA193" i="3"/>
  <c r="AZ193" i="3"/>
  <c r="BL199" i="3"/>
  <c r="AZ199" i="3"/>
  <c r="G26" i="3"/>
  <c r="BA33" i="3"/>
  <c r="AZ33" i="3"/>
  <c r="BA34" i="3"/>
  <c r="AZ34" i="3"/>
  <c r="G38" i="3"/>
  <c r="BA39" i="3"/>
  <c r="AZ39" i="3"/>
  <c r="BL41" i="3"/>
  <c r="AZ41" i="3"/>
  <c r="BL42" i="3"/>
  <c r="AZ42" i="3"/>
  <c r="G43" i="3"/>
  <c r="BA45" i="3"/>
  <c r="AZ45" i="3"/>
  <c r="BA46" i="3"/>
  <c r="AZ46" i="3"/>
  <c r="G49" i="3"/>
  <c r="G52" i="3"/>
  <c r="BL56" i="3"/>
  <c r="AZ56" i="3"/>
  <c r="G57" i="3"/>
  <c r="G61" i="3"/>
  <c r="G64" i="3"/>
  <c r="G67" i="3"/>
  <c r="BL71" i="3"/>
  <c r="AZ71" i="3"/>
  <c r="G72" i="3"/>
  <c r="G76" i="3"/>
  <c r="G79" i="3"/>
  <c r="BL79" i="3"/>
  <c r="AZ79" i="3"/>
  <c r="BL80" i="3"/>
  <c r="AZ80" i="3"/>
  <c r="G81" i="3"/>
  <c r="G87" i="3"/>
  <c r="BL91" i="3"/>
  <c r="AZ91" i="3"/>
  <c r="G92" i="3"/>
  <c r="G96" i="3"/>
  <c r="G99" i="3"/>
  <c r="BL99" i="3"/>
  <c r="AZ99" i="3"/>
  <c r="BL100" i="3"/>
  <c r="AZ100" i="3"/>
  <c r="G101" i="3"/>
  <c r="BL106" i="3"/>
  <c r="AZ106" i="3"/>
  <c r="G107" i="3"/>
  <c r="BA109" i="3"/>
  <c r="AZ109" i="3"/>
  <c r="BL111" i="3"/>
  <c r="AZ111" i="3"/>
  <c r="Y19" i="59"/>
  <c r="Z19" i="59"/>
  <c r="C20" i="59"/>
  <c r="Y18" i="59"/>
  <c r="Z18" i="59"/>
  <c r="Y20" i="59"/>
  <c r="Z20" i="59"/>
  <c r="Y21" i="59"/>
  <c r="Z21" i="59"/>
  <c r="C49" i="59"/>
  <c r="D48" i="59"/>
  <c r="D78" i="59"/>
  <c r="C77" i="59"/>
  <c r="AA15" i="59"/>
  <c r="AA16" i="59"/>
  <c r="AA17" i="59"/>
  <c r="AA3" i="59"/>
  <c r="AA18" i="59"/>
  <c r="A28" i="64"/>
  <c r="A28" i="51"/>
  <c r="I15" i="57"/>
  <c r="C31" i="39"/>
  <c r="B54" i="46"/>
  <c r="D57" i="59"/>
  <c r="C56" i="59"/>
  <c r="O57" i="59"/>
  <c r="B28" i="59"/>
  <c r="B29" i="59"/>
  <c r="B30" i="59"/>
  <c r="S30" i="59"/>
  <c r="X27" i="59"/>
  <c r="E28" i="59"/>
  <c r="E29" i="59"/>
  <c r="E30" i="59"/>
  <c r="U30" i="59"/>
  <c r="AA27" i="59"/>
  <c r="U66" i="59"/>
  <c r="E65" i="59"/>
  <c r="E64" i="59"/>
  <c r="T70" i="59"/>
  <c r="D70" i="59"/>
  <c r="C69" i="59"/>
  <c r="D74" i="59"/>
  <c r="C73" i="59"/>
  <c r="I10" i="57"/>
  <c r="D65" i="59"/>
  <c r="C64" i="59"/>
  <c r="D64" i="59"/>
  <c r="D28" i="59"/>
  <c r="C29" i="59"/>
  <c r="F61" i="59"/>
  <c r="F60" i="59"/>
  <c r="V62" i="59"/>
  <c r="S66" i="59"/>
  <c r="B65" i="59"/>
  <c r="B64" i="59"/>
  <c r="AA22" i="59"/>
  <c r="S27" i="40"/>
  <c r="S18" i="35"/>
  <c r="X23" i="59"/>
  <c r="B24" i="59"/>
  <c r="B25" i="59"/>
  <c r="B26" i="59"/>
  <c r="S26" i="59"/>
  <c r="AA20" i="59"/>
  <c r="Y24" i="59"/>
  <c r="Z24" i="59"/>
  <c r="Y25" i="59"/>
  <c r="Z25" i="59"/>
  <c r="Y26" i="59"/>
  <c r="Z26" i="59"/>
  <c r="Y27" i="59"/>
  <c r="Z27" i="59"/>
  <c r="F28" i="59"/>
  <c r="F29" i="59"/>
  <c r="F30" i="59"/>
  <c r="V30" i="59"/>
  <c r="AB23" i="59"/>
  <c r="C53" i="59"/>
  <c r="F18" i="59"/>
  <c r="AB18" i="59"/>
  <c r="AB17" i="59"/>
  <c r="AB27" i="59"/>
  <c r="AB25" i="59"/>
  <c r="AA23" i="59"/>
  <c r="X15" i="59"/>
  <c r="X16" i="59"/>
  <c r="X11" i="59"/>
  <c r="AA8" i="59"/>
  <c r="X6" i="59"/>
  <c r="AA5" i="59"/>
  <c r="C34" i="59"/>
  <c r="X3" i="59"/>
  <c r="X20" i="59"/>
  <c r="X21" i="59"/>
  <c r="X22" i="59"/>
  <c r="Y23" i="59"/>
  <c r="Z23" i="59"/>
  <c r="C24" i="59"/>
  <c r="AA25" i="59"/>
  <c r="S18" i="59"/>
  <c r="B17" i="59"/>
  <c r="B16" i="59"/>
  <c r="X19" i="59"/>
  <c r="Y13" i="59"/>
  <c r="Z13" i="59"/>
  <c r="P62" i="15"/>
  <c r="P75" i="15"/>
  <c r="AB8" i="59"/>
  <c r="AB13" i="59"/>
  <c r="X13" i="59"/>
  <c r="AB20" i="59"/>
  <c r="AB24" i="59"/>
  <c r="AA12" i="46"/>
  <c r="AB19" i="59"/>
  <c r="Y14" i="59"/>
  <c r="Z14" i="59"/>
  <c r="Y8" i="59"/>
  <c r="Z8" i="59"/>
  <c r="AB5" i="59"/>
  <c r="X7" i="59"/>
  <c r="AA7" i="59"/>
  <c r="X8" i="59"/>
  <c r="AA11" i="59"/>
  <c r="AB7" i="59"/>
  <c r="X5" i="59"/>
  <c r="Z5" i="59"/>
  <c r="B4" i="52"/>
  <c r="B8" i="52"/>
  <c r="E22" i="52"/>
  <c r="E7" i="52"/>
  <c r="E13" i="52"/>
  <c r="E10" i="52"/>
  <c r="E8" i="52"/>
  <c r="B10" i="52"/>
  <c r="E4" i="52"/>
  <c r="E21" i="52"/>
  <c r="B9" i="52"/>
  <c r="E11" i="52"/>
  <c r="B11" i="52"/>
  <c r="B7" i="52"/>
  <c r="B6" i="52"/>
  <c r="B13" i="52"/>
  <c r="B14" i="52"/>
  <c r="E9" i="52"/>
  <c r="B22" i="52"/>
  <c r="E6" i="52"/>
  <c r="Y3" i="59"/>
  <c r="Z3" i="59"/>
  <c r="AB6" i="59"/>
  <c r="AA6" i="59"/>
  <c r="Y6" i="59"/>
  <c r="Z6" i="59"/>
  <c r="P22" i="46"/>
  <c r="P24" i="46"/>
  <c r="B68" i="40"/>
  <c r="P25" i="46"/>
  <c r="B73" i="39"/>
  <c r="P21" i="46"/>
  <c r="C4" i="65"/>
  <c r="B39" i="1"/>
  <c r="I6" i="65"/>
  <c r="F6" i="15"/>
  <c r="F26" i="15"/>
  <c r="M26" i="15"/>
  <c r="F39" i="44"/>
  <c r="M27" i="15"/>
  <c r="M31" i="44"/>
  <c r="F7" i="15"/>
  <c r="F15" i="44"/>
  <c r="J6" i="65"/>
  <c r="F42" i="15"/>
  <c r="M24" i="15"/>
  <c r="F40" i="71"/>
  <c r="F36" i="71"/>
  <c r="F26" i="71"/>
  <c r="M9" i="71"/>
  <c r="L47" i="71"/>
  <c r="M26" i="44"/>
  <c r="L49" i="44"/>
  <c r="F6" i="71"/>
  <c r="L48" i="71"/>
  <c r="M24" i="44"/>
  <c r="F37" i="71"/>
  <c r="M8" i="15"/>
  <c r="L48" i="15"/>
  <c r="M30" i="44"/>
  <c r="M8" i="44"/>
  <c r="M8" i="71"/>
  <c r="F43" i="44"/>
  <c r="J36" i="71"/>
  <c r="F38" i="44"/>
  <c r="F43" i="71"/>
  <c r="M23" i="15"/>
  <c r="M29" i="44"/>
  <c r="F8" i="44"/>
  <c r="F42" i="71"/>
  <c r="F16" i="71"/>
  <c r="F28" i="44"/>
  <c r="I3" i="65"/>
  <c r="J3" i="65"/>
  <c r="M6" i="71"/>
  <c r="F13" i="71"/>
  <c r="M28" i="15"/>
  <c r="J4" i="65"/>
  <c r="J36" i="15"/>
  <c r="J7" i="65"/>
  <c r="F43" i="15"/>
  <c r="M28" i="71"/>
  <c r="F9" i="44"/>
  <c r="M23" i="71"/>
  <c r="L47" i="15"/>
  <c r="F37" i="15"/>
  <c r="F38" i="71"/>
  <c r="F8" i="15"/>
  <c r="M11" i="44"/>
  <c r="F40" i="15"/>
  <c r="F38" i="15"/>
  <c r="M24" i="71"/>
  <c r="I5" i="65"/>
  <c r="F13" i="15"/>
  <c r="M6" i="15"/>
  <c r="F16" i="15"/>
  <c r="M29" i="71"/>
  <c r="F31" i="71"/>
  <c r="J15" i="15"/>
  <c r="F18" i="44"/>
  <c r="F40" i="44"/>
  <c r="M9" i="15"/>
  <c r="M22" i="71"/>
  <c r="I4" i="65"/>
  <c r="M10" i="44"/>
  <c r="M22" i="15"/>
  <c r="F7" i="71"/>
  <c r="F36" i="15"/>
  <c r="M28" i="44"/>
  <c r="F9" i="15"/>
  <c r="J17" i="44"/>
  <c r="F9" i="71"/>
  <c r="M26" i="71"/>
  <c r="M29" i="15"/>
  <c r="F10" i="44"/>
  <c r="M27" i="71"/>
  <c r="J5" i="65"/>
  <c r="I7" i="65"/>
  <c r="L48" i="44"/>
  <c r="F8" i="71"/>
  <c r="J15" i="71"/>
  <c r="AA34" i="39"/>
  <c r="S34" i="39"/>
  <c r="G109" i="39"/>
  <c r="H109" i="39"/>
  <c r="I109" i="39"/>
  <c r="J109" i="39"/>
  <c r="K109" i="39"/>
  <c r="L109" i="39"/>
  <c r="M109" i="39"/>
  <c r="J34" i="39"/>
  <c r="H34" i="39"/>
  <c r="AA43" i="39"/>
  <c r="AB43" i="39"/>
  <c r="S31" i="39"/>
  <c r="W29" i="39"/>
  <c r="AC17" i="39"/>
  <c r="F7" i="37"/>
  <c r="H7" i="37"/>
  <c r="H7" i="33"/>
  <c r="AZ81" i="3"/>
  <c r="AZ68" i="3"/>
  <c r="AZ66" i="3"/>
  <c r="AZ65" i="3"/>
  <c r="AZ62" i="3"/>
  <c r="AZ24" i="3"/>
  <c r="AZ194" i="3"/>
  <c r="AZ145" i="3"/>
  <c r="AZ279" i="3"/>
  <c r="AZ257" i="3"/>
  <c r="AZ230" i="3"/>
  <c r="AZ228" i="3"/>
  <c r="AZ212" i="3"/>
  <c r="AZ385" i="3"/>
  <c r="AZ466" i="3"/>
  <c r="AZ450" i="3"/>
  <c r="AZ415" i="3"/>
  <c r="F23" i="21"/>
  <c r="D45" i="59"/>
  <c r="C46" i="59"/>
  <c r="AZ32" i="3"/>
  <c r="AZ273" i="3"/>
  <c r="AZ253" i="3"/>
  <c r="AZ237" i="3"/>
  <c r="AZ232" i="3"/>
  <c r="AZ434" i="3"/>
  <c r="AZ561" i="3"/>
  <c r="W12" i="33"/>
  <c r="AC12" i="33"/>
  <c r="U23" i="21"/>
  <c r="AC23" i="39"/>
  <c r="S23" i="39"/>
  <c r="U23" i="39"/>
  <c r="AA13" i="39"/>
  <c r="AC23" i="21"/>
  <c r="U15" i="21"/>
  <c r="F65" i="71"/>
  <c r="C27" i="71"/>
  <c r="L56" i="71"/>
  <c r="L60" i="71"/>
  <c r="J57" i="71"/>
  <c r="J55" i="71"/>
  <c r="J58" i="71"/>
  <c r="Q51" i="71"/>
  <c r="L57" i="71"/>
  <c r="J53" i="71"/>
  <c r="I54" i="71"/>
  <c r="Q72" i="71"/>
  <c r="F70" i="71"/>
  <c r="M7" i="71"/>
  <c r="J6" i="71"/>
  <c r="J18" i="71"/>
  <c r="F49" i="71"/>
  <c r="F63" i="71"/>
  <c r="F50" i="71"/>
  <c r="L59" i="71"/>
  <c r="L58" i="71"/>
  <c r="C6" i="71"/>
  <c r="F67" i="71"/>
  <c r="F64" i="71"/>
  <c r="AZ164" i="3"/>
  <c r="G30" i="6"/>
  <c r="G31" i="6"/>
  <c r="AZ550" i="3"/>
  <c r="AZ564" i="3"/>
  <c r="AZ552" i="3"/>
  <c r="J7" i="35"/>
  <c r="F7" i="33"/>
  <c r="J7" i="33"/>
  <c r="W36" i="35"/>
  <c r="AC36" i="35"/>
  <c r="AA9" i="33"/>
  <c r="S9" i="33"/>
  <c r="AZ69" i="3"/>
  <c r="C42" i="59"/>
  <c r="D41" i="59"/>
  <c r="AZ92" i="3"/>
  <c r="AZ78" i="3"/>
  <c r="AZ77" i="3"/>
  <c r="AZ276" i="3"/>
  <c r="AZ270" i="3"/>
  <c r="AZ265" i="3"/>
  <c r="AZ241" i="3"/>
  <c r="AZ220" i="3"/>
  <c r="AZ471" i="3"/>
  <c r="AZ470" i="3"/>
  <c r="AZ463" i="3"/>
  <c r="AZ442" i="3"/>
  <c r="AZ428" i="3"/>
  <c r="AZ427" i="3"/>
  <c r="AZ405" i="3"/>
  <c r="AZ399" i="3"/>
  <c r="AZ395" i="3"/>
  <c r="F61" i="71"/>
  <c r="AZ546" i="3"/>
  <c r="AA25" i="37"/>
  <c r="S25" i="37"/>
  <c r="AB9" i="35"/>
  <c r="U9" i="35"/>
  <c r="M11" i="71"/>
  <c r="J10" i="71"/>
  <c r="F11" i="71"/>
  <c r="W43" i="39"/>
  <c r="AB29" i="39"/>
  <c r="U17" i="39"/>
  <c r="G109" i="46"/>
  <c r="L59" i="15"/>
  <c r="Q62" i="15"/>
  <c r="L58" i="15"/>
  <c r="Q74" i="15"/>
  <c r="F64" i="15"/>
  <c r="F67" i="15"/>
  <c r="C27" i="15"/>
  <c r="C6" i="15"/>
  <c r="C32" i="15"/>
  <c r="Q72" i="15"/>
  <c r="F70" i="15"/>
  <c r="F50" i="15"/>
  <c r="F65" i="15"/>
  <c r="J53" i="15"/>
  <c r="F1" i="15"/>
  <c r="J57" i="15"/>
  <c r="J55" i="15"/>
  <c r="J58" i="15"/>
  <c r="Q51" i="15"/>
  <c r="I54" i="15"/>
  <c r="L56" i="15"/>
  <c r="F63" i="15"/>
  <c r="F49" i="15"/>
  <c r="M7" i="15"/>
  <c r="J6" i="15"/>
  <c r="H16" i="1"/>
  <c r="E109" i="46"/>
  <c r="D104" i="46"/>
  <c r="D115" i="46"/>
  <c r="E115" i="46"/>
  <c r="F115" i="46"/>
  <c r="G115" i="46"/>
  <c r="H115" i="46"/>
  <c r="AC13" i="46"/>
  <c r="BL5" i="3"/>
  <c r="C103" i="46"/>
  <c r="E105" i="46"/>
  <c r="G118" i="46"/>
  <c r="H118" i="46"/>
  <c r="L103" i="46"/>
  <c r="J103" i="46"/>
  <c r="K109" i="46"/>
  <c r="L109" i="46"/>
  <c r="J109" i="46"/>
  <c r="M105" i="46"/>
  <c r="I118" i="46"/>
  <c r="J118" i="46"/>
  <c r="K118" i="46"/>
  <c r="L118" i="46"/>
  <c r="M118" i="46"/>
  <c r="K107" i="46"/>
  <c r="D22" i="46"/>
  <c r="E5" i="6"/>
  <c r="D21" i="12"/>
  <c r="C21" i="12"/>
  <c r="I105" i="46"/>
  <c r="B117" i="46"/>
  <c r="C117" i="46"/>
  <c r="L102" i="46"/>
  <c r="M103" i="46"/>
  <c r="B116" i="46"/>
  <c r="C116" i="46"/>
  <c r="F27" i="6"/>
  <c r="E58" i="39"/>
  <c r="E53" i="40"/>
  <c r="AA13" i="46"/>
  <c r="J106" i="46"/>
  <c r="J107" i="46"/>
  <c r="J104" i="46"/>
  <c r="J105" i="46"/>
  <c r="G106" i="46"/>
  <c r="G104" i="46"/>
  <c r="D102" i="46"/>
  <c r="I104" i="46"/>
  <c r="N102" i="46"/>
  <c r="N107" i="46"/>
  <c r="AI13" i="46"/>
  <c r="D117" i="46"/>
  <c r="E117" i="46"/>
  <c r="F117" i="46"/>
  <c r="G117" i="46"/>
  <c r="H117" i="46"/>
  <c r="G105" i="46"/>
  <c r="I117" i="46"/>
  <c r="J117" i="46"/>
  <c r="K117" i="46"/>
  <c r="L117" i="46"/>
  <c r="M117" i="46"/>
  <c r="I116" i="46"/>
  <c r="J116" i="46"/>
  <c r="K116" i="46"/>
  <c r="L116" i="46"/>
  <c r="M116" i="46"/>
  <c r="N109" i="46"/>
  <c r="N104" i="46"/>
  <c r="N106" i="46"/>
  <c r="B118" i="46"/>
  <c r="C118" i="46"/>
  <c r="B115" i="46"/>
  <c r="C115" i="46"/>
  <c r="D107" i="46"/>
  <c r="M104" i="46"/>
  <c r="N103" i="46"/>
  <c r="I109" i="46"/>
  <c r="K105" i="46"/>
  <c r="H109" i="46"/>
  <c r="H104" i="46"/>
  <c r="H105" i="46"/>
  <c r="H103" i="46"/>
  <c r="H107" i="46"/>
  <c r="H102" i="46"/>
  <c r="E106" i="46"/>
  <c r="L107" i="46"/>
  <c r="K102" i="46"/>
  <c r="E104" i="46"/>
  <c r="D118" i="46"/>
  <c r="E118" i="46"/>
  <c r="F118" i="46"/>
  <c r="I115" i="46"/>
  <c r="J115" i="46"/>
  <c r="K115" i="46"/>
  <c r="L115" i="46"/>
  <c r="M115" i="46"/>
  <c r="F102" i="46"/>
  <c r="F103" i="46"/>
  <c r="F107" i="46"/>
  <c r="F104" i="46"/>
  <c r="F106" i="46"/>
  <c r="F105" i="46"/>
  <c r="G107" i="46"/>
  <c r="G102" i="46"/>
  <c r="I102" i="46"/>
  <c r="I107" i="46"/>
  <c r="I103" i="46"/>
  <c r="K106" i="46"/>
  <c r="K104" i="46"/>
  <c r="D106" i="46"/>
  <c r="D105" i="46"/>
  <c r="D103" i="46"/>
  <c r="E102" i="46"/>
  <c r="E103" i="46"/>
  <c r="M107" i="46"/>
  <c r="M109" i="46"/>
  <c r="M102" i="46"/>
  <c r="L106" i="46"/>
  <c r="L104" i="46"/>
  <c r="C102" i="46"/>
  <c r="C106" i="46"/>
  <c r="C104" i="46"/>
  <c r="C105" i="46"/>
  <c r="C107" i="46"/>
  <c r="AP16" i="1"/>
  <c r="F22" i="11"/>
  <c r="G16" i="1"/>
  <c r="J12" i="39"/>
  <c r="E20" i="46"/>
  <c r="O28" i="46"/>
  <c r="I1" i="65"/>
  <c r="J1" i="65"/>
  <c r="H7" i="35"/>
  <c r="AB7" i="35"/>
  <c r="T38" i="35"/>
  <c r="G38" i="35"/>
  <c r="P23" i="46"/>
  <c r="C19" i="46"/>
  <c r="F7" i="35"/>
  <c r="AA7" i="35"/>
  <c r="R38" i="35"/>
  <c r="J7" i="37"/>
  <c r="AC7" i="37"/>
  <c r="V42" i="37"/>
  <c r="I42" i="37"/>
  <c r="D65" i="40"/>
  <c r="C67" i="40"/>
  <c r="D70" i="39"/>
  <c r="C72" i="39"/>
  <c r="C8" i="44"/>
  <c r="C34" i="44"/>
  <c r="Q73" i="44"/>
  <c r="C29" i="44"/>
  <c r="L60" i="44"/>
  <c r="Q76" i="44"/>
  <c r="L59" i="44"/>
  <c r="Q62" i="44"/>
  <c r="J58" i="44"/>
  <c r="J56" i="44"/>
  <c r="J59" i="44"/>
  <c r="Q52" i="44"/>
  <c r="L57" i="44"/>
  <c r="I55" i="44"/>
  <c r="J60" i="44"/>
  <c r="J54" i="44"/>
  <c r="Q54" i="44"/>
  <c r="J61" i="44"/>
  <c r="Q50" i="44"/>
  <c r="M9" i="44"/>
  <c r="O56" i="59"/>
  <c r="D56" i="59"/>
  <c r="O55" i="59"/>
  <c r="S13" i="35"/>
  <c r="AA13" i="35"/>
  <c r="AC9" i="34"/>
  <c r="W9" i="34"/>
  <c r="R22" i="31"/>
  <c r="B21" i="31"/>
  <c r="B20" i="31"/>
  <c r="AC12" i="37"/>
  <c r="W12" i="37"/>
  <c r="S45" i="33"/>
  <c r="AA45" i="33"/>
  <c r="AC23" i="35"/>
  <c r="W23" i="35"/>
  <c r="AC7" i="33"/>
  <c r="V48" i="33"/>
  <c r="I48" i="33"/>
  <c r="W7" i="33"/>
  <c r="T34" i="59"/>
  <c r="D34" i="59"/>
  <c r="V18" i="59"/>
  <c r="F17" i="59"/>
  <c r="F16" i="59"/>
  <c r="N4" i="63"/>
  <c r="B21" i="63"/>
  <c r="AZ89" i="3"/>
  <c r="AZ27" i="3"/>
  <c r="B9" i="59"/>
  <c r="B8" i="59"/>
  <c r="B7" i="59"/>
  <c r="B6" i="59"/>
  <c r="B5" i="59"/>
  <c r="S10" i="59"/>
  <c r="P56" i="59"/>
  <c r="P55" i="59"/>
  <c r="M12" i="1"/>
  <c r="Q16" i="1"/>
  <c r="Q18" i="1"/>
  <c r="AC13" i="37"/>
  <c r="W13" i="37"/>
  <c r="AZ551" i="3"/>
  <c r="AC12" i="36"/>
  <c r="W12" i="36"/>
  <c r="U31" i="33"/>
  <c r="AB31" i="33"/>
  <c r="S9" i="37"/>
  <c r="AA9" i="37"/>
  <c r="AB13" i="36"/>
  <c r="U13" i="36"/>
  <c r="U45" i="21"/>
  <c r="AB45" i="21"/>
  <c r="W29" i="21"/>
  <c r="AC29" i="21"/>
  <c r="AZ557" i="3"/>
  <c r="AA40" i="37"/>
  <c r="S40" i="37"/>
  <c r="E29" i="6"/>
  <c r="BA5" i="3"/>
  <c r="E27" i="6"/>
  <c r="AZ13" i="3"/>
  <c r="AZ558" i="3"/>
  <c r="W14" i="39"/>
  <c r="AC14" i="39"/>
  <c r="W26" i="37"/>
  <c r="AC26" i="37"/>
  <c r="W34" i="36"/>
  <c r="AC34" i="36"/>
  <c r="AB45" i="33"/>
  <c r="U45" i="33"/>
  <c r="F28" i="6"/>
  <c r="AZ562" i="3"/>
  <c r="AA9" i="36"/>
  <c r="S9" i="36"/>
  <c r="W27" i="34"/>
  <c r="AC27" i="34"/>
  <c r="W46" i="21"/>
  <c r="AC46" i="21"/>
  <c r="AA14" i="21"/>
  <c r="S14" i="21"/>
  <c r="W34" i="40"/>
  <c r="AC34" i="40"/>
  <c r="AC7" i="35"/>
  <c r="V38" i="35"/>
  <c r="I38" i="35"/>
  <c r="W7" i="35"/>
  <c r="C8" i="59"/>
  <c r="D9" i="59"/>
  <c r="U7" i="36"/>
  <c r="AB7" i="36"/>
  <c r="T36" i="36"/>
  <c r="G36" i="36"/>
  <c r="AA31" i="33"/>
  <c r="S31" i="33"/>
  <c r="U14" i="37"/>
  <c r="AB14" i="37"/>
  <c r="S13" i="36"/>
  <c r="AA13" i="36"/>
  <c r="S45" i="21"/>
  <c r="AA45" i="21"/>
  <c r="S27" i="34"/>
  <c r="AA27" i="34"/>
  <c r="AB40" i="37"/>
  <c r="U40" i="37"/>
  <c r="W28" i="37"/>
  <c r="AC28" i="37"/>
  <c r="AA26" i="37"/>
  <c r="S26" i="37"/>
  <c r="AC29" i="33"/>
  <c r="W29" i="33"/>
  <c r="AA46" i="39"/>
  <c r="S46" i="39"/>
  <c r="S46" i="21"/>
  <c r="AA46" i="21"/>
  <c r="AC30" i="21"/>
  <c r="W30" i="21"/>
  <c r="AA7" i="36"/>
  <c r="R36" i="36"/>
  <c r="S7" i="36"/>
  <c r="AA7" i="33"/>
  <c r="R48" i="33"/>
  <c r="S7" i="33"/>
  <c r="D53" i="59"/>
  <c r="C54" i="59"/>
  <c r="D69" i="59"/>
  <c r="C68" i="59"/>
  <c r="D68" i="59"/>
  <c r="AZ59" i="3"/>
  <c r="D17" i="59"/>
  <c r="C16" i="59"/>
  <c r="D16" i="59"/>
  <c r="C60" i="59"/>
  <c r="D60" i="59"/>
  <c r="D61" i="59"/>
  <c r="M43" i="9"/>
  <c r="D18" i="9"/>
  <c r="AA44" i="21"/>
  <c r="S44" i="21"/>
  <c r="AB13" i="37"/>
  <c r="U13" i="37"/>
  <c r="AZ493" i="3"/>
  <c r="AA12" i="36"/>
  <c r="S12" i="36"/>
  <c r="AZ20" i="3"/>
  <c r="AC14" i="37"/>
  <c r="W14" i="37"/>
  <c r="W9" i="37"/>
  <c r="AC9" i="37"/>
  <c r="W45" i="21"/>
  <c r="AC45" i="21"/>
  <c r="AA13" i="21"/>
  <c r="S13" i="21"/>
  <c r="AZ572" i="3"/>
  <c r="AA9" i="34"/>
  <c r="S9" i="34"/>
  <c r="AB32" i="34"/>
  <c r="U32" i="34"/>
  <c r="AZ569" i="3"/>
  <c r="AC40" i="37"/>
  <c r="W40" i="37"/>
  <c r="B38" i="63"/>
  <c r="A3" i="55"/>
  <c r="B56" i="63"/>
  <c r="E15" i="6"/>
  <c r="E11" i="6"/>
  <c r="E14" i="6"/>
  <c r="E12" i="6"/>
  <c r="E13" i="6"/>
  <c r="E10" i="6"/>
  <c r="AZ554" i="3"/>
  <c r="AA14" i="39"/>
  <c r="S14" i="39"/>
  <c r="AB12" i="37"/>
  <c r="U12" i="37"/>
  <c r="AB34" i="36"/>
  <c r="U34" i="36"/>
  <c r="AC14" i="34"/>
  <c r="W14" i="34"/>
  <c r="AA29" i="33"/>
  <c r="S29" i="33"/>
  <c r="AZ498" i="3"/>
  <c r="AZ539" i="3"/>
  <c r="AZ544" i="3"/>
  <c r="AZ566" i="3"/>
  <c r="U46" i="39"/>
  <c r="AB46" i="39"/>
  <c r="AC9" i="36"/>
  <c r="W9" i="36"/>
  <c r="AB27" i="34"/>
  <c r="U27" i="34"/>
  <c r="AA30" i="21"/>
  <c r="S30" i="21"/>
  <c r="W14" i="21"/>
  <c r="AC14" i="21"/>
  <c r="U23" i="35"/>
  <c r="AB23" i="35"/>
  <c r="G5" i="3"/>
  <c r="B3" i="3"/>
  <c r="E67" i="3"/>
  <c r="W7" i="36"/>
  <c r="AC7" i="36"/>
  <c r="V36" i="36"/>
  <c r="I36" i="36"/>
  <c r="K31" i="9"/>
  <c r="K32" i="9"/>
  <c r="R7" i="54"/>
  <c r="B52" i="63"/>
  <c r="AA7" i="37"/>
  <c r="R42" i="37"/>
  <c r="S7" i="37"/>
  <c r="G58" i="21"/>
  <c r="C72" i="59"/>
  <c r="D72" i="59"/>
  <c r="D73" i="59"/>
  <c r="D77" i="59"/>
  <c r="C76" i="59"/>
  <c r="D76" i="59"/>
  <c r="AB38" i="37"/>
  <c r="U38" i="37"/>
  <c r="W35" i="35"/>
  <c r="AC35" i="35"/>
  <c r="S29" i="21"/>
  <c r="AA29" i="21"/>
  <c r="D24" i="59"/>
  <c r="C25" i="59"/>
  <c r="C30" i="59"/>
  <c r="D29" i="59"/>
  <c r="I21" i="57"/>
  <c r="D1" i="57"/>
  <c r="E10" i="57"/>
  <c r="C50" i="59"/>
  <c r="D49" i="59"/>
  <c r="D20" i="59"/>
  <c r="C21" i="59"/>
  <c r="AZ36" i="3"/>
  <c r="AC44" i="21"/>
  <c r="W44" i="21"/>
  <c r="S38" i="37"/>
  <c r="AA38" i="37"/>
  <c r="AB13" i="35"/>
  <c r="U13" i="35"/>
  <c r="AB12" i="36"/>
  <c r="U12" i="36"/>
  <c r="S14" i="37"/>
  <c r="AA14" i="37"/>
  <c r="U35" i="35"/>
  <c r="AB35" i="35"/>
  <c r="AC13" i="36"/>
  <c r="W13" i="36"/>
  <c r="U29" i="21"/>
  <c r="AB29" i="21"/>
  <c r="U13" i="21"/>
  <c r="AB13" i="21"/>
  <c r="AB34" i="40"/>
  <c r="U34" i="40"/>
  <c r="U9" i="34"/>
  <c r="AB9" i="34"/>
  <c r="AZ559" i="3"/>
  <c r="AA28" i="37"/>
  <c r="S28" i="37"/>
  <c r="A25" i="64"/>
  <c r="A25" i="51"/>
  <c r="B18" i="63"/>
  <c r="AB26" i="37"/>
  <c r="U26" i="37"/>
  <c r="S12" i="37"/>
  <c r="AA12" i="37"/>
  <c r="S34" i="36"/>
  <c r="AA34" i="36"/>
  <c r="AA14" i="34"/>
  <c r="S14" i="34"/>
  <c r="U29" i="33"/>
  <c r="AB29" i="33"/>
  <c r="AC46" i="39"/>
  <c r="W46" i="39"/>
  <c r="U9" i="36"/>
  <c r="AB9" i="36"/>
  <c r="U46" i="21"/>
  <c r="AB46" i="21"/>
  <c r="U30" i="21"/>
  <c r="AB30" i="21"/>
  <c r="U14" i="21"/>
  <c r="AB14" i="21"/>
  <c r="P6" i="1"/>
  <c r="C15" i="12"/>
  <c r="AB7" i="37"/>
  <c r="T42" i="37"/>
  <c r="G42" i="37"/>
  <c r="U7" i="37"/>
  <c r="F59" i="34"/>
  <c r="G59" i="34"/>
  <c r="H59" i="34"/>
  <c r="I59" i="34"/>
  <c r="J59" i="34"/>
  <c r="K59" i="34"/>
  <c r="L59" i="34"/>
  <c r="M59" i="34"/>
  <c r="N59" i="34"/>
  <c r="O59" i="34"/>
  <c r="F7" i="34"/>
  <c r="S7" i="35"/>
  <c r="U7" i="33"/>
  <c r="AB7" i="33"/>
  <c r="T48" i="33"/>
  <c r="G48" i="33"/>
  <c r="W7" i="37"/>
  <c r="C34" i="46"/>
  <c r="T8" i="46"/>
  <c r="V8" i="46"/>
  <c r="T6" i="46"/>
  <c r="V6" i="46"/>
  <c r="T10" i="46"/>
  <c r="V10" i="46"/>
  <c r="T12" i="46"/>
  <c r="V12" i="46"/>
  <c r="T16" i="46"/>
  <c r="V16" i="46"/>
  <c r="T2" i="46"/>
  <c r="V2" i="46"/>
  <c r="C33" i="46"/>
  <c r="T15" i="46"/>
  <c r="V15" i="46"/>
  <c r="C38" i="46"/>
  <c r="C37" i="46"/>
  <c r="T3" i="46"/>
  <c r="V3" i="46"/>
  <c r="T11" i="46"/>
  <c r="V11" i="46"/>
  <c r="C29" i="46"/>
  <c r="T5" i="46"/>
  <c r="V5" i="46"/>
  <c r="C36" i="46"/>
  <c r="T13" i="46"/>
  <c r="V13" i="46"/>
  <c r="T14" i="46"/>
  <c r="V14" i="46"/>
  <c r="C35" i="46"/>
  <c r="T4" i="46"/>
  <c r="V4" i="46"/>
  <c r="T9" i="46"/>
  <c r="V9" i="46"/>
  <c r="T7" i="46"/>
  <c r="V7" i="46"/>
  <c r="C39" i="46"/>
  <c r="M13" i="44"/>
  <c r="J12" i="44"/>
  <c r="F11" i="15"/>
  <c r="M11" i="15"/>
  <c r="J10" i="15"/>
  <c r="F13" i="44"/>
  <c r="C12" i="44"/>
  <c r="AE8" i="1"/>
  <c r="F31" i="15"/>
  <c r="M17" i="15"/>
  <c r="C16" i="15"/>
  <c r="E3" i="65"/>
  <c r="C16" i="71"/>
  <c r="M17" i="71"/>
  <c r="F58" i="15"/>
  <c r="C18" i="44"/>
  <c r="M19" i="44"/>
  <c r="F46" i="44"/>
  <c r="F58" i="71"/>
  <c r="E2" i="65"/>
  <c r="F33" i="44"/>
  <c r="F41" i="15"/>
  <c r="AC34" i="39"/>
  <c r="W34" i="39"/>
  <c r="AB34" i="39"/>
  <c r="U34" i="39"/>
  <c r="J7" i="34"/>
  <c r="W7" i="34"/>
  <c r="T46" i="59"/>
  <c r="D46" i="59"/>
  <c r="AA23" i="21"/>
  <c r="S23" i="21"/>
  <c r="J5" i="71"/>
  <c r="J24" i="71"/>
  <c r="K15" i="1"/>
  <c r="L19" i="6"/>
  <c r="L27" i="6"/>
  <c r="D42" i="59"/>
  <c r="T42" i="59"/>
  <c r="Q61" i="71"/>
  <c r="Q74" i="71"/>
  <c r="C48" i="71"/>
  <c r="Q58" i="71"/>
  <c r="Q67" i="71"/>
  <c r="C32" i="71"/>
  <c r="C33" i="71"/>
  <c r="Q62" i="71"/>
  <c r="Q75" i="71"/>
  <c r="Q53" i="71"/>
  <c r="F1" i="71"/>
  <c r="C10" i="71"/>
  <c r="C5" i="71"/>
  <c r="C52" i="71"/>
  <c r="F68" i="15"/>
  <c r="C48" i="15"/>
  <c r="Q61" i="15"/>
  <c r="Q75" i="15"/>
  <c r="Q53" i="15"/>
  <c r="D12" i="11"/>
  <c r="C12" i="11"/>
  <c r="H12" i="39"/>
  <c r="AB12" i="39"/>
  <c r="E418" i="3"/>
  <c r="E37" i="3"/>
  <c r="E441" i="3"/>
  <c r="E475" i="3"/>
  <c r="E107" i="3"/>
  <c r="E379" i="3"/>
  <c r="E156" i="3"/>
  <c r="E420" i="3"/>
  <c r="E253" i="3"/>
  <c r="E403" i="3"/>
  <c r="E92" i="3"/>
  <c r="E76" i="3"/>
  <c r="E158" i="3"/>
  <c r="E121" i="3"/>
  <c r="E47" i="3"/>
  <c r="E99" i="3"/>
  <c r="E38" i="3"/>
  <c r="E26" i="3"/>
  <c r="E439" i="3"/>
  <c r="E82" i="3"/>
  <c r="D113" i="46"/>
  <c r="J22" i="46"/>
  <c r="H12" i="40"/>
  <c r="U12" i="40"/>
  <c r="J12" i="40"/>
  <c r="W12" i="40"/>
  <c r="F12" i="39"/>
  <c r="AA12" i="39"/>
  <c r="C7" i="44"/>
  <c r="C40" i="44"/>
  <c r="F12" i="40"/>
  <c r="AA12" i="40"/>
  <c r="P28" i="46"/>
  <c r="M28" i="46"/>
  <c r="F1" i="44"/>
  <c r="Q63" i="44"/>
  <c r="N28" i="46"/>
  <c r="F17" i="11"/>
  <c r="C17" i="11"/>
  <c r="B40" i="1"/>
  <c r="U7" i="35"/>
  <c r="D72" i="39"/>
  <c r="E70" i="39"/>
  <c r="D67" i="40"/>
  <c r="E65" i="40"/>
  <c r="D30" i="59"/>
  <c r="T30" i="59"/>
  <c r="E59" i="40"/>
  <c r="E64" i="39"/>
  <c r="E36" i="36"/>
  <c r="R37" i="36"/>
  <c r="I42" i="35"/>
  <c r="J42" i="35"/>
  <c r="F30" i="6"/>
  <c r="F31" i="6"/>
  <c r="E28" i="6"/>
  <c r="Q75" i="44"/>
  <c r="AC7" i="34"/>
  <c r="V49" i="34"/>
  <c r="I49" i="34"/>
  <c r="I46" i="37"/>
  <c r="J46" i="37"/>
  <c r="E38" i="35"/>
  <c r="I43" i="35"/>
  <c r="J43" i="35"/>
  <c r="R39" i="35"/>
  <c r="G47" i="37"/>
  <c r="H47" i="37"/>
  <c r="G46" i="37"/>
  <c r="H46" i="37"/>
  <c r="E409" i="3"/>
  <c r="E221" i="3"/>
  <c r="E57" i="3"/>
  <c r="E65" i="39"/>
  <c r="E60" i="40"/>
  <c r="E62" i="40"/>
  <c r="E67" i="39"/>
  <c r="E129" i="3"/>
  <c r="E290" i="3"/>
  <c r="E35" i="3"/>
  <c r="E72" i="3"/>
  <c r="T54" i="59"/>
  <c r="D54" i="59"/>
  <c r="E405" i="3"/>
  <c r="E79" i="3"/>
  <c r="E398" i="3"/>
  <c r="E277" i="3"/>
  <c r="E200" i="3"/>
  <c r="E64" i="3"/>
  <c r="E101" i="3"/>
  <c r="I52" i="33"/>
  <c r="J52" i="33"/>
  <c r="E266" i="3"/>
  <c r="F33" i="12"/>
  <c r="C34" i="12"/>
  <c r="D33" i="12"/>
  <c r="F24" i="43"/>
  <c r="C26" i="43"/>
  <c r="D24" i="43"/>
  <c r="F18" i="11"/>
  <c r="C18" i="11"/>
  <c r="G52" i="33"/>
  <c r="H52" i="33"/>
  <c r="G53" i="33"/>
  <c r="H53" i="33"/>
  <c r="AA7" i="34"/>
  <c r="R49" i="34"/>
  <c r="S7" i="34"/>
  <c r="E525" i="3"/>
  <c r="E429" i="3"/>
  <c r="D21" i="59"/>
  <c r="C22" i="59"/>
  <c r="C26" i="59"/>
  <c r="D25" i="59"/>
  <c r="E234" i="3"/>
  <c r="I40" i="36"/>
  <c r="J40" i="36"/>
  <c r="E66" i="39"/>
  <c r="E61" i="40"/>
  <c r="E561" i="3"/>
  <c r="M44" i="9"/>
  <c r="E84" i="3"/>
  <c r="E172" i="3"/>
  <c r="E49" i="3"/>
  <c r="E543" i="3"/>
  <c r="E472" i="3"/>
  <c r="G41" i="36"/>
  <c r="H41" i="36"/>
  <c r="G40" i="36"/>
  <c r="H40" i="36"/>
  <c r="E449" i="3"/>
  <c r="O12" i="1"/>
  <c r="P12" i="1"/>
  <c r="E131" i="3"/>
  <c r="E102" i="3"/>
  <c r="E43" i="3"/>
  <c r="E81" i="3"/>
  <c r="G43" i="35"/>
  <c r="H43" i="35"/>
  <c r="G42" i="35"/>
  <c r="H42" i="35"/>
  <c r="W12" i="39"/>
  <c r="AC12" i="39"/>
  <c r="E477" i="3"/>
  <c r="J8" i="44"/>
  <c r="J20" i="44"/>
  <c r="D50" i="59"/>
  <c r="T50" i="59"/>
  <c r="E42" i="37"/>
  <c r="I47" i="37"/>
  <c r="J47" i="37"/>
  <c r="R43" i="37"/>
  <c r="H58" i="21"/>
  <c r="I58" i="21"/>
  <c r="J58" i="21"/>
  <c r="K58" i="21"/>
  <c r="L58" i="21"/>
  <c r="M58" i="21"/>
  <c r="N58" i="21"/>
  <c r="O58" i="21"/>
  <c r="E297" i="3"/>
  <c r="E395" i="3"/>
  <c r="E41" i="3"/>
  <c r="E471" i="3"/>
  <c r="E408" i="3"/>
  <c r="E238" i="3"/>
  <c r="E414" i="3"/>
  <c r="E44" i="3"/>
  <c r="E202" i="3"/>
  <c r="E187" i="3"/>
  <c r="E225" i="3"/>
  <c r="E537" i="3"/>
  <c r="E199" i="3"/>
  <c r="E54" i="3"/>
  <c r="E423" i="3"/>
  <c r="E452" i="3"/>
  <c r="E435" i="3"/>
  <c r="E213" i="3"/>
  <c r="E490" i="3"/>
  <c r="E218" i="3"/>
  <c r="E397" i="3"/>
  <c r="E442" i="3"/>
  <c r="E462" i="3"/>
  <c r="E110" i="3"/>
  <c r="E63" i="3"/>
  <c r="E545" i="3"/>
  <c r="E174" i="3"/>
  <c r="E184" i="3"/>
  <c r="E482" i="3"/>
  <c r="E98" i="3"/>
  <c r="E473" i="3"/>
  <c r="E422" i="3"/>
  <c r="N6" i="3"/>
  <c r="E232" i="3"/>
  <c r="E533" i="3"/>
  <c r="E189" i="3"/>
  <c r="E507" i="3"/>
  <c r="E303" i="3"/>
  <c r="E275" i="3"/>
  <c r="L6" i="3"/>
  <c r="E467" i="3"/>
  <c r="E116" i="3"/>
  <c r="E214" i="3"/>
  <c r="E372" i="3"/>
  <c r="E465" i="3"/>
  <c r="E154" i="3"/>
  <c r="E264" i="3"/>
  <c r="E243" i="3"/>
  <c r="E309" i="3"/>
  <c r="V6" i="3"/>
  <c r="E448" i="3"/>
  <c r="E105" i="3"/>
  <c r="E74" i="3"/>
  <c r="AG6" i="3"/>
  <c r="E505" i="3"/>
  <c r="E224" i="3"/>
  <c r="E419" i="3"/>
  <c r="E123" i="3"/>
  <c r="E302" i="3"/>
  <c r="E66" i="3"/>
  <c r="E287" i="3"/>
  <c r="E24" i="3"/>
  <c r="E188" i="3"/>
  <c r="E271" i="3"/>
  <c r="E306" i="3"/>
  <c r="E180" i="3"/>
  <c r="E493" i="3"/>
  <c r="E551" i="3"/>
  <c r="E108" i="3"/>
  <c r="E246" i="3"/>
  <c r="E16" i="3"/>
  <c r="E385" i="3"/>
  <c r="E524" i="3"/>
  <c r="E95" i="3"/>
  <c r="E19" i="3"/>
  <c r="E212" i="3"/>
  <c r="E298" i="3"/>
  <c r="E182" i="3"/>
  <c r="E315" i="3"/>
  <c r="E267" i="3"/>
  <c r="E323" i="3"/>
  <c r="E312" i="3"/>
  <c r="E514" i="3"/>
  <c r="E501" i="3"/>
  <c r="E512" i="3"/>
  <c r="E384" i="3"/>
  <c r="E371" i="3"/>
  <c r="E310" i="3"/>
  <c r="E487" i="3"/>
  <c r="E329" i="3"/>
  <c r="AB6" i="3"/>
  <c r="E322" i="3"/>
  <c r="E511" i="3"/>
  <c r="E17" i="3"/>
  <c r="E377" i="3"/>
  <c r="E18" i="3"/>
  <c r="E358" i="3"/>
  <c r="E509" i="3"/>
  <c r="E20" i="3"/>
  <c r="E381" i="3"/>
  <c r="E427" i="3"/>
  <c r="E193" i="3"/>
  <c r="E278" i="3"/>
  <c r="E94" i="3"/>
  <c r="E36" i="3"/>
  <c r="E237" i="3"/>
  <c r="E304" i="3"/>
  <c r="E428" i="3"/>
  <c r="E165" i="3"/>
  <c r="E100" i="3"/>
  <c r="E404" i="3"/>
  <c r="E374" i="3"/>
  <c r="E30" i="3"/>
  <c r="E223" i="3"/>
  <c r="E205" i="3"/>
  <c r="E367" i="3"/>
  <c r="E415" i="3"/>
  <c r="E478" i="3"/>
  <c r="E80" i="3"/>
  <c r="E317" i="3"/>
  <c r="E28" i="3"/>
  <c r="E141" i="3"/>
  <c r="E179" i="3"/>
  <c r="E168" i="3"/>
  <c r="AS6" i="3"/>
  <c r="E34" i="3"/>
  <c r="E444" i="3"/>
  <c r="E407" i="3"/>
  <c r="E247" i="3"/>
  <c r="E136" i="3"/>
  <c r="E85" i="3"/>
  <c r="E539" i="3"/>
  <c r="E332" i="3"/>
  <c r="E245" i="3"/>
  <c r="E139" i="3"/>
  <c r="E445" i="3"/>
  <c r="E451" i="3"/>
  <c r="U6" i="3"/>
  <c r="E291" i="3"/>
  <c r="E305" i="3"/>
  <c r="E527" i="3"/>
  <c r="E73" i="3"/>
  <c r="E365" i="3"/>
  <c r="E126" i="3"/>
  <c r="E248" i="3"/>
  <c r="E211" i="3"/>
  <c r="E336" i="3"/>
  <c r="Y6" i="3"/>
  <c r="AR6" i="3"/>
  <c r="E466" i="3"/>
  <c r="E65" i="3"/>
  <c r="E51" i="3"/>
  <c r="E513" i="3"/>
  <c r="E345" i="3"/>
  <c r="E281" i="3"/>
  <c r="E440" i="3"/>
  <c r="AF6" i="3"/>
  <c r="E331" i="3"/>
  <c r="E40" i="3"/>
  <c r="E362" i="3"/>
  <c r="E228" i="3"/>
  <c r="E314" i="3"/>
  <c r="E502" i="3"/>
  <c r="E334" i="3"/>
  <c r="E489" i="3"/>
  <c r="E325" i="3"/>
  <c r="E286" i="3"/>
  <c r="E396" i="3"/>
  <c r="E183" i="3"/>
  <c r="E216" i="3"/>
  <c r="E320" i="3"/>
  <c r="E392" i="3"/>
  <c r="E45" i="3"/>
  <c r="E373" i="3"/>
  <c r="E284" i="3"/>
  <c r="E42" i="3"/>
  <c r="T6" i="3"/>
  <c r="E181" i="3"/>
  <c r="E144" i="3"/>
  <c r="E269" i="3"/>
  <c r="E219" i="3"/>
  <c r="E338" i="3"/>
  <c r="E518" i="3"/>
  <c r="E515" i="3"/>
  <c r="E553" i="3"/>
  <c r="E273" i="3"/>
  <c r="E542" i="3"/>
  <c r="E254" i="3"/>
  <c r="E112" i="3"/>
  <c r="E341" i="3"/>
  <c r="E268" i="3"/>
  <c r="E316" i="3"/>
  <c r="E318" i="3"/>
  <c r="E380" i="3"/>
  <c r="E503" i="3"/>
  <c r="E476" i="3"/>
  <c r="E192" i="3"/>
  <c r="E114" i="3"/>
  <c r="E348" i="3"/>
  <c r="E93" i="3"/>
  <c r="E394" i="3"/>
  <c r="E55" i="3"/>
  <c r="E282" i="3"/>
  <c r="E570" i="3"/>
  <c r="E375" i="3"/>
  <c r="E83" i="3"/>
  <c r="E124" i="3"/>
  <c r="E215" i="3"/>
  <c r="E103" i="3"/>
  <c r="E62" i="3"/>
  <c r="E230" i="3"/>
  <c r="E143" i="3"/>
  <c r="E283" i="3"/>
  <c r="E443" i="3"/>
  <c r="E194" i="3"/>
  <c r="E78" i="3"/>
  <c r="E390" i="3"/>
  <c r="E296" i="3"/>
  <c r="E534" i="3"/>
  <c r="E387" i="3"/>
  <c r="R6" i="3"/>
  <c r="E125" i="3"/>
  <c r="P6" i="3"/>
  <c r="AP6" i="3"/>
  <c r="E431" i="3"/>
  <c r="E70" i="3"/>
  <c r="E151" i="3"/>
  <c r="E313" i="3"/>
  <c r="E53" i="3"/>
  <c r="E190" i="3"/>
  <c r="E233" i="3"/>
  <c r="E25" i="3"/>
  <c r="E258" i="3"/>
  <c r="E479" i="3"/>
  <c r="E276" i="3"/>
  <c r="E370" i="3"/>
  <c r="E526" i="3"/>
  <c r="E540" i="3"/>
  <c r="E134" i="3"/>
  <c r="AI6" i="3"/>
  <c r="E239" i="3"/>
  <c r="E128" i="3"/>
  <c r="E176" i="3"/>
  <c r="E554" i="3"/>
  <c r="K6" i="3"/>
  <c r="E50" i="3"/>
  <c r="E236" i="3"/>
  <c r="E474" i="3"/>
  <c r="E354" i="3"/>
  <c r="E531" i="3"/>
  <c r="E495" i="3"/>
  <c r="E344" i="3"/>
  <c r="E335" i="3"/>
  <c r="E366" i="3"/>
  <c r="E330" i="3"/>
  <c r="E350" i="3"/>
  <c r="E352" i="3"/>
  <c r="E138" i="3"/>
  <c r="E252" i="3"/>
  <c r="E544" i="3"/>
  <c r="E523" i="3"/>
  <c r="M6" i="3"/>
  <c r="E135" i="3"/>
  <c r="E206" i="3"/>
  <c r="E152" i="3"/>
  <c r="E459" i="3"/>
  <c r="E115" i="3"/>
  <c r="E457" i="3"/>
  <c r="E470" i="3"/>
  <c r="E321" i="3"/>
  <c r="E299" i="3"/>
  <c r="E424" i="3"/>
  <c r="Z6" i="3"/>
  <c r="E434" i="3"/>
  <c r="E535" i="3"/>
  <c r="E265" i="3"/>
  <c r="AM6" i="3"/>
  <c r="E337" i="3"/>
  <c r="E376" i="3"/>
  <c r="E294" i="3"/>
  <c r="E21" i="3"/>
  <c r="E140" i="3"/>
  <c r="E343" i="3"/>
  <c r="E142" i="3"/>
  <c r="E410" i="3"/>
  <c r="E468" i="3"/>
  <c r="E109" i="3"/>
  <c r="E185" i="3"/>
  <c r="E27" i="3"/>
  <c r="E412" i="3"/>
  <c r="E469" i="3"/>
  <c r="E293" i="3"/>
  <c r="E560" i="3"/>
  <c r="E111" i="3"/>
  <c r="E261" i="3"/>
  <c r="E166" i="3"/>
  <c r="O6" i="3"/>
  <c r="E204" i="3"/>
  <c r="E207" i="3"/>
  <c r="E196" i="3"/>
  <c r="E259" i="3"/>
  <c r="E308" i="3"/>
  <c r="E416" i="3"/>
  <c r="E160" i="3"/>
  <c r="E242" i="3"/>
  <c r="E133" i="3"/>
  <c r="E458" i="3"/>
  <c r="E29" i="3"/>
  <c r="E256" i="3"/>
  <c r="E491" i="3"/>
  <c r="E319" i="3"/>
  <c r="E456" i="3"/>
  <c r="E569" i="3"/>
  <c r="AJ6" i="3"/>
  <c r="E546" i="3"/>
  <c r="E15" i="3"/>
  <c r="E251" i="3"/>
  <c r="E56" i="3"/>
  <c r="E122" i="3"/>
  <c r="E208" i="3"/>
  <c r="E485" i="3"/>
  <c r="E483" i="3"/>
  <c r="E532" i="3"/>
  <c r="E340" i="3"/>
  <c r="E521" i="3"/>
  <c r="E130" i="3"/>
  <c r="E461" i="3"/>
  <c r="E328" i="3"/>
  <c r="E155" i="3"/>
  <c r="E346" i="3"/>
  <c r="E541" i="3"/>
  <c r="E86" i="3"/>
  <c r="E69" i="3"/>
  <c r="E22" i="3"/>
  <c r="E333" i="3"/>
  <c r="E46" i="3"/>
  <c r="E231" i="3"/>
  <c r="E195" i="3"/>
  <c r="X6" i="3"/>
  <c r="E186" i="3"/>
  <c r="E311" i="3"/>
  <c r="E388" i="3"/>
  <c r="E146" i="3"/>
  <c r="E520" i="3"/>
  <c r="E411" i="3"/>
  <c r="E59" i="3"/>
  <c r="E209" i="3"/>
  <c r="E295" i="3"/>
  <c r="E201" i="3"/>
  <c r="E274" i="3"/>
  <c r="E547" i="3"/>
  <c r="E33" i="3"/>
  <c r="E119" i="3"/>
  <c r="E97" i="3"/>
  <c r="E289" i="3"/>
  <c r="E425" i="3"/>
  <c r="E393" i="3"/>
  <c r="E480" i="3"/>
  <c r="E517" i="3"/>
  <c r="AQ6" i="3"/>
  <c r="E235" i="3"/>
  <c r="E120" i="3"/>
  <c r="E555" i="3"/>
  <c r="E499" i="3"/>
  <c r="E173" i="3"/>
  <c r="E260" i="3"/>
  <c r="E153" i="3"/>
  <c r="E14" i="3"/>
  <c r="E378" i="3"/>
  <c r="E342" i="3"/>
  <c r="E572" i="3"/>
  <c r="E227" i="3"/>
  <c r="E71" i="3"/>
  <c r="E382" i="3"/>
  <c r="E481" i="3"/>
  <c r="E413" i="3"/>
  <c r="E421" i="3"/>
  <c r="E391" i="3"/>
  <c r="E77" i="3"/>
  <c r="AK6" i="3"/>
  <c r="AN6" i="3"/>
  <c r="E464" i="3"/>
  <c r="E450" i="3"/>
  <c r="E492" i="3"/>
  <c r="E89" i="3"/>
  <c r="E170" i="3"/>
  <c r="E32" i="3"/>
  <c r="E447" i="3"/>
  <c r="Q6" i="3"/>
  <c r="E500" i="3"/>
  <c r="AE6" i="3"/>
  <c r="E113" i="3"/>
  <c r="E257" i="3"/>
  <c r="E39" i="3"/>
  <c r="E288" i="3"/>
  <c r="E88" i="3"/>
  <c r="E220" i="3"/>
  <c r="E453" i="3"/>
  <c r="E162" i="3"/>
  <c r="E229" i="3"/>
  <c r="E191" i="3"/>
  <c r="E355" i="3"/>
  <c r="E558" i="3"/>
  <c r="E436" i="3"/>
  <c r="E432" i="3"/>
  <c r="E339" i="3"/>
  <c r="E118" i="3"/>
  <c r="E364" i="3"/>
  <c r="E522" i="3"/>
  <c r="E516" i="3"/>
  <c r="E488" i="3"/>
  <c r="E240" i="3"/>
  <c r="E326" i="3"/>
  <c r="E68" i="3"/>
  <c r="E91" i="3"/>
  <c r="E263" i="3"/>
  <c r="E548" i="3"/>
  <c r="E149" i="3"/>
  <c r="E549" i="3"/>
  <c r="I3" i="6"/>
  <c r="E60" i="3"/>
  <c r="E178" i="3"/>
  <c r="E455" i="3"/>
  <c r="E272" i="3"/>
  <c r="E255" i="3"/>
  <c r="E145" i="3"/>
  <c r="E347" i="3"/>
  <c r="E285" i="3"/>
  <c r="E300" i="3"/>
  <c r="E177" i="3"/>
  <c r="E106" i="3"/>
  <c r="E226" i="3"/>
  <c r="E368" i="3"/>
  <c r="E504" i="3"/>
  <c r="E301" i="3"/>
  <c r="E356" i="3"/>
  <c r="E132" i="3"/>
  <c r="E31" i="3"/>
  <c r="E327" i="3"/>
  <c r="E552" i="3"/>
  <c r="E250" i="3"/>
  <c r="E270" i="3"/>
  <c r="E161" i="3"/>
  <c r="E249" i="3"/>
  <c r="E460" i="3"/>
  <c r="E463" i="3"/>
  <c r="E426" i="3"/>
  <c r="E75" i="3"/>
  <c r="J6" i="3"/>
  <c r="E438" i="3"/>
  <c r="E363" i="3"/>
  <c r="E401" i="3"/>
  <c r="E203" i="3"/>
  <c r="E417" i="3"/>
  <c r="E279" i="3"/>
  <c r="E400" i="3"/>
  <c r="E197" i="3"/>
  <c r="E529" i="3"/>
  <c r="E538" i="3"/>
  <c r="E217" i="3"/>
  <c r="E307" i="3"/>
  <c r="E210" i="3"/>
  <c r="E169" i="3"/>
  <c r="AL6" i="3"/>
  <c r="E510" i="3"/>
  <c r="E406" i="3"/>
  <c r="E137" i="3"/>
  <c r="E484" i="3"/>
  <c r="AO6" i="3"/>
  <c r="E147" i="3"/>
  <c r="E437" i="3"/>
  <c r="E359" i="3"/>
  <c r="E349" i="3"/>
  <c r="E222" i="3"/>
  <c r="E430" i="3"/>
  <c r="E454" i="3"/>
  <c r="E446" i="3"/>
  <c r="AA6" i="3"/>
  <c r="E262" i="3"/>
  <c r="E157" i="3"/>
  <c r="E292" i="3"/>
  <c r="E48" i="3"/>
  <c r="E402" i="3"/>
  <c r="E433" i="3"/>
  <c r="E530" i="3"/>
  <c r="E90" i="3"/>
  <c r="E351" i="3"/>
  <c r="E244" i="3"/>
  <c r="E241" i="3"/>
  <c r="E117" i="3"/>
  <c r="E127" i="3"/>
  <c r="E164" i="3"/>
  <c r="E163" i="3"/>
  <c r="E353" i="3"/>
  <c r="E148" i="3"/>
  <c r="E159" i="3"/>
  <c r="E508" i="3"/>
  <c r="S6" i="3"/>
  <c r="E564" i="3"/>
  <c r="E399" i="3"/>
  <c r="E494" i="3"/>
  <c r="E13" i="3"/>
  <c r="E175" i="3"/>
  <c r="E557" i="3"/>
  <c r="E559" i="3"/>
  <c r="W6" i="3"/>
  <c r="I6" i="3"/>
  <c r="E556" i="3"/>
  <c r="E486" i="3"/>
  <c r="E565" i="3"/>
  <c r="E566" i="3"/>
  <c r="E562" i="3"/>
  <c r="E369" i="3"/>
  <c r="E506" i="3"/>
  <c r="E497" i="3"/>
  <c r="E389" i="3"/>
  <c r="E167" i="3"/>
  <c r="E567" i="3"/>
  <c r="E198" i="3"/>
  <c r="E324" i="3"/>
  <c r="E519" i="3"/>
  <c r="AH6" i="3"/>
  <c r="E357" i="3"/>
  <c r="E563" i="3"/>
  <c r="AD6" i="3"/>
  <c r="E361" i="3"/>
  <c r="E360" i="3"/>
  <c r="E550" i="3"/>
  <c r="E496" i="3"/>
  <c r="E568" i="3"/>
  <c r="E171" i="3"/>
  <c r="E498" i="3"/>
  <c r="E571" i="3"/>
  <c r="E536" i="3"/>
  <c r="E16" i="6"/>
  <c r="E58" i="40"/>
  <c r="E63" i="39"/>
  <c r="E104" i="3"/>
  <c r="E23" i="3"/>
  <c r="E61" i="3"/>
  <c r="R49" i="33"/>
  <c r="E48" i="33"/>
  <c r="E528" i="3"/>
  <c r="E280" i="3"/>
  <c r="C7" i="59"/>
  <c r="D8" i="59"/>
  <c r="AZ5" i="3"/>
  <c r="E383" i="3"/>
  <c r="E150" i="3"/>
  <c r="E58" i="3"/>
  <c r="E52" i="3"/>
  <c r="E96" i="3"/>
  <c r="E386" i="3"/>
  <c r="E87" i="3"/>
  <c r="H7" i="34"/>
  <c r="G36" i="46"/>
  <c r="I36" i="46"/>
  <c r="E36" i="46"/>
  <c r="G39" i="46"/>
  <c r="I39" i="46"/>
  <c r="E39" i="46"/>
  <c r="E35" i="46"/>
  <c r="G35" i="46"/>
  <c r="I35" i="46"/>
  <c r="E37" i="46"/>
  <c r="G37" i="46"/>
  <c r="I37" i="46"/>
  <c r="G33" i="46"/>
  <c r="I33" i="46"/>
  <c r="E33" i="46"/>
  <c r="C30" i="46"/>
  <c r="E30" i="46"/>
  <c r="E29" i="46"/>
  <c r="G38" i="46"/>
  <c r="I38" i="46"/>
  <c r="E38" i="46"/>
  <c r="E34" i="46"/>
  <c r="G34" i="46"/>
  <c r="I34" i="46"/>
  <c r="J18" i="15"/>
  <c r="J5" i="15"/>
  <c r="C52" i="15"/>
  <c r="C10" i="15"/>
  <c r="C5" i="15"/>
  <c r="AE7" i="1"/>
  <c r="F41" i="71"/>
  <c r="F7" i="67"/>
  <c r="L52" i="44"/>
  <c r="J26" i="71"/>
  <c r="J29" i="71"/>
  <c r="U12" i="39"/>
  <c r="F68" i="71"/>
  <c r="C47" i="71"/>
  <c r="C59" i="71"/>
  <c r="F26" i="44"/>
  <c r="C26" i="44"/>
  <c r="F24" i="71"/>
  <c r="C38" i="71"/>
  <c r="C47" i="15"/>
  <c r="C65" i="15"/>
  <c r="H6" i="3"/>
  <c r="AB12" i="40"/>
  <c r="AC12" i="40"/>
  <c r="AC6" i="3"/>
  <c r="S12" i="39"/>
  <c r="C19" i="11"/>
  <c r="C20" i="11"/>
  <c r="C21" i="11"/>
  <c r="C22" i="11"/>
  <c r="C23" i="11"/>
  <c r="B2" i="11"/>
  <c r="S12" i="40"/>
  <c r="F26" i="12"/>
  <c r="C27" i="12"/>
  <c r="D26" i="12"/>
  <c r="C32" i="12"/>
  <c r="D30" i="12"/>
  <c r="F24" i="15"/>
  <c r="C24" i="15"/>
  <c r="F21" i="43"/>
  <c r="C23" i="43"/>
  <c r="D21" i="43"/>
  <c r="F65" i="40"/>
  <c r="E67" i="40"/>
  <c r="E72" i="39"/>
  <c r="F70" i="39"/>
  <c r="C48" i="33"/>
  <c r="C49" i="33"/>
  <c r="B3" i="33"/>
  <c r="B2" i="33"/>
  <c r="AB7" i="34"/>
  <c r="T49" i="34"/>
  <c r="G49" i="34"/>
  <c r="U7" i="34"/>
  <c r="E52" i="33"/>
  <c r="F52" i="33"/>
  <c r="E53" i="33"/>
  <c r="F53" i="33"/>
  <c r="D22" i="59"/>
  <c r="T22" i="59"/>
  <c r="I53" i="34"/>
  <c r="J53" i="34"/>
  <c r="K22" i="6"/>
  <c r="M22" i="6"/>
  <c r="I22" i="6"/>
  <c r="S22" i="6"/>
  <c r="K23" i="6"/>
  <c r="M23" i="6"/>
  <c r="I23" i="6"/>
  <c r="S23" i="6"/>
  <c r="K14" i="1"/>
  <c r="E30" i="6"/>
  <c r="E31" i="6"/>
  <c r="K19" i="6"/>
  <c r="S6" i="1"/>
  <c r="K21" i="6"/>
  <c r="K20" i="6"/>
  <c r="K24" i="6"/>
  <c r="M24" i="6"/>
  <c r="I24" i="6"/>
  <c r="S24" i="6"/>
  <c r="K26" i="6"/>
  <c r="M26" i="6"/>
  <c r="I26" i="6"/>
  <c r="S26" i="6"/>
  <c r="K25" i="6"/>
  <c r="M25" i="6"/>
  <c r="I25" i="6"/>
  <c r="S25" i="6"/>
  <c r="C36" i="36"/>
  <c r="C37" i="36"/>
  <c r="B3" i="36"/>
  <c r="B2" i="36"/>
  <c r="D7" i="59"/>
  <c r="C6" i="59"/>
  <c r="C42" i="37"/>
  <c r="C43" i="37"/>
  <c r="B3" i="37"/>
  <c r="B2" i="37"/>
  <c r="E41" i="36"/>
  <c r="F41" i="36"/>
  <c r="E40" i="36"/>
  <c r="F40" i="36"/>
  <c r="F7" i="21"/>
  <c r="E46" i="37"/>
  <c r="F46" i="37"/>
  <c r="E47" i="37"/>
  <c r="F47" i="37"/>
  <c r="I41" i="36"/>
  <c r="J41" i="36"/>
  <c r="I53" i="33"/>
  <c r="J53" i="33"/>
  <c r="C39" i="35"/>
  <c r="B3" i="35"/>
  <c r="B2" i="35"/>
  <c r="C38" i="35"/>
  <c r="J7" i="44"/>
  <c r="AY6" i="3"/>
  <c r="E3" i="6"/>
  <c r="T26" i="59"/>
  <c r="D26" i="59"/>
  <c r="R50" i="34"/>
  <c r="E49" i="34"/>
  <c r="J7" i="21"/>
  <c r="E42" i="35"/>
  <c r="F42" i="35"/>
  <c r="E43" i="35"/>
  <c r="F43" i="35"/>
  <c r="H7" i="21"/>
  <c r="E4" i="67"/>
  <c r="C26" i="46"/>
  <c r="C27" i="46"/>
  <c r="Q69" i="44"/>
  <c r="L58" i="44"/>
  <c r="L61" i="44"/>
  <c r="L47" i="44"/>
  <c r="J26" i="15"/>
  <c r="J29" i="15"/>
  <c r="J24" i="15"/>
  <c r="C38" i="15"/>
  <c r="E7" i="67"/>
  <c r="J33" i="21"/>
  <c r="F33" i="21"/>
  <c r="H33" i="21"/>
  <c r="C65" i="71"/>
  <c r="C60" i="71"/>
  <c r="C24" i="71"/>
  <c r="C59" i="15"/>
  <c r="M20" i="6"/>
  <c r="I20" i="6"/>
  <c r="S20" i="6"/>
  <c r="S7" i="1"/>
  <c r="M21" i="6"/>
  <c r="I21" i="6"/>
  <c r="S21" i="6"/>
  <c r="S8" i="1"/>
  <c r="E6" i="3"/>
  <c r="F72" i="39"/>
  <c r="G70" i="39"/>
  <c r="F67" i="40"/>
  <c r="G65" i="40"/>
  <c r="AC7" i="21"/>
  <c r="W7" i="21"/>
  <c r="J28" i="44"/>
  <c r="J31" i="44"/>
  <c r="J26" i="44"/>
  <c r="S7" i="21"/>
  <c r="AA7" i="21"/>
  <c r="K27" i="6"/>
  <c r="M19" i="6"/>
  <c r="G53" i="34"/>
  <c r="H53" i="34"/>
  <c r="G54" i="34"/>
  <c r="H54" i="34"/>
  <c r="AB7" i="21"/>
  <c r="U7" i="21"/>
  <c r="E54" i="34"/>
  <c r="F54" i="34"/>
  <c r="E53" i="34"/>
  <c r="F53" i="34"/>
  <c r="D16" i="43"/>
  <c r="C16" i="43"/>
  <c r="E6" i="6"/>
  <c r="L38" i="9"/>
  <c r="B14" i="66"/>
  <c r="D10" i="11"/>
  <c r="D16" i="12"/>
  <c r="C21" i="4"/>
  <c r="O5" i="54"/>
  <c r="B45" i="63"/>
  <c r="D46" i="9"/>
  <c r="D45" i="9"/>
  <c r="I54" i="34"/>
  <c r="J54" i="34"/>
  <c r="B3" i="11"/>
  <c r="C49" i="34"/>
  <c r="C50" i="34"/>
  <c r="B3" i="34"/>
  <c r="B2" i="34"/>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82" i="3"/>
  <c r="AY97" i="3"/>
  <c r="AY58" i="3"/>
  <c r="AY128" i="3"/>
  <c r="AY77" i="3"/>
  <c r="AY100" i="3"/>
  <c r="AY182" i="3"/>
  <c r="AY57" i="3"/>
  <c r="AY118" i="3"/>
  <c r="AY264" i="3"/>
  <c r="AY349" i="3"/>
  <c r="AY416" i="3"/>
  <c r="AY479" i="3"/>
  <c r="AY149" i="3"/>
  <c r="AY250" i="3"/>
  <c r="AY364" i="3"/>
  <c r="AY463" i="3"/>
  <c r="AY141" i="3"/>
  <c r="AY238" i="3"/>
  <c r="AY372" i="3"/>
  <c r="AY459" i="3"/>
  <c r="AY115" i="3"/>
  <c r="AY376" i="3"/>
  <c r="AY400" i="3"/>
  <c r="AY230" i="3"/>
  <c r="AY450" i="3"/>
  <c r="AY272" i="3"/>
  <c r="AY420" i="3"/>
  <c r="AY412" i="3"/>
  <c r="AY442" i="3"/>
  <c r="AY157" i="3"/>
  <c r="AY330" i="3"/>
  <c r="AY99" i="3"/>
  <c r="AY516" i="3"/>
  <c r="AY191" i="3"/>
  <c r="AY150" i="3"/>
  <c r="AY333" i="3"/>
  <c r="AY414" i="3"/>
  <c r="AY280" i="3"/>
  <c r="AY123" i="3"/>
  <c r="AY227" i="3"/>
  <c r="BS6" i="3"/>
  <c r="AY341" i="3"/>
  <c r="AY266" i="3"/>
  <c r="AY282" i="3"/>
  <c r="AY465" i="3"/>
  <c r="AY193" i="3"/>
  <c r="AY24" i="3"/>
  <c r="AY428"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421" i="3"/>
  <c r="AY110" i="3"/>
  <c r="AY487" i="3"/>
  <c r="BM6" i="3"/>
  <c r="AY454" i="3"/>
  <c r="AY539" i="3"/>
  <c r="AY18" i="3"/>
  <c r="AY48" i="3"/>
  <c r="BB6" i="3"/>
  <c r="AY451" i="3"/>
  <c r="AY237" i="3"/>
  <c r="AY338" i="3"/>
  <c r="AY444" i="3"/>
  <c r="AY306" i="3"/>
  <c r="AY243" i="3"/>
  <c r="AY196" i="3"/>
  <c r="AY541" i="3"/>
  <c r="AY466" i="3"/>
  <c r="AY521" i="3"/>
  <c r="AY477" i="3"/>
  <c r="AY441" i="3"/>
  <c r="AY508" i="3"/>
  <c r="AY530" i="3"/>
  <c r="AY80" i="3"/>
  <c r="AY41" i="3"/>
  <c r="AY198" i="3"/>
  <c r="AY179" i="3"/>
  <c r="AY504" i="3"/>
  <c r="AY73" i="3"/>
  <c r="AY126" i="3"/>
  <c r="AY175" i="3"/>
  <c r="AY262" i="3"/>
  <c r="AY209" i="3"/>
  <c r="AY467" i="3"/>
  <c r="AY397" i="3"/>
  <c r="AY55" i="3"/>
  <c r="AY139" i="3"/>
  <c r="AY379" i="3"/>
  <c r="AY560" i="3"/>
  <c r="AY70" i="3"/>
  <c r="AY135" i="3"/>
  <c r="AY310" i="3"/>
  <c r="BK6" i="3"/>
  <c r="AY62" i="3"/>
  <c r="AY226" i="3"/>
  <c r="AY435" i="3"/>
  <c r="AY155" i="3"/>
  <c r="AY340" i="3"/>
  <c r="AY132" i="3"/>
  <c r="AY307" i="3"/>
  <c r="AY405" i="3"/>
  <c r="AY188" i="3"/>
  <c r="AY201" i="3"/>
  <c r="AY572" i="3"/>
  <c r="AY528" i="3"/>
  <c r="AY449" i="3"/>
  <c r="AY103" i="3"/>
  <c r="AY36" i="3"/>
  <c r="AY275" i="3"/>
  <c r="AY432" i="3"/>
  <c r="AY117" i="3"/>
  <c r="AY304" i="3"/>
  <c r="AY172" i="3"/>
  <c r="AY337" i="3"/>
  <c r="AY120" i="3"/>
  <c r="AY394" i="3"/>
  <c r="AY76" i="3"/>
  <c r="AY14" i="3"/>
  <c r="AY544" i="3"/>
  <c r="AY86" i="3"/>
  <c r="BN6" i="3"/>
  <c r="AY494" i="3"/>
  <c r="AY42" i="3"/>
  <c r="AY145" i="3"/>
  <c r="AY290" i="3"/>
  <c r="AY392" i="3"/>
  <c r="AY233" i="3"/>
  <c r="AY569" i="3"/>
  <c r="AY288" i="3"/>
  <c r="AY520" i="3"/>
  <c r="AY283" i="3"/>
  <c r="AY162" i="3"/>
  <c r="AY184" i="3"/>
  <c r="AY396" i="3"/>
  <c r="AY303" i="3"/>
  <c r="AY531" i="3"/>
  <c r="AY239" i="3"/>
  <c r="AY552" i="3"/>
  <c r="AY244" i="3"/>
  <c r="AY152" i="3"/>
  <c r="AY519" i="3"/>
  <c r="AY199" i="3"/>
  <c r="AY417" i="3"/>
  <c r="BF6" i="3"/>
  <c r="AY351" i="3"/>
  <c r="AY492" i="3"/>
  <c r="AY484" i="3"/>
  <c r="AY63" i="3"/>
  <c r="BR6" i="3"/>
  <c r="AY68" i="3"/>
  <c r="AY440" i="3"/>
  <c r="AY327" i="3"/>
  <c r="D3" i="6"/>
  <c r="AY67" i="3"/>
  <c r="AY142" i="3"/>
  <c r="AY83" i="3"/>
  <c r="AY31" i="3"/>
  <c r="AY232" i="3"/>
  <c r="AY425" i="3"/>
  <c r="AY181" i="3"/>
  <c r="AY326" i="3"/>
  <c r="AY169" i="3"/>
  <c r="AY350" i="3"/>
  <c r="AY269" i="3"/>
  <c r="AY30" i="3"/>
  <c r="AY101" i="3"/>
  <c r="AY457" i="3"/>
  <c r="AY143" i="3"/>
  <c r="AY501" i="3"/>
  <c r="AY13" i="3"/>
  <c r="AY246" i="3"/>
  <c r="AY28" i="3"/>
  <c r="AY38" i="3"/>
  <c r="AY25" i="3"/>
  <c r="AY359" i="3"/>
  <c r="AY378" i="3"/>
  <c r="AY431" i="3"/>
  <c r="AY64" i="3"/>
  <c r="AY248" i="3"/>
  <c r="AY176" i="3"/>
  <c r="AY148" i="3"/>
  <c r="AY249" i="3"/>
  <c r="AY22" i="3"/>
  <c r="AY221" i="3"/>
  <c r="AY137" i="3"/>
  <c r="AY140" i="3"/>
  <c r="AY489" i="3"/>
  <c r="AY480" i="3"/>
  <c r="AY222" i="3"/>
  <c r="AY15" i="3"/>
  <c r="AY223" i="3"/>
  <c r="AY357" i="3"/>
  <c r="AY567" i="3"/>
  <c r="AY495" i="3"/>
  <c r="AY192" i="3"/>
  <c r="AY410" i="3"/>
  <c r="AY289" i="3"/>
  <c r="AY455" i="3"/>
  <c r="AY502" i="3"/>
  <c r="AY205" i="3"/>
  <c r="AY571" i="3"/>
  <c r="AY554" i="3"/>
  <c r="AY391" i="3"/>
  <c r="AY566" i="3"/>
  <c r="AY568" i="3"/>
  <c r="AY296" i="3"/>
  <c r="AY173" i="3"/>
  <c r="AY522" i="3"/>
  <c r="AY261" i="3"/>
  <c r="AY426" i="3"/>
  <c r="AY301" i="3"/>
  <c r="AY439" i="3"/>
  <c r="AY354" i="3"/>
  <c r="AY121" i="3"/>
  <c r="AY486" i="3"/>
  <c r="AY109" i="3"/>
  <c r="AY95" i="3"/>
  <c r="AY136" i="3"/>
  <c r="AY384" i="3"/>
  <c r="AY402" i="3"/>
  <c r="AY381" i="3"/>
  <c r="AY398" i="3"/>
  <c r="AY265" i="3"/>
  <c r="AY550" i="3"/>
  <c r="AY241" i="3"/>
  <c r="AY161" i="3"/>
  <c r="AY122" i="3"/>
  <c r="AY555" i="3"/>
  <c r="AY43" i="3"/>
  <c r="AY91" i="3"/>
  <c r="AY52" i="3"/>
  <c r="AY216" i="3"/>
  <c r="AY183" i="3"/>
  <c r="AY254" i="3"/>
  <c r="AY156" i="3"/>
  <c r="BH6" i="3"/>
  <c r="AY273" i="3"/>
  <c r="AY160" i="3"/>
  <c r="AY309" i="3"/>
  <c r="AY219" i="3"/>
  <c r="AY206" i="3"/>
  <c r="AY561" i="3"/>
  <c r="AY211" i="3"/>
  <c r="AY360" i="3"/>
  <c r="AY407" i="3"/>
  <c r="AY458" i="3"/>
  <c r="AY553" i="3"/>
  <c r="AY186" i="3"/>
  <c r="AY385" i="3"/>
  <c r="AY344" i="3"/>
  <c r="AY563" i="3"/>
  <c r="AY276" i="3"/>
  <c r="AY534" i="3"/>
  <c r="AY478" i="3"/>
  <c r="AY339" i="3"/>
  <c r="AY512" i="3"/>
  <c r="AY125" i="3"/>
  <c r="AY331" i="3"/>
  <c r="AY298" i="3"/>
  <c r="AY514" i="3"/>
  <c r="AY423" i="3"/>
  <c r="AY532" i="3"/>
  <c r="AY212" i="3"/>
  <c r="AY61" i="3"/>
  <c r="AY54" i="3"/>
  <c r="AY312" i="3"/>
  <c r="AY79" i="3"/>
  <c r="AY33" i="3"/>
  <c r="AY551" i="3"/>
  <c r="AY570" i="3"/>
  <c r="AY496" i="3"/>
  <c r="AY482" i="3"/>
  <c r="AY452" i="3"/>
  <c r="AY87" i="3"/>
  <c r="AY203" i="3"/>
  <c r="AY105" i="3"/>
  <c r="AY144" i="3"/>
  <c r="AY277" i="3"/>
  <c r="AY317" i="3"/>
  <c r="AY49" i="3"/>
  <c r="AY286" i="3"/>
  <c r="AY65" i="3"/>
  <c r="AY294" i="3"/>
  <c r="AY72" i="3"/>
  <c r="AY346" i="3"/>
  <c r="AY302" i="3"/>
  <c r="AY382" i="3"/>
  <c r="AY429" i="3"/>
  <c r="AY543" i="3"/>
  <c r="AY236" i="3"/>
  <c r="AY204" i="3"/>
  <c r="AY556" i="3"/>
  <c r="AY374" i="3"/>
  <c r="AY257" i="3"/>
  <c r="AY424" i="3"/>
  <c r="AY321" i="3"/>
  <c r="AY493" i="3"/>
  <c r="BD6" i="3"/>
  <c r="AY34" i="3"/>
  <c r="AY443" i="3"/>
  <c r="AY329" i="3"/>
  <c r="AY318" i="3"/>
  <c r="AY446" i="3"/>
  <c r="BQ6" i="3"/>
  <c r="AY127" i="3"/>
  <c r="AY500" i="3"/>
  <c r="BP6" i="3"/>
  <c r="AY66" i="3"/>
  <c r="AY287" i="3"/>
  <c r="AY358" i="3"/>
  <c r="AY505" i="3"/>
  <c r="AY497" i="3"/>
  <c r="AY235" i="3"/>
  <c r="AY401" i="3"/>
  <c r="AY267" i="3"/>
  <c r="AY387" i="3"/>
  <c r="AY434" i="3"/>
  <c r="AY93" i="3"/>
  <c r="AY213" i="3"/>
  <c r="AY362" i="3"/>
  <c r="AY252" i="3"/>
  <c r="AY509" i="3"/>
  <c r="AY499" i="3"/>
  <c r="AY507" i="3"/>
  <c r="AY488" i="3"/>
  <c r="AY251" i="3"/>
  <c r="AY353" i="3"/>
  <c r="AY59" i="3"/>
  <c r="AY134" i="3"/>
  <c r="BG6" i="3"/>
  <c r="AY373" i="3"/>
  <c r="AY167" i="3"/>
  <c r="AY180" i="3"/>
  <c r="BE6" i="3"/>
  <c r="AY491" i="3"/>
  <c r="AY37" i="3"/>
  <c r="AY159" i="3"/>
  <c r="AY537" i="3"/>
  <c r="AY45" i="3"/>
  <c r="AY234" i="3"/>
  <c r="AY448" i="3"/>
  <c r="AY202" i="3"/>
  <c r="AY343" i="3"/>
  <c r="AY178" i="3"/>
  <c r="AY348" i="3"/>
  <c r="AY50" i="3"/>
  <c r="AY389" i="3"/>
  <c r="AY542" i="3"/>
  <c r="AY305" i="3"/>
  <c r="BC6" i="3"/>
  <c r="AY308" i="3"/>
  <c r="AY481" i="3"/>
  <c r="AY274" i="3"/>
  <c r="AY408" i="3"/>
  <c r="AY311" i="3"/>
  <c r="AY558" i="3"/>
  <c r="AY197" i="3"/>
  <c r="AY437" i="3"/>
  <c r="AY27" i="3"/>
  <c r="AY526" i="3"/>
  <c r="AY158" i="3"/>
  <c r="AY96" i="3"/>
  <c r="AY44" i="3"/>
  <c r="BA6" i="3"/>
  <c r="AY225" i="3"/>
  <c r="AY406" i="3"/>
  <c r="AY32" i="3"/>
  <c r="AY565" i="3"/>
  <c r="AY461" i="3"/>
  <c r="AY242" i="3"/>
  <c r="AY90" i="3"/>
  <c r="AY220" i="3"/>
  <c r="AY190" i="3"/>
  <c r="AY84" i="3"/>
  <c r="AY436" i="3"/>
  <c r="AY557" i="3"/>
  <c r="AY545" i="3"/>
  <c r="AY433" i="3"/>
  <c r="AY313" i="3"/>
  <c r="AY334" i="3"/>
  <c r="AY270" i="3"/>
  <c r="AY403" i="3"/>
  <c r="AY260" i="3"/>
  <c r="AY228" i="3"/>
  <c r="AY564" i="3"/>
  <c r="AY215" i="3"/>
  <c r="AY23" i="3"/>
  <c r="AY284" i="3"/>
  <c r="AY419" i="3"/>
  <c r="AY473" i="3"/>
  <c r="AY165" i="3"/>
  <c r="AY255" i="3"/>
  <c r="AY474" i="3"/>
  <c r="AY47" i="3"/>
  <c r="AY114" i="3"/>
  <c r="AY404" i="3"/>
  <c r="AY540" i="3"/>
  <c r="AY460" i="3"/>
  <c r="AY292" i="3"/>
  <c r="C5" i="59"/>
  <c r="D5" i="59"/>
  <c r="D6" i="59"/>
  <c r="M20" i="46"/>
  <c r="M14" i="1"/>
  <c r="K16" i="1"/>
  <c r="E3" i="67"/>
  <c r="B2" i="46"/>
  <c r="Q68" i="44"/>
  <c r="Q59" i="44"/>
  <c r="C19" i="44"/>
  <c r="C17" i="15"/>
  <c r="C17" i="71"/>
  <c r="B7" i="67"/>
  <c r="S33" i="21"/>
  <c r="AA33" i="21"/>
  <c r="R48" i="21"/>
  <c r="AB33" i="21"/>
  <c r="T48" i="21"/>
  <c r="G48" i="21"/>
  <c r="U33" i="21"/>
  <c r="W33" i="21"/>
  <c r="AC33" i="21"/>
  <c r="V48" i="21"/>
  <c r="I48" i="21"/>
  <c r="I52" i="21"/>
  <c r="J52" i="21"/>
  <c r="S16" i="1"/>
  <c r="T8" i="1"/>
  <c r="H65" i="40"/>
  <c r="G67" i="40"/>
  <c r="H70" i="39"/>
  <c r="G72" i="39"/>
  <c r="D19" i="12"/>
  <c r="C19" i="12"/>
  <c r="C16" i="12"/>
  <c r="D22" i="12"/>
  <c r="C22" i="12"/>
  <c r="C20" i="12"/>
  <c r="D13" i="11"/>
  <c r="C13" i="11"/>
  <c r="I19" i="6"/>
  <c r="H19" i="6"/>
  <c r="M27" i="6"/>
  <c r="O14" i="1"/>
  <c r="O16" i="1"/>
  <c r="T12" i="1"/>
  <c r="M16" i="1"/>
  <c r="D21" i="6"/>
  <c r="H21" i="6"/>
  <c r="D14" i="6"/>
  <c r="H23" i="6"/>
  <c r="E68" i="39"/>
  <c r="D24" i="6"/>
  <c r="D11" i="6"/>
  <c r="D9" i="6"/>
  <c r="D15" i="6"/>
  <c r="D25" i="6"/>
  <c r="D6" i="6"/>
  <c r="D8" i="6"/>
  <c r="K38" i="9"/>
  <c r="C14" i="66"/>
  <c r="H25" i="6"/>
  <c r="H26" i="6"/>
  <c r="D19" i="6"/>
  <c r="D23" i="6"/>
  <c r="D26" i="6"/>
  <c r="D5" i="6"/>
  <c r="F46" i="9"/>
  <c r="E63" i="40"/>
  <c r="D13" i="6"/>
  <c r="D20" i="6"/>
  <c r="D12" i="6"/>
  <c r="H22" i="6"/>
  <c r="H24" i="6"/>
  <c r="D10" i="6"/>
  <c r="D28" i="6"/>
  <c r="D22" i="6"/>
  <c r="D29" i="6"/>
  <c r="C22" i="4"/>
  <c r="E45" i="9"/>
  <c r="H20" i="6"/>
  <c r="F45" i="9"/>
  <c r="E46" i="9"/>
  <c r="B5" i="11"/>
  <c r="B4" i="11"/>
  <c r="Q49" i="44"/>
  <c r="Q55" i="44"/>
  <c r="Q58" i="44"/>
  <c r="Q64" i="44"/>
  <c r="Q67" i="44"/>
  <c r="Q77" i="44"/>
  <c r="B2" i="67"/>
  <c r="D4" i="46"/>
  <c r="B3" i="46"/>
  <c r="B4" i="46"/>
  <c r="C16" i="44"/>
  <c r="C14" i="15"/>
  <c r="R49" i="21"/>
  <c r="C48" i="21"/>
  <c r="E48" i="21"/>
  <c r="E53" i="21"/>
  <c r="F53" i="21"/>
  <c r="G53" i="21"/>
  <c r="H53" i="21"/>
  <c r="G52" i="21"/>
  <c r="H52" i="21"/>
  <c r="T9" i="1"/>
  <c r="T13" i="1"/>
  <c r="T11" i="1"/>
  <c r="T6" i="1"/>
  <c r="T10" i="1"/>
  <c r="T7" i="1"/>
  <c r="J59" i="71"/>
  <c r="J60" i="71"/>
  <c r="Q49" i="71"/>
  <c r="H27" i="6"/>
  <c r="R22" i="6"/>
  <c r="D16" i="6"/>
  <c r="D30" i="6"/>
  <c r="R26" i="6"/>
  <c r="I70" i="39"/>
  <c r="H72" i="39"/>
  <c r="H67" i="40"/>
  <c r="I65" i="40"/>
  <c r="C18" i="15"/>
  <c r="C15" i="15"/>
  <c r="C20" i="44"/>
  <c r="C17" i="44"/>
  <c r="R20" i="6"/>
  <c r="R7" i="1"/>
  <c r="R23" i="6"/>
  <c r="R21" i="6"/>
  <c r="R8" i="1"/>
  <c r="P14" i="1"/>
  <c r="P16" i="1"/>
  <c r="C13" i="12"/>
  <c r="A6" i="51"/>
  <c r="B7" i="63"/>
  <c r="N5" i="54"/>
  <c r="B43" i="63"/>
  <c r="A6" i="64"/>
  <c r="A20" i="64"/>
  <c r="A20" i="51"/>
  <c r="B15" i="63"/>
  <c r="I27" i="6"/>
  <c r="S19" i="6"/>
  <c r="S27" i="6"/>
  <c r="R19" i="6"/>
  <c r="D27" i="6"/>
  <c r="D31" i="6"/>
  <c r="L16" i="1"/>
  <c r="C13" i="43"/>
  <c r="N16" i="1"/>
  <c r="C29" i="43"/>
  <c r="R25" i="6"/>
  <c r="R24" i="6"/>
  <c r="B3" i="67"/>
  <c r="B4" i="67"/>
  <c r="F35" i="15"/>
  <c r="M21" i="15"/>
  <c r="C14" i="71"/>
  <c r="F37" i="44"/>
  <c r="M21" i="71"/>
  <c r="M23" i="44"/>
  <c r="F35" i="71"/>
  <c r="I53" i="21"/>
  <c r="J53" i="21"/>
  <c r="C49" i="21"/>
  <c r="B3" i="21"/>
  <c r="B2" i="21"/>
  <c r="C10" i="12"/>
  <c r="E52" i="21"/>
  <c r="F52" i="21"/>
  <c r="T16" i="1"/>
  <c r="C18" i="71"/>
  <c r="C15" i="71"/>
  <c r="C36" i="44"/>
  <c r="J22" i="44"/>
  <c r="J20" i="15"/>
  <c r="C34" i="15"/>
  <c r="F62" i="15"/>
  <c r="C61" i="15"/>
  <c r="F62" i="71"/>
  <c r="C61" i="71"/>
  <c r="C58" i="71"/>
  <c r="C34" i="71"/>
  <c r="C31" i="71"/>
  <c r="J20" i="71"/>
  <c r="L46" i="71"/>
  <c r="R27" i="6"/>
  <c r="R6" i="1"/>
  <c r="R16" i="1"/>
  <c r="C19" i="15"/>
  <c r="C20" i="15"/>
  <c r="C26" i="15"/>
  <c r="C21" i="44"/>
  <c r="C22" i="44"/>
  <c r="C25" i="44"/>
  <c r="J65" i="40"/>
  <c r="I67" i="40"/>
  <c r="I72" i="39"/>
  <c r="J70" i="39"/>
  <c r="I6" i="6"/>
  <c r="I5" i="6"/>
  <c r="C14" i="43"/>
  <c r="C17" i="43"/>
  <c r="C17" i="12"/>
  <c r="C14" i="12"/>
  <c r="C8" i="12"/>
  <c r="C19" i="71"/>
  <c r="C20" i="71"/>
  <c r="C26" i="71"/>
  <c r="K70" i="39"/>
  <c r="J72" i="39"/>
  <c r="C28" i="44"/>
  <c r="C31" i="44"/>
  <c r="K65" i="40"/>
  <c r="J67" i="40"/>
  <c r="C23" i="15"/>
  <c r="C29" i="15"/>
  <c r="J14" i="15"/>
  <c r="C18" i="12"/>
  <c r="C18" i="43"/>
  <c r="C23" i="71"/>
  <c r="C29" i="71"/>
  <c r="J19" i="71"/>
  <c r="J17" i="71"/>
  <c r="Q50" i="15"/>
  <c r="J19" i="15"/>
  <c r="J17" i="15"/>
  <c r="C13" i="15"/>
  <c r="C55" i="15"/>
  <c r="C64" i="15"/>
  <c r="J59" i="15"/>
  <c r="J60" i="15"/>
  <c r="Q49" i="15"/>
  <c r="Q51" i="44"/>
  <c r="C15" i="44"/>
  <c r="Q72" i="44"/>
  <c r="J21" i="44"/>
  <c r="J19" i="44"/>
  <c r="C35" i="44"/>
  <c r="C33" i="44"/>
  <c r="C38" i="44"/>
  <c r="J16" i="44"/>
  <c r="J24" i="44"/>
  <c r="C33" i="15"/>
  <c r="C31" i="15"/>
  <c r="K67" i="40"/>
  <c r="L65" i="40"/>
  <c r="L70" i="39"/>
  <c r="K72" i="39"/>
  <c r="C36" i="15"/>
  <c r="C56" i="15"/>
  <c r="C60" i="15"/>
  <c r="C58" i="15"/>
  <c r="C19" i="43"/>
  <c r="C25" i="43"/>
  <c r="C24" i="43"/>
  <c r="C23" i="12"/>
  <c r="J22" i="15"/>
  <c r="J13" i="15"/>
  <c r="J23" i="15"/>
  <c r="J14" i="71"/>
  <c r="J13" i="71"/>
  <c r="J23" i="71"/>
  <c r="C13" i="71"/>
  <c r="Q71" i="71"/>
  <c r="C36" i="71"/>
  <c r="C56" i="71"/>
  <c r="C63" i="71"/>
  <c r="Q50" i="71"/>
  <c r="J15" i="44"/>
  <c r="J25" i="44"/>
  <c r="J18" i="44"/>
  <c r="J27" i="44"/>
  <c r="J35" i="15"/>
  <c r="C37" i="15"/>
  <c r="C30" i="15"/>
  <c r="C39" i="15"/>
  <c r="C40" i="15"/>
  <c r="L10" i="12"/>
  <c r="Q71" i="15"/>
  <c r="C39" i="44"/>
  <c r="C32" i="44"/>
  <c r="C42" i="44"/>
  <c r="Q71" i="44"/>
  <c r="Q70" i="44"/>
  <c r="C63" i="15"/>
  <c r="C57" i="15"/>
  <c r="C66" i="15"/>
  <c r="C67" i="15"/>
  <c r="J16" i="15"/>
  <c r="J25" i="15"/>
  <c r="C22" i="43"/>
  <c r="C21" i="43"/>
  <c r="C28" i="43"/>
  <c r="C30" i="43"/>
  <c r="C32" i="43"/>
  <c r="B2" i="43"/>
  <c r="B5" i="43"/>
  <c r="C43" i="44"/>
  <c r="L72" i="39"/>
  <c r="M70" i="39"/>
  <c r="L67" i="40"/>
  <c r="M65" i="40"/>
  <c r="C55" i="71"/>
  <c r="C64" i="71"/>
  <c r="C57" i="71"/>
  <c r="C66" i="71"/>
  <c r="C67" i="71"/>
  <c r="C70" i="71"/>
  <c r="J35" i="71"/>
  <c r="J22" i="71"/>
  <c r="J16" i="71"/>
  <c r="J25" i="71"/>
  <c r="C37" i="71"/>
  <c r="C30" i="71"/>
  <c r="C39" i="71"/>
  <c r="C40" i="71"/>
  <c r="C44" i="44"/>
  <c r="C45" i="44"/>
  <c r="B2" i="44"/>
  <c r="B3" i="44"/>
  <c r="J39" i="15"/>
  <c r="J40" i="15"/>
  <c r="B4" i="43"/>
  <c r="Q70" i="15"/>
  <c r="Q69" i="15"/>
  <c r="B3" i="43"/>
  <c r="N65" i="40"/>
  <c r="N67" i="40"/>
  <c r="M67" i="40"/>
  <c r="H9" i="40"/>
  <c r="M72" i="39"/>
  <c r="N70" i="39"/>
  <c r="N72" i="39"/>
  <c r="L57" i="15"/>
  <c r="L60" i="15"/>
  <c r="L46" i="15"/>
  <c r="B2" i="15"/>
  <c r="B3" i="15"/>
  <c r="C70" i="15"/>
  <c r="C46" i="15"/>
  <c r="Q57" i="15"/>
  <c r="C43" i="15"/>
  <c r="Q66" i="15"/>
  <c r="Q48" i="15"/>
  <c r="Q54" i="15"/>
  <c r="J42" i="15"/>
  <c r="J43" i="15"/>
  <c r="L51" i="15"/>
  <c r="L51" i="71"/>
  <c r="Q68" i="15"/>
  <c r="Q70" i="71"/>
  <c r="Q69" i="71"/>
  <c r="J39" i="71"/>
  <c r="J40" i="71"/>
  <c r="Q68" i="71"/>
  <c r="C46" i="71"/>
  <c r="B2" i="71"/>
  <c r="C43" i="71"/>
  <c r="J42" i="71"/>
  <c r="J43" i="71"/>
  <c r="Q66" i="71"/>
  <c r="Q76" i="71"/>
  <c r="Q48" i="71"/>
  <c r="Q54" i="71"/>
  <c r="Q57" i="71"/>
  <c r="Q63" i="71"/>
  <c r="B4" i="44"/>
  <c r="B5" i="44"/>
  <c r="U9" i="40"/>
  <c r="AB9" i="40"/>
  <c r="T44" i="40"/>
  <c r="G44" i="40"/>
  <c r="J9" i="40"/>
  <c r="H9" i="39"/>
  <c r="F9" i="39"/>
  <c r="J9" i="39"/>
  <c r="F9" i="40"/>
  <c r="Q58" i="15"/>
  <c r="Q63" i="15"/>
  <c r="Q67" i="15"/>
  <c r="Q76" i="15"/>
  <c r="C6" i="12"/>
  <c r="B3" i="71"/>
  <c r="W9" i="40"/>
  <c r="AC9" i="40"/>
  <c r="V44" i="40"/>
  <c r="I44" i="40"/>
  <c r="U9" i="39"/>
  <c r="AB9" i="39"/>
  <c r="T49" i="39"/>
  <c r="G49" i="39"/>
  <c r="AA9" i="40"/>
  <c r="R44" i="40"/>
  <c r="S9" i="40"/>
  <c r="W9" i="39"/>
  <c r="AC9" i="39"/>
  <c r="V49" i="39"/>
  <c r="I49" i="39"/>
  <c r="G48" i="40"/>
  <c r="H48" i="40"/>
  <c r="AA9" i="39"/>
  <c r="R49" i="39"/>
  <c r="S9" i="39"/>
  <c r="C24" i="12"/>
  <c r="C29" i="12"/>
  <c r="R50" i="39"/>
  <c r="E49" i="39"/>
  <c r="I53" i="39"/>
  <c r="J53" i="39"/>
  <c r="G53" i="39"/>
  <c r="H53" i="39"/>
  <c r="G54" i="39"/>
  <c r="H54" i="39"/>
  <c r="I48" i="40"/>
  <c r="J48" i="40"/>
  <c r="G49" i="40"/>
  <c r="H49" i="40"/>
  <c r="E44" i="40"/>
  <c r="R45" i="40"/>
  <c r="C35" i="12"/>
  <c r="C33" i="12"/>
  <c r="C28" i="12"/>
  <c r="C26" i="12"/>
  <c r="C31" i="12"/>
  <c r="C30" i="12"/>
  <c r="C45" i="40"/>
  <c r="C44" i="40"/>
  <c r="E48" i="40"/>
  <c r="F48" i="40"/>
  <c r="E49" i="40"/>
  <c r="F49" i="40"/>
  <c r="E53" i="39"/>
  <c r="F53" i="39"/>
  <c r="E54" i="39"/>
  <c r="F54" i="39"/>
  <c r="I49" i="40"/>
  <c r="J49" i="40"/>
  <c r="I54" i="39"/>
  <c r="J54" i="39"/>
  <c r="C50" i="39"/>
  <c r="C49" i="39"/>
  <c r="C36" i="12"/>
  <c r="B2" i="12"/>
  <c r="B4" i="12"/>
  <c r="B65" i="39"/>
  <c r="F65" i="39"/>
  <c r="B67" i="39"/>
  <c r="F67" i="39"/>
  <c r="B66" i="39"/>
  <c r="F66" i="39"/>
  <c r="B61" i="39"/>
  <c r="F61" i="39"/>
  <c r="B58" i="39"/>
  <c r="F58" i="39"/>
  <c r="B62" i="39"/>
  <c r="F62" i="39"/>
  <c r="B63" i="39"/>
  <c r="F63" i="39"/>
  <c r="B59" i="39"/>
  <c r="F59" i="39"/>
  <c r="B60" i="39"/>
  <c r="F60" i="39"/>
  <c r="B64" i="39"/>
  <c r="F64" i="39"/>
  <c r="B56" i="40"/>
  <c r="F56" i="40"/>
  <c r="F63" i="40"/>
  <c r="B2" i="40"/>
  <c r="B55" i="40"/>
  <c r="F55" i="40"/>
  <c r="B54" i="40"/>
  <c r="F54" i="40"/>
  <c r="B62" i="40"/>
  <c r="F62" i="40"/>
  <c r="B60" i="40"/>
  <c r="F60" i="40"/>
  <c r="B61" i="40"/>
  <c r="F61" i="40"/>
  <c r="B58" i="40"/>
  <c r="F58" i="40"/>
  <c r="B53" i="40"/>
  <c r="F53" i="40"/>
  <c r="B57" i="40"/>
  <c r="F57" i="40"/>
  <c r="B59" i="40"/>
  <c r="F59" i="40"/>
  <c r="D21" i="9"/>
  <c r="D19" i="9"/>
  <c r="L6" i="12"/>
  <c r="L44" i="9"/>
  <c r="B3" i="12"/>
  <c r="B5" i="12"/>
  <c r="F68" i="39"/>
  <c r="B2" i="39"/>
  <c r="B3" i="39"/>
  <c r="B4" i="40"/>
  <c r="B3" i="40"/>
  <c r="B5" i="40"/>
  <c r="C20" i="9"/>
  <c r="C19" i="9"/>
  <c r="D20" i="9"/>
  <c r="B5" i="39"/>
  <c r="B4" i="39"/>
  <c r="G20" i="9"/>
  <c r="L43" i="9"/>
  <c r="D22" i="9"/>
  <c r="G19" i="9"/>
  <c r="C21" i="9"/>
  <c r="K20" i="9"/>
  <c r="L20" i="9"/>
  <c r="G21" i="9"/>
  <c r="G22" i="9"/>
  <c r="N43" i="9"/>
  <c r="C32" i="9"/>
  <c r="C33" i="9"/>
  <c r="C34" i="9"/>
  <c r="O38" i="9"/>
  <c r="C35" i="9"/>
  <c r="F42" i="9"/>
  <c r="C42" i="9"/>
  <c r="O43" i="9"/>
  <c r="K25" i="9"/>
  <c r="K26" i="9"/>
  <c r="M38" i="9"/>
  <c r="K27" i="9"/>
  <c r="E42" i="9"/>
  <c r="P5" i="54"/>
  <c r="B46" i="63"/>
  <c r="C44" i="9"/>
  <c r="N68" i="9"/>
  <c r="D63" i="9"/>
  <c r="D14" i="66"/>
  <c r="R5" i="54"/>
  <c r="B48" i="63"/>
  <c r="D42" i="9"/>
  <c r="Q5" i="54"/>
  <c r="B47" i="63"/>
  <c r="N38" i="9"/>
  <c r="K28" i="9"/>
  <c r="F14" i="66"/>
  <c r="E14" i="66"/>
  <c r="D70" i="9"/>
  <c r="C103" i="9"/>
  <c r="D77" i="9"/>
  <c r="N75" i="9"/>
  <c r="C90" i="9"/>
  <c r="C111" i="9"/>
  <c r="C104" i="9"/>
  <c r="D71" i="9"/>
  <c r="D66" i="9"/>
  <c r="N72" i="9"/>
  <c r="C82" i="9"/>
  <c r="C81" i="9"/>
  <c r="C85" i="9"/>
  <c r="C86" i="9"/>
  <c r="D72" i="9"/>
  <c r="C96" i="9"/>
  <c r="C91" i="9"/>
  <c r="E44" i="9"/>
  <c r="F44" i="9"/>
  <c r="D44" i="9"/>
  <c r="G14" i="66"/>
  <c r="N69" i="9"/>
  <c r="O39" i="9"/>
  <c r="M86" i="9"/>
  <c r="N86" i="9"/>
  <c r="M87" i="9"/>
  <c r="N87" i="9"/>
  <c r="M83" i="9"/>
  <c r="N83" i="9"/>
  <c r="M85" i="9"/>
  <c r="N85" i="9"/>
  <c r="M88" i="9"/>
  <c r="N88" i="9"/>
  <c r="M84" i="9"/>
  <c r="N84" i="9"/>
  <c r="C97" i="9"/>
  <c r="R6" i="54"/>
  <c r="B50" i="63"/>
  <c r="K29" i="9"/>
  <c r="K30" i="9"/>
  <c r="C113" i="9"/>
  <c r="N89" i="9"/>
  <c r="O89" i="9"/>
  <c r="C98" i="9"/>
  <c r="E98" i="9"/>
  <c r="E99" i="9"/>
  <c r="C114" i="9"/>
  <c r="E114" i="9"/>
  <c r="E115" i="9"/>
  <c r="C99" i="9"/>
  <c r="C115" i="9"/>
  <c r="D76" i="9"/>
  <c r="D74" i="9"/>
  <c r="N74" i="9"/>
  <c r="O77" i="9"/>
  <c r="O79" i="9"/>
  <c r="O78" i="9"/>
  <c r="Q77" i="9"/>
  <c r="O81" i="9"/>
  <c r="O80" i="9"/>
  <c r="B1" i="66"/>
  <c r="C8" i="66"/>
  <c r="C7" i="66"/>
  <c r="B2" i="66"/>
  <c r="D7" i="66"/>
  <c r="D8" i="66"/>
  <c r="B6" i="66"/>
  <c r="F15" i="66"/>
  <c r="E15" i="66"/>
  <c r="B5" i="66"/>
  <c r="C5" i="66"/>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<sst xmlns="http://schemas.openxmlformats.org/spreadsheetml/2006/main" count="7837" uniqueCount="3171">
  <si>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</si>
  <si>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</si>
  <si>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</si>
  <si>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</si>
  <si>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</si>
  <si>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</si>
  <si>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</si>
  <si>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</si>
  <si>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</si>
  <si>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</si>
  <si>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</si>
  <si>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</si>
  <si>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</si>
  <si>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</si>
  <si>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</si>
  <si>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</si>
  <si>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</si>
  <si>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</si>
  <si>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</si>
  <si>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</si>
  <si>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</si>
  <si>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</si>
  <si>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</si>
  <si>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</si>
  <si>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</si>
  <si>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</si>
  <si>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</si>
  <si>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</si>
  <si>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</si>
  <si>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</si>
  <si>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</si>
  <si>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</si>
  <si>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</si>
  <si>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</si>
  <si>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</si>
  <si>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</si>
  <si>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</si>
  <si>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</si>
  <si>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</si>
  <si>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</si>
  <si>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</si>
  <si>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</si>
  <si>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</si>
  <si>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</si>
  <si>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</si>
  <si>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</si>
  <si>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</si>
  <si>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</si>
  <si>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</si>
  <si>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</si>
  <si>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</si>
  <si>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</si>
  <si>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</si>
  <si>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</si>
  <si>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</si>
  <si>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</si>
  <si>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</si>
  <si>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</si>
  <si>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</si>
  <si>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</si>
  <si>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</si>
  <si>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</si>
  <si>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</si>
  <si>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</si>
  <si>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</si>
  <si>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</si>
  <si>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</si>
  <si>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</si>
  <si>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</si>
  <si>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</si>
  <si>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</si>
  <si>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</si>
  <si>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</si>
  <si>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</si>
  <si>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</si>
  <si>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</si>
  <si>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</si>
  <si>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</si>
  <si>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</si>
  <si>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</si>
  <si>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</si>
  <si>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</si>
  <si>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</si>
  <si>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</si>
  <si>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</si>
  <si>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</si>
  <si>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</si>
  <si>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</si>
  <si>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</si>
  <si>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</si>
  <si>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</si>
  <si>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</si>
  <si>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</si>
  <si>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</si>
  <si>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</si>
  <si>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</si>
  <si>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</si>
  <si>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</si>
  <si>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</si>
  <si>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</si>
  <si>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</si>
  <si>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</si>
  <si>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</si>
  <si>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</si>
  <si>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</si>
  <si>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</si>
  <si>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</si>
  <si>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</si>
  <si>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</si>
  <si>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</si>
  <si>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</si>
  <si>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</si>
  <si>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</si>
  <si>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</si>
  <si>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</si>
  <si>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</si>
  <si>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</si>
  <si>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</si>
  <si>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</si>
  <si>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</si>
  <si>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</si>
  <si>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</si>
  <si>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</si>
  <si>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</si>
  <si>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</si>
  <si>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</si>
  <si>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</si>
  <si>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</si>
  <si>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</si>
  <si>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</si>
  <si>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</si>
  <si>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</si>
  <si>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</si>
  <si>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</si>
  <si>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</si>
  <si>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</si>
  <si>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</si>
  <si>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</si>
  <si>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</si>
  <si>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</si>
  <si>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</si>
  <si>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</si>
  <si>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</si>
  <si>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</si>
  <si>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</si>
  <si>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</si>
  <si>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</si>
  <si>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</si>
  <si>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</si>
  <si>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</si>
  <si>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</si>
  <si>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</si>
  <si>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</si>
  <si>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</si>
  <si>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</si>
  <si>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</si>
  <si>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</si>
  <si>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</si>
  <si>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</si>
  <si>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</si>
  <si>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</si>
  <si>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</si>
  <si>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</si>
  <si>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</si>
  <si>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</si>
  <si>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</si>
  <si>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</si>
  <si>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</si>
  <si>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</si>
  <si>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</si>
  <si>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</si>
  <si>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</si>
  <si>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</si>
  <si>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</si>
  <si>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</si>
  <si>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</si>
  <si>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</si>
  <si>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</si>
  <si>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</si>
  <si>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</si>
  <si>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</si>
  <si>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</si>
  <si>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</si>
  <si>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</si>
  <si>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</si>
  <si>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</si>
  <si>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</si>
  <si>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</si>
  <si>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</si>
  <si>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</si>
  <si>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</si>
  <si>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</si>
  <si>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</si>
  <si>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</si>
  <si>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</si>
  <si>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</si>
  <si>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</si>
  <si>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</si>
  <si>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</si>
  <si>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</si>
  <si>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</si>
  <si>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</si>
  <si>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</si>
  <si>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</si>
  <si>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</si>
  <si>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</si>
  <si>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</si>
  <si>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</si>
  <si>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</si>
  <si>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</si>
  <si>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</si>
  <si>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</si>
  <si>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</si>
  <si>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</si>
  <si>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</si>
  <si>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</si>
  <si>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</si>
  <si>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</si>
  <si>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</si>
  <si>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</si>
  <si>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</si>
  <si>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</si>
  <si>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</si>
  <si>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</si>
  <si>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</si>
  <si>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</si>
  <si>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</si>
  <si>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</si>
  <si>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</si>
  <si>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</si>
  <si>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</si>
  <si>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</si>
  <si>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</si>
  <si>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</si>
  <si>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</si>
  <si>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</si>
  <si>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</si>
  <si>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</si>
  <si>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</si>
  <si>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</si>
  <si>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</si>
  <si>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</si>
  <si>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</si>
  <si>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</si>
  <si>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</si>
  <si>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</si>
  <si>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</si>
  <si>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</si>
  <si>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</si>
  <si>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</si>
  <si>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</si>
  <si>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</si>
  <si>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</si>
  <si>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</si>
  <si>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</si>
  <si>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</si>
  <si>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</si>
  <si>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</si>
  <si>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</si>
  <si>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</si>
  <si>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</si>
  <si>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</si>
  <si>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</si>
  <si>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</si>
  <si>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</si>
  <si>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</si>
  <si>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</si>
  <si>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</si>
  <si>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</si>
  <si>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</si>
  <si>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</si>
  <si>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</si>
  <si>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</si>
  <si>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</si>
  <si>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</si>
  <si>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</si>
  <si>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</si>
  <si>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</si>
  <si>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</si>
  <si>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</si>
  <si>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</si>
  <si>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</si>
  <si>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</si>
  <si>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</si>
  <si>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</si>
  <si>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</si>
  <si>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</si>
  <si>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</si>
  <si>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</si>
  <si>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</si>
  <si>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</si>
  <si>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</si>
  <si>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</si>
  <si>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</si>
  <si>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</si>
  <si>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</si>
  <si>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</si>
  <si>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</si>
  <si>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</si>
  <si>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</si>
  <si>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</si>
  <si>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</si>
  <si>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</si>
  <si>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</si>
  <si>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</si>
  <si>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</si>
  <si>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</si>
  <si>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</si>
  <si>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</si>
  <si>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</si>
  <si>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</si>
  <si>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</si>
  <si>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</si>
  <si>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</si>
  <si>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</si>
  <si>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</si>
  <si>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</si>
  <si>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</si>
  <si>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</si>
  <si>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</si>
  <si>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</si>
  <si>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</si>
  <si>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</si>
  <si>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</si>
  <si>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</si>
  <si>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</si>
  <si>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</si>
  <si>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</si>
  <si>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</si>
  <si>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</si>
  <si>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</si>
  <si>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</si>
  <si>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</si>
  <si>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</si>
  <si>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</si>
  <si>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</si>
  <si>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</si>
  <si>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</si>
  <si>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</si>
  <si>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</si>
  <si>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</si>
  <si>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</si>
  <si>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</si>
  <si>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</si>
  <si>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</si>
  <si>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</si>
  <si>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</si>
  <si>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</si>
  <si>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</si>
  <si>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</si>
  <si>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</si>
  <si>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</si>
  <si>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</si>
  <si>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</si>
  <si>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</si>
  <si>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</si>
  <si>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</si>
  <si>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</si>
  <si>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</si>
  <si>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</si>
  <si>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</si>
  <si>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</si>
  <si>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</si>
  <si>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</si>
  <si>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</si>
  <si>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</si>
  <si>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</si>
  <si>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</si>
  <si>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</si>
  <si>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</si>
  <si>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</si>
  <si>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</si>
  <si>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</si>
  <si>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</si>
  <si>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</si>
  <si>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</si>
  <si>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</si>
  <si>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</si>
  <si>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</si>
  <si>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</si>
  <si>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</si>
  <si>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</si>
  <si>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</si>
  <si>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</si>
  <si>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</si>
  <si>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</si>
  <si>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</si>
  <si>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</si>
  <si>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</si>
  <si>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</si>
  <si>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</si>
  <si>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</si>
  <si>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</si>
  <si>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</si>
  <si>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</si>
  <si>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</si>
  <si>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</si>
  <si>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</si>
  <si>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</si>
  <si>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</si>
  <si>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</si>
  <si>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</si>
  <si>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</si>
  <si>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</si>
  <si>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</si>
  <si>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</si>
  <si>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</si>
  <si>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</si>
  <si>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</si>
  <si>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</si>
  <si>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</si>
  <si>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</si>
  <si>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</si>
  <si>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</si>
  <si>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</si>
  <si>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</si>
  <si>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</si>
  <si>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</si>
  <si>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</si>
  <si>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</si>
  <si>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</si>
  <si>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</si>
  <si>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</si>
  <si>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</si>
  <si>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</si>
  <si>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</si>
  <si>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</si>
  <si>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</si>
  <si>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</si>
  <si>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</si>
  <si>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</si>
  <si>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</si>
  <si>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</si>
  <si>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</si>
  <si>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</si>
  <si>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</si>
  <si>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</si>
  <si>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</si>
  <si>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</si>
  <si>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</si>
  <si>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</si>
  <si>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</si>
  <si>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</si>
  <si>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</si>
  <si>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</si>
  <si>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</si>
  <si>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</si>
  <si>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</si>
  <si>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</si>
  <si>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</si>
  <si>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</si>
  <si>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</si>
  <si>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</si>
  <si>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</si>
  <si>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</si>
  <si>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</si>
  <si>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</si>
  <si>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</si>
  <si>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</si>
  <si>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</si>
  <si>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</si>
  <si>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</si>
  <si>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</si>
  <si>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</si>
  <si>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</si>
  <si>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</si>
  <si>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</si>
  <si>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</si>
  <si>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</si>
  <si>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</si>
  <si>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</si>
  <si>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</si>
  <si>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</si>
  <si>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</si>
  <si>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</si>
  <si>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</si>
  <si>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</si>
  <si>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</si>
  <si>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</si>
  <si>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</si>
  <si>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</si>
  <si>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</si>
  <si>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</si>
  <si>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</si>
  <si>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</si>
  <si>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</si>
  <si>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</si>
  <si>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</si>
  <si>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</si>
  <si>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</si>
  <si>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</si>
  <si>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</si>
  <si>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</si>
  <si>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</si>
  <si>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</si>
  <si>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</si>
  <si>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</si>
  <si>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</si>
  <si>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</si>
  <si>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</si>
  <si>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</si>
  <si>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</si>
  <si>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</si>
  <si>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</si>
  <si>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</si>
  <si>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</si>
  <si>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</si>
  <si>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</si>
  <si>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</si>
  <si>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</si>
  <si>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</si>
  <si>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</si>
  <si>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</si>
  <si>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</si>
  <si>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</si>
  <si>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</si>
  <si>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</si>
  <si>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</si>
  <si>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</si>
  <si>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</si>
  <si>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</si>
  <si>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</si>
  <si>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</si>
  <si>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</si>
  <si>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</si>
  <si>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</si>
  <si>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</si>
  <si>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</si>
  <si>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</si>
  <si>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</si>
  <si>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</si>
  <si>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</si>
  <si>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</si>
  <si>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</si>
  <si>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</si>
  <si>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</si>
  <si>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</si>
  <si>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</si>
  <si>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</si>
  <si>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</si>
  <si>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</si>
  <si>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</si>
  <si>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</si>
  <si>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</si>
  <si>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</si>
  <si>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</si>
  <si>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</si>
  <si>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</si>
  <si>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</si>
  <si>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</si>
  <si>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</si>
  <si>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</si>
  <si>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</si>
  <si>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</si>
  <si>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</si>
  <si>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</si>
  <si>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</si>
  <si>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</si>
  <si>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</si>
  <si>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</si>
  <si>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</si>
  <si>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</si>
  <si>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</si>
  <si>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</si>
  <si>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</si>
  <si>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</si>
  <si>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</si>
  <si>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</si>
  <si>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</si>
  <si>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</si>
  <si>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</si>
  <si>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</si>
  <si>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</si>
  <si>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</si>
  <si>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</si>
  <si>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</si>
  <si>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</si>
  <si>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</si>
  <si>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</si>
  <si>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</si>
  <si>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</si>
  <si>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</si>
  <si>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</si>
  <si>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</si>
  <si>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</si>
  <si>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</si>
  <si>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</si>
  <si>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</si>
  <si>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</si>
  <si>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</si>
  <si>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</si>
  <si>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</si>
  <si>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</si>
  <si>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</si>
  <si>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</si>
  <si>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</si>
  <si>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</si>
  <si>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</si>
  <si>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</si>
  <si>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</si>
  <si>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</si>
  <si>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</si>
  <si>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</si>
  <si>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</si>
  <si>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</si>
  <si>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</si>
  <si>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</si>
  <si>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</si>
  <si>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</si>
  <si>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</si>
  <si>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</si>
  <si>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</si>
  <si>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</si>
  <si>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</si>
  <si>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</si>
  <si>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</si>
  <si>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</si>
  <si>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</si>
  <si>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</si>
  <si>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</si>
  <si>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</si>
  <si>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</si>
  <si>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</si>
  <si>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</si>
  <si>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</si>
  <si>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</si>
  <si>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</si>
  <si>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</si>
  <si>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</si>
  <si>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</si>
  <si>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</si>
  <si>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</si>
  <si>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</si>
  <si>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</si>
  <si>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</si>
  <si>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</si>
  <si>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</si>
  <si>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</si>
  <si>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</si>
  <si>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</si>
  <si>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</si>
  <si>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</si>
  <si>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</si>
  <si>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</si>
  <si>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</si>
  <si>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</si>
  <si>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</si>
  <si>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</si>
  <si>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</si>
  <si>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</si>
  <si>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</si>
  <si>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</si>
  <si>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</si>
  <si>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</si>
  <si>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</si>
  <si>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</si>
  <si>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</si>
  <si>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</si>
  <si>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</si>
  <si>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</si>
  <si>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</si>
  <si>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</si>
  <si>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</si>
  <si>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</si>
  <si>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</si>
  <si>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</si>
  <si>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</si>
  <si>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</si>
  <si>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</si>
  <si>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</si>
  <si>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</si>
  <si>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</si>
  <si>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</si>
  <si>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</si>
  <si>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</si>
  <si>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</si>
  <si>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</si>
  <si>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</si>
  <si>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</si>
  <si>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</si>
  <si>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</si>
  <si>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</si>
  <si>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</si>
  <si>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</si>
  <si>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</si>
  <si>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</si>
  <si>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</si>
  <si>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</si>
  <si>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</si>
  <si>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</si>
  <si>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</si>
  <si>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</si>
  <si>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</si>
  <si>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</si>
  <si>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</si>
  <si>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</si>
  <si>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</si>
  <si>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</si>
  <si>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</si>
  <si>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</si>
  <si>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</si>
  <si>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</si>
  <si>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</si>
  <si>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</si>
  <si>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</si>
  <si>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</si>
  <si>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</si>
  <si>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</si>
  <si>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</si>
  <si>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</si>
  <si>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</si>
  <si>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</si>
  <si>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</si>
  <si>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</si>
  <si>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</si>
  <si>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</si>
  <si>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</si>
  <si>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</si>
  <si>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</si>
  <si>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</si>
  <si>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</si>
  <si>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</si>
  <si>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</si>
  <si>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</si>
  <si>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</si>
  <si>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</si>
  <si>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</si>
  <si>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</si>
  <si>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</si>
  <si>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</si>
  <si>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</si>
  <si>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</si>
  <si>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</si>
  <si>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</si>
  <si>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</si>
  <si>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</si>
  <si>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</si>
  <si>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</si>
  <si>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</si>
  <si>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</si>
  <si>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</si>
  <si>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</si>
  <si>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</si>
  <si>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</si>
  <si>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</si>
  <si>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</si>
  <si>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</si>
  <si>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</si>
  <si>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</si>
  <si>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</si>
  <si>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</si>
  <si>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</si>
  <si>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</si>
  <si>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</si>
  <si>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</si>
  <si>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</si>
  <si>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</si>
  <si>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</si>
  <si>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</si>
  <si>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</si>
  <si>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</si>
  <si>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</si>
  <si>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</si>
  <si>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</si>
  <si>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</si>
  <si>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</si>
  <si>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</si>
  <si>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</si>
  <si>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</si>
  <si>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</si>
  <si>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</si>
  <si>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</si>
  <si>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</si>
  <si>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</si>
  <si>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</si>
  <si>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</si>
  <si>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</si>
  <si>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</si>
  <si>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</si>
  <si>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</si>
  <si>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</si>
  <si>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</si>
  <si>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</si>
  <si>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</si>
  <si>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</si>
  <si>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</si>
  <si>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</si>
  <si>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</si>
  <si>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</si>
  <si>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</si>
  <si>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</si>
  <si>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</si>
  <si>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</si>
  <si>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</si>
  <si>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</si>
  <si>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</si>
  <si>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</si>
  <si>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</si>
  <si>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</si>
  <si>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</si>
  <si>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</si>
  <si>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</si>
  <si>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</si>
  <si>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</si>
  <si>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</si>
  <si>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</si>
  <si>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</si>
  <si>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</si>
  <si>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</si>
  <si>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</si>
  <si>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</si>
  <si>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</si>
  <si>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</si>
  <si>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</si>
  <si>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</si>
  <si>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</si>
  <si>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</si>
  <si>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</si>
  <si>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</si>
  <si>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</si>
  <si>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</si>
  <si>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</si>
  <si>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</si>
  <si>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</si>
  <si>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</si>
  <si>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</si>
  <si>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</si>
  <si>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</si>
  <si>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</si>
  <si>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</si>
  <si>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</si>
  <si>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</si>
  <si>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</si>
  <si>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</si>
  <si>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</si>
  <si>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</si>
  <si>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</si>
  <si>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</si>
  <si>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</si>
  <si>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</si>
  <si>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</si>
  <si>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</si>
  <si>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</si>
  <si>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</si>
  <si>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</si>
  <si>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</si>
  <si>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</si>
  <si>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</si>
  <si>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</si>
  <si>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</si>
  <si>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</si>
  <si>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</si>
  <si>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</si>
  <si>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</si>
  <si>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</si>
  <si>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</si>
  <si>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</si>
  <si>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</si>
  <si>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</si>
  <si>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</si>
  <si>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</si>
  <si>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</si>
  <si>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</si>
  <si>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</si>
  <si>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</si>
  <si>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</si>
  <si>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</si>
  <si>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</si>
  <si>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</si>
  <si>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</si>
  <si>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</si>
  <si>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</si>
  <si>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</si>
  <si>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</si>
  <si>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</si>
  <si>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</si>
  <si>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</si>
  <si>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</si>
  <si>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</si>
  <si>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</si>
  <si>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</si>
  <si>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</si>
  <si>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</si>
  <si>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</si>
  <si>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</si>
  <si>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</si>
  <si>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</si>
  <si>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</si>
  <si>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</si>
  <si>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</si>
  <si>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</si>
  <si>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</si>
  <si>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</si>
  <si>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</si>
  <si>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</si>
  <si>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</si>
  <si>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</si>
  <si>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</si>
  <si>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</si>
  <si>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</si>
  <si>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</si>
  <si>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</si>
  <si>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</si>
  <si>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</si>
  <si>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</si>
  <si>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</si>
  <si>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</si>
  <si>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</si>
  <si>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</si>
  <si>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</si>
  <si>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</si>
  <si>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</si>
  <si>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</si>
  <si>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</si>
  <si>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</si>
  <si>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</si>
  <si>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</si>
  <si>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</si>
  <si>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</si>
  <si>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</si>
  <si>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</si>
  <si>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</si>
  <si>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</si>
  <si>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</si>
  <si>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</si>
  <si>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</si>
  <si>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</si>
  <si>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</si>
  <si>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</si>
  <si>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</si>
  <si>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</si>
  <si>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</si>
  <si>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</si>
  <si>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</si>
  <si>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</si>
  <si>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</si>
  <si>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</si>
  <si>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</si>
  <si>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</si>
  <si>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</si>
  <si>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</si>
  <si>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</si>
  <si>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</si>
  <si>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</si>
  <si>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</si>
  <si>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</si>
  <si>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</si>
  <si>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</si>
  <si>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</si>
  <si>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</si>
  <si>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</si>
  <si>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</si>
  <si>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</si>
  <si>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</si>
  <si>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</si>
  <si>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</si>
  <si>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</si>
  <si>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</si>
  <si>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</si>
  <si>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</si>
  <si>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</si>
  <si>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</si>
  <si>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</si>
  <si>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</si>
  <si>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</si>
  <si>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</si>
  <si>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</si>
  <si>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</si>
  <si>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</si>
  <si>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</si>
  <si>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</si>
  <si>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</si>
  <si>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</si>
  <si>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</si>
  <si>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</si>
  <si>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</si>
  <si>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</si>
  <si>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</si>
  <si>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</si>
  <si>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</si>
  <si>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</si>
  <si>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</si>
  <si>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</si>
  <si>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</si>
  <si>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</si>
  <si>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</si>
  <si>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</si>
  <si>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</si>
  <si>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</si>
  <si>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</si>
  <si>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</si>
  <si>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</si>
  <si>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</si>
  <si>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</si>
  <si>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</si>
  <si>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</si>
  <si>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</si>
  <si>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</si>
  <si>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</si>
  <si>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</si>
  <si>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</si>
  <si>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</si>
  <si>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</si>
  <si>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</si>
  <si>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</si>
  <si>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</si>
  <si>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</si>
  <si>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</si>
  <si>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</si>
  <si>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</si>
  <si>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</si>
  <si>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</si>
  <si>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</si>
  <si>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</si>
  <si>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</si>
  <si>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</si>
  <si>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</si>
  <si>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</si>
  <si>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</si>
  <si>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</si>
  <si>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</si>
  <si>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</si>
  <si>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</si>
  <si>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</si>
  <si>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</si>
  <si>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</si>
  <si>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</si>
  <si>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</si>
  <si>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</si>
  <si>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</si>
  <si>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</si>
  <si>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</si>
  <si>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</si>
  <si>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</si>
  <si>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</si>
  <si>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</si>
  <si>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</si>
  <si>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</si>
  <si>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</si>
  <si>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</si>
  <si>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</si>
  <si>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</si>
  <si>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</si>
  <si>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</si>
  <si>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</si>
  <si>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</si>
  <si>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</si>
  <si>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</si>
  <si>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</si>
  <si>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</si>
  <si>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</si>
  <si>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</si>
  <si>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</si>
  <si>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</si>
  <si>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</si>
  <si>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</si>
  <si>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</si>
  <si>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</si>
  <si>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</si>
  <si>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</si>
  <si>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</si>
  <si>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</si>
  <si>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</si>
  <si>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</si>
  <si>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</si>
  <si>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</si>
  <si>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</si>
  <si>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</si>
  <si>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</si>
  <si>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</si>
  <si>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</si>
  <si>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</si>
  <si>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</si>
  <si>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</si>
  <si>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</si>
  <si>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</si>
  <si>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</si>
  <si>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</si>
  <si>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</si>
  <si>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</si>
  <si>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</si>
  <si>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</si>
  <si>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</si>
  <si>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</si>
  <si>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</si>
  <si>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</si>
  <si>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</si>
  <si>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</si>
  <si>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</si>
  <si>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</si>
  <si>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</si>
  <si>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</si>
  <si>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</si>
  <si>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</si>
  <si>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</si>
  <si>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</si>
  <si>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</si>
  <si>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</si>
  <si>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</si>
  <si>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</si>
  <si>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</si>
  <si>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</si>
  <si>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</si>
  <si>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</si>
  <si>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</si>
  <si>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</si>
  <si>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</si>
  <si>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</si>
  <si>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</si>
  <si>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</si>
  <si>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</si>
  <si>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</si>
  <si>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</si>
  <si>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</si>
  <si>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</si>
  <si>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</si>
  <si>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</si>
  <si>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</si>
  <si>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</si>
  <si>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</si>
  <si>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</si>
  <si>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</si>
  <si>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</si>
  <si>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</si>
  <si>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</si>
  <si>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</si>
  <si>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</si>
  <si>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</si>
  <si>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</si>
  <si>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</si>
  <si>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</si>
  <si>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</si>
  <si>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</si>
  <si>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</si>
  <si>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</si>
  <si>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</si>
  <si>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</si>
  <si>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</si>
  <si>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</si>
  <si>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</si>
  <si>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</si>
  <si>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</si>
  <si>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</si>
  <si>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</si>
  <si>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</si>
  <si>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</si>
  <si>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</si>
  <si>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</si>
  <si>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</si>
  <si>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</si>
  <si>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</si>
  <si>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</si>
  <si>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</si>
  <si>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</si>
  <si>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</si>
  <si>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</si>
  <si>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</si>
  <si>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</si>
  <si>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</si>
  <si>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</si>
  <si>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</si>
  <si>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</si>
  <si>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</si>
  <si>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</si>
  <si>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</si>
  <si>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</si>
  <si>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</si>
  <si>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</si>
  <si>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</si>
  <si>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</si>
  <si>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</si>
  <si>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</si>
  <si>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</si>
  <si>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</si>
  <si>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</si>
  <si>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</si>
  <si>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</si>
  <si>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</si>
  <si>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</si>
  <si>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</si>
  <si>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</si>
  <si>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</si>
  <si>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</si>
  <si>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</si>
  <si>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</si>
  <si>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</si>
  <si>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</si>
  <si>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</si>
  <si>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</si>
  <si>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</si>
  <si>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</si>
  <si>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</si>
  <si>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</si>
  <si>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</si>
  <si>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</si>
  <si>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</si>
  <si>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</si>
  <si>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</si>
  <si>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</si>
  <si>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</si>
  <si>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</si>
  <si>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</si>
  <si>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</si>
  <si>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</si>
  <si>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</si>
  <si>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</si>
  <si>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</si>
  <si>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</si>
  <si>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</si>
  <si>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</si>
  <si>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</si>
  <si>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</si>
  <si>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</si>
  <si>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</si>
  <si>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</si>
  <si>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</si>
  <si>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</si>
  <si>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</si>
  <si>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</si>
  <si>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</si>
  <si>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</si>
  <si>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</si>
  <si>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</si>
  <si>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</si>
  <si>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</si>
  <si>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</si>
  <si>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</si>
  <si>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</si>
  <si>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</si>
  <si>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</si>
  <si>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</si>
  <si>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</si>
  <si>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</si>
  <si>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</si>
  <si>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</si>
  <si>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</si>
  <si>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</si>
  <si>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</si>
  <si>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</si>
  <si>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</si>
  <si>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</si>
  <si>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</si>
  <si>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</si>
  <si>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</si>
  <si>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</si>
  <si>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</si>
  <si>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</si>
  <si>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</si>
  <si>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</si>
  <si>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</si>
  <si>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</si>
  <si>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</si>
  <si>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</si>
  <si>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</si>
  <si>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</si>
  <si>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</si>
  <si>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</si>
  <si>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</si>
  <si>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</si>
  <si>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</si>
  <si>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</si>
  <si>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</si>
  <si>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</si>
  <si>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</si>
  <si>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</si>
  <si>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</si>
  <si>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</si>
  <si>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</si>
  <si>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</si>
  <si>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</si>
  <si>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</si>
  <si>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</si>
  <si>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</si>
  <si>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</si>
  <si>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</si>
  <si>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</si>
  <si>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</si>
  <si>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</si>
  <si>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</si>
  <si>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</si>
  <si>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</si>
  <si>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</si>
  <si>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</si>
  <si>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</si>
  <si>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</si>
  <si>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</si>
  <si>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</si>
  <si>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</si>
  <si>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</si>
  <si>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</si>
  <si>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</si>
  <si>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</si>
  <si>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</si>
  <si>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</si>
  <si>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</si>
  <si>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</si>
  <si>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</si>
  <si>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</si>
  <si>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</si>
  <si>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</si>
  <si>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</si>
  <si>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</si>
  <si>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</si>
  <si>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</si>
  <si>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</si>
  <si>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</si>
  <si>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</si>
  <si>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</si>
  <si>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</si>
  <si>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</si>
  <si>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</si>
  <si>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</si>
  <si>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</si>
  <si>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</si>
  <si>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</si>
  <si>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</si>
  <si>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</si>
  <si>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</si>
  <si>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</si>
  <si>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</si>
  <si>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</si>
  <si>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</si>
  <si>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</si>
  <si>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</si>
  <si>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</si>
  <si>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</si>
  <si>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</si>
  <si>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</si>
  <si>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</si>
  <si>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</si>
  <si>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</si>
  <si>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</si>
  <si>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</si>
  <si>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</si>
  <si>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</si>
  <si>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</si>
  <si>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</si>
  <si>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</si>
  <si>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</si>
  <si>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</si>
  <si>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</si>
  <si>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</si>
  <si>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</si>
  <si>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</si>
  <si>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</si>
  <si>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</si>
  <si>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</si>
  <si>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</si>
  <si>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</si>
  <si>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</si>
  <si>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</si>
  <si>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</si>
  <si>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</si>
  <si>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</si>
  <si>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</si>
  <si>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</si>
  <si>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</si>
  <si>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</si>
  <si>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</si>
  <si>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</si>
  <si>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</si>
  <si>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</si>
  <si>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</si>
  <si>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</si>
  <si>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</si>
  <si>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</si>
  <si>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</si>
  <si>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</si>
  <si>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</si>
  <si>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</si>
  <si>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</si>
  <si>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</si>
  <si>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</si>
  <si>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</si>
  <si>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</si>
  <si>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</si>
  <si>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</si>
  <si>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</si>
  <si>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</si>
  <si>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</si>
  <si>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</si>
  <si>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</si>
  <si>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</si>
  <si>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</si>
  <si>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</si>
  <si>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</si>
  <si>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</si>
  <si>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</si>
  <si>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</si>
  <si>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</si>
  <si>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</si>
  <si>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</si>
  <si>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</si>
  <si>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</si>
  <si>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</si>
  <si>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</si>
  <si>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</si>
  <si>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</si>
  <si>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</si>
  <si>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</si>
  <si>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</si>
  <si>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</si>
  <si>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</si>
  <si>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</si>
  <si>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</si>
  <si>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</si>
  <si>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</si>
  <si>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</si>
  <si>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</si>
  <si>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</si>
  <si>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</si>
  <si>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</si>
  <si>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</si>
  <si>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</si>
  <si>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</si>
  <si>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</si>
  <si>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</si>
  <si>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</si>
  <si>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</si>
  <si>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</si>
  <si>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</si>
  <si>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</si>
  <si>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</si>
  <si>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</si>
  <si>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</si>
  <si>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</si>
  <si>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</si>
  <si>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</si>
  <si>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</si>
  <si>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</si>
  <si>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</si>
  <si>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</si>
  <si>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</si>
  <si>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</si>
  <si>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</si>
  <si>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</si>
  <si>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</si>
  <si>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</si>
  <si>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</si>
  <si>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</si>
  <si>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</si>
  <si>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</si>
  <si>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</si>
  <si>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</si>
  <si>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</si>
  <si>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</si>
  <si>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</si>
  <si>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</si>
  <si>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</si>
  <si>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</si>
  <si>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</si>
  <si>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</si>
  <si>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</si>
  <si>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</si>
  <si>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</si>
  <si>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</si>
  <si>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</si>
  <si>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</si>
  <si>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</si>
  <si>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</si>
  <si>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</si>
  <si>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</si>
  <si>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</si>
  <si>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</si>
  <si>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</si>
  <si>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</si>
  <si>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</si>
  <si>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</si>
  <si>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</si>
  <si>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</si>
  <si>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</si>
  <si>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</si>
  <si>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</si>
  <si>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</si>
  <si>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</si>
  <si>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</si>
  <si>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</si>
  <si>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</si>
  <si>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</si>
  <si>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</si>
  <si>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</si>
  <si>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</si>
  <si>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</si>
  <si>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</si>
  <si>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</si>
  <si>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</si>
  <si>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</si>
  <si>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</si>
  <si>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</si>
  <si>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</si>
  <si>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</si>
  <si>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</si>
  <si>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</si>
  <si>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</si>
  <si>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</si>
  <si>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</si>
  <si>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</si>
  <si>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</si>
  <si>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</si>
  <si>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</si>
  <si>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</si>
  <si>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</si>
  <si>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</si>
  <si>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</si>
  <si>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</si>
  <si>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</si>
  <si>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</si>
  <si>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</si>
  <si>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</si>
  <si>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</si>
  <si>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</si>
  <si>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</si>
  <si>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</si>
  <si>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</si>
  <si>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</si>
  <si>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</si>
  <si>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</si>
  <si>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</si>
  <si>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</si>
  <si>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</si>
  <si>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</si>
  <si>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</si>
  <si>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</si>
  <si>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</si>
  <si>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</si>
  <si>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</si>
  <si>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</si>
  <si>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</si>
  <si>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</si>
  <si>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</si>
  <si>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</si>
  <si>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</si>
  <si>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</si>
  <si>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</si>
  <si>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</si>
  <si>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</si>
  <si>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</si>
  <si>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</si>
  <si>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</si>
  <si>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</si>
  <si>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</si>
  <si>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</si>
  <si>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</si>
  <si>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</si>
  <si>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</si>
  <si>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</si>
  <si>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</si>
  <si>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</si>
  <si>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</si>
  <si>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</si>
  <si>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</si>
  <si>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</si>
  <si>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</si>
  <si>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</si>
  <si>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</si>
  <si>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</si>
  <si>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</si>
  <si>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</si>
  <si>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</si>
  <si>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</si>
  <si>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</si>
  <si>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</si>
  <si>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</si>
  <si>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</si>
  <si>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</si>
  <si>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</si>
  <si>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</si>
  <si>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</si>
  <si>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</si>
  <si>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</si>
  <si>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</si>
  <si>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</si>
  <si>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</si>
  <si>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</si>
  <si>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</si>
  <si>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</si>
  <si>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</si>
  <si>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</si>
  <si>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</si>
  <si>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</si>
  <si>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</si>
  <si>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</si>
  <si>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</si>
  <si>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</si>
  <si>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</si>
  <si>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</si>
  <si>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</si>
  <si>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</si>
  <si>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</si>
  <si>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</si>
  <si>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</si>
  <si>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</si>
  <si>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</si>
  <si>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</si>
  <si>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</si>
  <si>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</si>
  <si>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</si>
  <si>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</si>
  <si>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</si>
  <si>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</si>
  <si>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</si>
  <si>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</si>
  <si>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</si>
  <si>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</si>
  <si>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</si>
  <si>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</si>
  <si>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</si>
  <si>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</si>
  <si>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</si>
  <si>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</si>
  <si>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</si>
  <si>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</si>
  <si>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</si>
  <si>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</si>
  <si>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</si>
  <si>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</si>
  <si>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</si>
  <si>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</si>
  <si>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</si>
  <si>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</si>
  <si>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</si>
  <si>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</si>
  <si>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</si>
  <si>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</si>
  <si>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</si>
  <si>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</si>
  <si>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</si>
  <si>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</si>
  <si>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</si>
  <si>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</si>
  <si>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</si>
  <si>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</si>
  <si>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</si>
  <si>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</si>
  <si>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</si>
  <si>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</si>
  <si>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</si>
  <si>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</si>
  <si>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</si>
  <si>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</si>
  <si>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</si>
  <si>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</si>
  <si>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</si>
  <si>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</si>
  <si>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</si>
  <si>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</si>
  <si>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</si>
  <si>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</si>
  <si>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</si>
  <si>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</si>
  <si>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</si>
  <si>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</si>
  <si>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</si>
  <si>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</si>
  <si>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</si>
  <si>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</si>
  <si>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</si>
  <si>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</si>
  <si>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</si>
  <si>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</si>
  <si>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</si>
  <si>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</si>
  <si>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</si>
  <si>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</si>
  <si>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</si>
  <si>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</si>
  <si>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</si>
  <si>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</si>
  <si>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</si>
  <si>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</si>
  <si>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</si>
  <si>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</si>
  <si>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</si>
  <si>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</si>
  <si>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</si>
  <si>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</si>
  <si>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</si>
  <si>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</si>
  <si>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</si>
  <si>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</si>
  <si>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</si>
  <si>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</si>
  <si>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</si>
  <si>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</si>
  <si>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</si>
  <si>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</si>
  <si>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</si>
  <si>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</si>
  <si>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</si>
  <si>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</si>
  <si>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</si>
  <si>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</si>
  <si>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</si>
  <si>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</si>
  <si>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</si>
  <si>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</si>
  <si>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</si>
  <si>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</si>
  <si>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</si>
  <si>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</si>
  <si>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</si>
  <si>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</si>
  <si>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</si>
  <si>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</si>
  <si>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</si>
  <si>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</si>
  <si>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</si>
  <si>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</si>
  <si>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</si>
  <si>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</si>
  <si>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</si>
  <si>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</si>
  <si>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</si>
  <si>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</si>
  <si>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</si>
  <si>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</si>
  <si>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</si>
  <si>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</si>
  <si>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</si>
  <si>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</si>
  <si>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</si>
  <si>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</si>
  <si>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</si>
  <si>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</si>
  <si>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</si>
  <si>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</si>
  <si>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</si>
  <si>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</si>
  <si>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</si>
  <si>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</si>
  <si>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</si>
  <si>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</si>
  <si>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</si>
  <si>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</si>
  <si>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</si>
  <si>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</si>
  <si>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</si>
  <si>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</si>
  <si>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</si>
  <si>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</si>
  <si>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</si>
  <si>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</si>
  <si>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</si>
  <si>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</si>
  <si>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</si>
  <si>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</si>
  <si>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</si>
  <si>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</si>
  <si>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</si>
  <si>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</si>
  <si>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</si>
  <si>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</si>
  <si>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</si>
  <si>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</si>
  <si>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</si>
  <si>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</si>
  <si>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</si>
  <si>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</si>
  <si>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</si>
  <si>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</si>
  <si>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</si>
  <si>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</si>
  <si>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</si>
  <si>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</si>
  <si>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</si>
  <si>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</si>
  <si>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</si>
  <si>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</si>
  <si>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</si>
  <si>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</si>
  <si>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</si>
  <si>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</si>
  <si>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</si>
  <si>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</si>
  <si>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</si>
  <si>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</si>
  <si>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</si>
  <si>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</si>
  <si>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</si>
  <si>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</si>
  <si>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</si>
  <si>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</si>
  <si>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</si>
  <si>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</si>
  <si>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</si>
  <si>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</si>
  <si>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</si>
  <si>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</si>
  <si>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</si>
  <si>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</si>
  <si>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</si>
  <si>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</si>
  <si>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</si>
  <si>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</si>
  <si>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</si>
  <si>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</si>
  <si>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</si>
  <si>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</si>
  <si>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</si>
  <si>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</si>
  <si>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</si>
  <si>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</si>
  <si>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</si>
  <si>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</si>
  <si>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</si>
  <si>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</si>
  <si>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</si>
  <si>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</si>
  <si>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</si>
  <si>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</si>
  <si>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</si>
  <si>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</si>
  <si>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</si>
  <si>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</si>
  <si>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</si>
  <si>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</si>
  <si>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</si>
  <si>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</si>
  <si>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</si>
  <si>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</si>
  <si>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</si>
  <si>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</si>
  <si>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</si>
  <si>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</si>
  <si>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</si>
  <si>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</si>
  <si>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</si>
  <si>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</si>
  <si>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</si>
  <si>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</si>
  <si>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</si>
  <si>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</si>
  <si>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</si>
  <si>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</si>
  <si>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</si>
  <si>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</si>
  <si>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</si>
  <si>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</si>
  <si>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</si>
  <si>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</si>
  <si>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</si>
  <si>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</si>
  <si>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</si>
  <si>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</si>
  <si>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</si>
  <si>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</si>
  <si>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</si>
  <si>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</si>
  <si>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</si>
  <si>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</si>
  <si>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</si>
  <si>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</si>
  <si>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</si>
  <si>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</si>
  <si>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</si>
  <si>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</si>
  <si>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</si>
  <si>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</si>
  <si>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</si>
  <si>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</si>
  <si>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</si>
  <si>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</si>
  <si>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</si>
  <si>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</si>
  <si>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</si>
  <si>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</si>
  <si>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</si>
  <si>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</si>
  <si>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</si>
  <si>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</si>
  <si>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</si>
  <si>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</si>
  <si>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</si>
  <si>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</si>
  <si>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</si>
  <si>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</si>
  <si>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</si>
  <si>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</si>
  <si>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</si>
  <si>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</si>
  <si>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</si>
  <si>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</si>
  <si>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</si>
  <si>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</si>
  <si>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</si>
  <si>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</si>
  <si>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</si>
  <si>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</si>
  <si>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</si>
  <si>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</si>
  <si>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</si>
  <si>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</si>
  <si>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</si>
  <si>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</si>
  <si>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</si>
  <si>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</si>
  <si>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</si>
  <si>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</si>
  <si>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</si>
  <si>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</si>
  <si>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</si>
  <si>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</si>
  <si>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</si>
  <si>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</si>
  <si>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</si>
  <si>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</si>
  <si>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</si>
  <si>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</si>
  <si>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</si>
  <si>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</si>
  <si>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</si>
  <si>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</si>
  <si>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</si>
  <si>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</si>
  <si>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</si>
  <si>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</si>
  <si>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</si>
  <si>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</si>
  <si>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</si>
  <si>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</si>
  <si>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</si>
  <si>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</si>
  <si>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</si>
  <si>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</si>
  <si>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</si>
  <si>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</si>
  <si>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</si>
  <si>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</si>
  <si>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</si>
  <si>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</si>
  <si>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</si>
  <si>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</si>
  <si>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</si>
  <si>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</si>
  <si>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</si>
  <si>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</si>
  <si>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</si>
  <si>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</si>
  <si>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</si>
  <si>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</si>
  <si>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</si>
  <si>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</si>
  <si>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</si>
  <si>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</si>
  <si>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</si>
  <si>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</si>
  <si>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</si>
  <si>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</si>
  <si>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</si>
  <si>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</si>
  <si>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</si>
  <si>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</si>
  <si>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</si>
  <si>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</si>
  <si>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</si>
  <si>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</si>
  <si>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</si>
  <si>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</si>
  <si>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</si>
  <si>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</si>
  <si>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</si>
  <si>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</si>
  <si>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</si>
  <si>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</si>
  <si>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</si>
  <si>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</si>
  <si>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</si>
  <si>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</si>
  <si>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</si>
  <si>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</si>
  <si>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</si>
  <si>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</si>
  <si>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</si>
  <si>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</si>
  <si>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</si>
  <si>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</si>
  <si>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</si>
  <si>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</si>
  <si>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</si>
  <si>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</si>
  <si>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</si>
  <si>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</si>
  <si>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</si>
  <si>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</si>
  <si>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</si>
  <si>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</si>
  <si>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</si>
  <si>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</si>
  <si>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</si>
  <si>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</si>
  <si>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</si>
  <si>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</si>
  <si>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</si>
  <si>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</si>
  <si>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</si>
  <si>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</si>
  <si>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</si>
  <si>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</si>
  <si>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</si>
  <si>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</si>
  <si>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</si>
  <si>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</si>
  <si>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</si>
  <si>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</si>
  <si>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</si>
  <si>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</si>
  <si>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</si>
  <si>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</si>
  <si>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</si>
  <si>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</si>
  <si>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</si>
  <si>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</si>
  <si>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</si>
  <si>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</si>
  <si>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</si>
  <si>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</si>
  <si>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</si>
  <si>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</si>
  <si>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</si>
  <si>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</si>
  <si>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</si>
  <si>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</si>
  <si>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</si>
  <si>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</si>
  <si>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</si>
  <si>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</si>
  <si>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</si>
  <si>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</si>
  <si>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</si>
  <si>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</si>
  <si>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</si>
  <si>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</si>
  <si>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</si>
  <si>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</si>
  <si>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</si>
  <si>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</si>
  <si>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</si>
  <si>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</si>
  <si>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</si>
  <si>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</si>
  <si>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</si>
  <si>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</si>
  <si>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</si>
  <si>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</si>
  <si>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</si>
  <si>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</si>
  <si>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</si>
  <si>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</si>
  <si>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</si>
  <si>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</si>
  <si>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</si>
  <si>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</si>
  <si>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</si>
  <si>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</si>
  <si>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</si>
  <si>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</si>
  <si>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</si>
  <si>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</si>
  <si>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</si>
  <si>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</si>
  <si>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</si>
  <si>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</si>
  <si>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</si>
  <si>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</si>
  <si>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</si>
  <si>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</si>
  <si>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</si>
  <si>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</si>
  <si>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</si>
  <si>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</si>
  <si>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</si>
  <si>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</si>
  <si>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</si>
  <si>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</si>
  <si>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</si>
  <si>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</si>
  <si>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</si>
  <si>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</si>
  <si>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</si>
  <si>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</si>
  <si>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</si>
  <si>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</si>
  <si>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</si>
  <si>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</si>
  <si>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</si>
  <si>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</si>
  <si>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</si>
  <si>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</si>
  <si>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</si>
  <si>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</si>
  <si>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</si>
  <si>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</si>
  <si>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</si>
  <si>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</si>
  <si>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</si>
  <si>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</si>
  <si>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</si>
  <si>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</si>
  <si>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</si>
  <si>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</si>
  <si>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</si>
  <si>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</si>
  <si>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</si>
  <si>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</si>
  <si>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</si>
  <si>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</si>
  <si>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</si>
  <si>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</si>
  <si>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</si>
  <si>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</si>
  <si>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</si>
  <si>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</si>
  <si>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</si>
  <si>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</si>
  <si>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</si>
  <si>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</si>
  <si>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</si>
  <si>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</si>
  <si>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</si>
  <si>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</si>
  <si>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</si>
  <si>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</si>
  <si>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</si>
  <si>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</si>
  <si>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</si>
  <si>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</si>
  <si>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</si>
  <si>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</si>
  <si>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</si>
  <si>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</si>
  <si>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</si>
  <si>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</si>
  <si>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</si>
  <si>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</si>
  <si>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</si>
  <si>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</si>
  <si>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</si>
  <si>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</si>
  <si>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</si>
  <si>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</si>
  <si>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</si>
  <si>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</si>
  <si>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</si>
  <si>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</si>
  <si>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</si>
  <si>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</si>
  <si>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</si>
  <si>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</si>
  <si>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</si>
  <si>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</si>
  <si>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</si>
  <si>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</si>
  <si>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</si>
  <si>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</si>
  <si>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</si>
  <si>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</si>
  <si>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</si>
  <si>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</si>
  <si>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</si>
  <si>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</si>
  <si>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</si>
  <si>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</si>
  <si>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</si>
  <si>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</si>
  <si>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</si>
  <si>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</si>
  <si>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</si>
  <si>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</si>
  <si>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</si>
  <si>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</si>
  <si>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</si>
  <si>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</si>
  <si>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</si>
  <si>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</si>
  <si>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</si>
  <si>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</si>
  <si>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</si>
  <si>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</si>
  <si>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</si>
  <si>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</si>
  <si>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</si>
  <si>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</si>
  <si>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</si>
  <si>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</si>
  <si>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</si>
  <si>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</si>
  <si>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</si>
  <si>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</si>
  <si>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</si>
  <si>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</si>
  <si>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</si>
  <si>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</si>
  <si>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</si>
  <si>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</si>
  <si>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</si>
  <si>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</si>
  <si>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</si>
  <si>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</si>
  <si>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</si>
  <si>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</si>
  <si>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</si>
  <si>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</si>
  <si>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</si>
  <si>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</si>
  <si>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</si>
  <si>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</si>
  <si>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</si>
  <si>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</si>
  <si>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</si>
  <si>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</si>
  <si>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</si>
  <si>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</si>
  <si>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</si>
  <si>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</si>
  <si>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</si>
  <si>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</si>
  <si>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</si>
  <si>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</si>
  <si>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</si>
  <si>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</si>
  <si>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</si>
  <si>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</si>
  <si>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</si>
  <si>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</si>
  <si>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</si>
  <si>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</si>
  <si>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</si>
  <si>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</si>
  <si>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</si>
  <si>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</si>
  <si>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</si>
  <si>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</si>
  <si>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</si>
  <si>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</si>
  <si>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</si>
  <si>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</si>
  <si>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</si>
  <si>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</si>
  <si>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</si>
  <si>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</si>
  <si>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</si>
  <si>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</si>
  <si>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</si>
  <si>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</si>
  <si>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</si>
  <si>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</si>
  <si>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</si>
  <si>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</si>
  <si>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</si>
  <si>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</si>
  <si>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</si>
  <si>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</si>
  <si>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</si>
  <si>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</si>
  <si>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</si>
  <si>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</si>
  <si>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</si>
  <si>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</si>
  <si>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</si>
  <si>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</si>
  <si>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</si>
  <si>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</si>
  <si>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</si>
  <si>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</si>
  <si>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</si>
  <si>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</si>
  <si>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</si>
  <si>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</si>
  <si>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</si>
  <si>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</si>
  <si>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</si>
  <si>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</si>
  <si>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</si>
  <si>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</si>
  <si>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</si>
  <si>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</si>
  <si>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</si>
  <si>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</si>
  <si>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</si>
  <si>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</si>
  <si>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</si>
  <si>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</si>
  <si>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</si>
  <si>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</si>
  <si>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</si>
  <si>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</si>
  <si>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</si>
  <si>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</si>
  <si>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</si>
  <si>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</si>
  <si>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</si>
  <si>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</si>
  <si>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</si>
  <si>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</si>
  <si>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</si>
  <si>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</si>
  <si>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</si>
  <si>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</si>
  <si>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</si>
  <si>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</si>
  <si>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</si>
  <si>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</si>
  <si>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</si>
  <si>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</si>
  <si>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</si>
  <si>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</si>
  <si>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</si>
  <si>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</si>
  <si>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</si>
  <si>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</si>
  <si>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</si>
  <si>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</si>
  <si>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</si>
  <si>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</si>
  <si>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</si>
  <si>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</si>
  <si>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</si>
  <si>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</si>
  <si>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</si>
  <si>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</si>
  <si>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</si>
  <si>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</si>
  <si>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</si>
  <si>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</si>
  <si>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</si>
  <si>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</si>
  <si>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</si>
  <si>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</si>
  <si>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</si>
  <si>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</si>
  <si>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</si>
  <si>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</si>
  <si>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</si>
  <si>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</si>
  <si>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</si>
  <si>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</si>
  <si>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</si>
  <si>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</si>
  <si>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</si>
  <si>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</si>
  <si>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</si>
  <si>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</si>
  <si>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</si>
  <si>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</si>
  <si>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</si>
  <si>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</si>
  <si>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</si>
  <si>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</si>
  <si>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</si>
  <si>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</si>
  <si>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</si>
  <si>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</si>
  <si>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</si>
  <si>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</si>
  <si>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</si>
  <si>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</si>
  <si>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</si>
  <si>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</si>
  <si>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</si>
  <si>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</si>
  <si>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</si>
  <si>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</si>
  <si>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</si>
  <si>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</si>
  <si>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</si>
  <si>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</si>
  <si>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</si>
  <si>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</si>
  <si>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</si>
  <si>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</si>
  <si>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</si>
  <si>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</si>
  <si>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</si>
  <si>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</si>
  <si>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</si>
  <si>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</si>
  <si>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</si>
  <si>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</si>
  <si>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</si>
  <si>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</si>
  <si>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</si>
  <si>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</si>
  <si>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</si>
  <si>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</si>
  <si>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</si>
  <si>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</si>
  <si>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</si>
  <si>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</si>
  <si>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</si>
  <si>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</si>
  <si>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</si>
  <si>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</si>
  <si>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</si>
  <si>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</si>
  <si>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</si>
  <si>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</si>
  <si>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</si>
  <si>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</si>
  <si>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</si>
  <si>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</si>
  <si>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</si>
  <si>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</si>
  <si>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</si>
  <si>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</si>
  <si>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</si>
  <si>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</si>
  <si>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</si>
  <si>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</si>
  <si>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</si>
  <si>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</si>
  <si>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</si>
  <si>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</si>
  <si>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</si>
  <si>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</si>
  <si>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</si>
  <si>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</si>
  <si>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</si>
  <si>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</si>
  <si>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</si>
  <si>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</si>
  <si>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</si>
  <si>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</si>
  <si>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</si>
  <si>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</si>
  <si>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</si>
  <si>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</si>
  <si>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</si>
  <si>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</si>
  <si>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</si>
  <si>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</si>
  <si>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</si>
  <si>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</si>
  <si>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</si>
  <si>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</si>
  <si>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</si>
  <si>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</si>
  <si>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</si>
  <si>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</si>
  <si>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</si>
  <si>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</si>
  <si>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</si>
  <si>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</si>
  <si>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</si>
  <si>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</si>
  <si>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</si>
  <si>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</si>
  <si>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</si>
  <si>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</si>
  <si>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</si>
  <si>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</si>
  <si>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</si>
  <si>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</si>
  <si>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</si>
  <si>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</si>
  <si>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</si>
  <si>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</si>
  <si>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</si>
  <si>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</si>
  <si>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</si>
  <si>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</si>
  <si>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</si>
  <si>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</si>
  <si>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</si>
  <si>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</si>
  <si>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</si>
  <si>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</si>
  <si>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</si>
  <si>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</si>
  <si>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</si>
  <si>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</si>
  <si>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</si>
  <si>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</si>
  <si>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</si>
  <si>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</si>
  <si>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</si>
  <si>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</si>
  <si>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</si>
  <si>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</si>
  <si>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</si>
  <si>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</si>
  <si>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</si>
  <si>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</si>
  <si>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</si>
  <si>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</si>
  <si>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</si>
  <si>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</si>
  <si>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</si>
  <si>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</si>
  <si>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</si>
  <si>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</si>
  <si>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</si>
  <si>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</si>
  <si>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</si>
  <si>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</si>
  <si>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</si>
  <si>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</si>
  <si>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</si>
  <si>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</si>
  <si>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</si>
  <si>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</si>
  <si>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</si>
  <si>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</si>
  <si>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</si>
  <si>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</si>
  <si>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</si>
  <si>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</si>
  <si>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</si>
  <si>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</si>
  <si>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</si>
  <si>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</si>
  <si>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</si>
  <si>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</si>
  <si>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</si>
  <si>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</si>
  <si>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</si>
  <si>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</si>
  <si>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</si>
  <si>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</si>
  <si>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</si>
  <si>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</si>
  <si>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</si>
  <si>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</si>
  <si>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</si>
  <si>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</si>
  <si>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</si>
  <si>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</si>
  <si>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</si>
  <si>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</si>
  <si>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</si>
  <si>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</si>
  <si>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</si>
  <si>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</si>
  <si>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</si>
  <si>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</si>
  <si>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</si>
  <si>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</si>
  <si>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</si>
  <si>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</si>
  <si>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</si>
  <si>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</si>
  <si>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</si>
  <si>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</si>
  <si>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</si>
  <si>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</si>
  <si>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</si>
  <si>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</si>
  <si>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</si>
  <si>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</si>
  <si>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</si>
  <si>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</si>
  <si>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</si>
  <si>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</si>
  <si>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</si>
  <si>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</si>
  <si>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</si>
  <si>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</si>
  <si>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</si>
  <si>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</si>
  <si>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</si>
  <si>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</si>
  <si>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</si>
  <si>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</si>
  <si>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</si>
  <si>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</si>
  <si>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</si>
  <si>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</si>
  <si>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</si>
  <si>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</si>
  <si>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</si>
  <si>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</si>
  <si>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</si>
  <si>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</si>
  <si>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</si>
  <si>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</si>
  <si>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</si>
  <si>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</si>
  <si>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</si>
  <si>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</si>
  <si>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</si>
  <si>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</si>
  <si>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</si>
  <si>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</si>
  <si>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</si>
  <si>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</si>
  <si>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</si>
  <si>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</si>
  <si>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</si>
  <si>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</si>
  <si>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</si>
  <si>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</si>
  <si>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</si>
  <si>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</si>
  <si>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</si>
  <si>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</si>
  <si>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</si>
  <si>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</si>
  <si>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</si>
  <si>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</si>
  <si>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</si>
  <si>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</si>
  <si>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</si>
  <si>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</si>
  <si>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</si>
  <si>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</si>
  <si>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</si>
  <si>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</si>
  <si>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</si>
  <si>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</si>
  <si>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</si>
  <si>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</si>
  <si>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</si>
  <si>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</si>
  <si>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</si>
  <si>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</si>
  <si>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</si>
  <si>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</si>
  <si>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</si>
  <si>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</si>
  <si>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</si>
  <si>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</si>
  <si>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</si>
  <si>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</si>
  <si>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</si>
  <si>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</si>
  <si>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</si>
  <si>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</si>
  <si>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</si>
  <si>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</si>
  <si>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</si>
  <si>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</si>
  <si>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</si>
  <si>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</si>
  <si>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</si>
  <si>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</si>
  <si>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</si>
  <si>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</si>
  <si>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</si>
  <si>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</si>
  <si>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</si>
  <si>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</si>
  <si>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</si>
  <si>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</si>
  <si>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</si>
  <si>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</si>
  <si>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</si>
  <si>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</si>
  <si>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</si>
  <si>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</si>
  <si>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</si>
  <si>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</si>
  <si>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</si>
  <si>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</si>
  <si>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</si>
  <si>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</si>
  <si>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</si>
  <si>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</si>
  <si>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</si>
  <si>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</si>
  <si>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</si>
  <si>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</si>
  <si>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</si>
  <si>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</si>
  <si>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</si>
  <si>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</si>
  <si>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</si>
  <si>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</si>
  <si>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</si>
  <si>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</si>
  <si>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</si>
  <si>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</si>
  <si>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</si>
  <si>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</si>
  <si>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</si>
  <si>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</si>
  <si>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</si>
  <si>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</si>
  <si>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</si>
  <si>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</si>
  <si>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</si>
  <si>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</si>
  <si>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</si>
  <si>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</si>
  <si>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</si>
  <si>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</si>
  <si>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</si>
  <si>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</si>
  <si>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</si>
  <si>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</si>
  <si>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</si>
  <si>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</si>
  <si>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</si>
  <si>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</si>
  <si>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</si>
  <si>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</si>
  <si>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</si>
  <si>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</si>
  <si>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</si>
  <si>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</si>
  <si>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</si>
  <si>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</si>
  <si>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</si>
  <si>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</si>
  <si>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</si>
  <si>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</si>
  <si>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</si>
  <si>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</si>
  <si>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</si>
  <si>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</si>
  <si>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</si>
  <si>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</si>
  <si>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</si>
  <si>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</si>
  <si>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</si>
  <si>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</si>
  <si>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</si>
  <si>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</si>
  <si>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</si>
  <si>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</si>
  <si>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</si>
  <si>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</si>
  <si>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</si>
  <si>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</si>
  <si>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</si>
  <si>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</si>
  <si>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</si>
  <si>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</si>
  <si>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</si>
  <si>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</si>
  <si>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</si>
  <si>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</si>
  <si>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</si>
  <si>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</si>
  <si>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</si>
  <si>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</si>
  <si>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</si>
  <si>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</si>
  <si>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</si>
  <si>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</si>
  <si>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</si>
  <si>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</si>
  <si>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</si>
  <si>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</si>
  <si>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</si>
  <si>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</si>
  <si>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</si>
  <si>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</si>
  <si>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</si>
  <si>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</si>
  <si>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</si>
  <si>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</si>
  <si>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</si>
  <si>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</si>
  <si>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</si>
  <si>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</si>
  <si>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</si>
  <si>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</si>
  <si>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</si>
  <si>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</si>
  <si>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</si>
  <si>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</si>
  <si>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</si>
  <si>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</si>
  <si>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</si>
  <si>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</si>
  <si>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</si>
  <si>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</si>
  <si>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</si>
  <si>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</si>
  <si>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</si>
  <si>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</si>
  <si>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</si>
  <si>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</si>
  <si>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</si>
  <si>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</si>
  <si>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</si>
  <si>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</si>
  <si>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</si>
  <si>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</si>
  <si>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</si>
  <si>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</si>
  <si>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</si>
  <si>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</si>
  <si>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</si>
  <si>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</si>
  <si>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</si>
  <si>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</si>
  <si>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</si>
  <si>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</si>
  <si>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</si>
  <si>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</si>
  <si>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</si>
  <si>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</si>
  <si>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</si>
  <si>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</si>
  <si>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</si>
  <si>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</si>
  <si>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</si>
  <si>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</si>
  <si>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</si>
  <si>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</si>
  <si>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</si>
  <si>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</si>
  <si>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</si>
  <si>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</si>
  <si>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</si>
  <si>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</si>
  <si>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</si>
  <si>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</si>
  <si>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</si>
  <si>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</si>
  <si>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</si>
  <si>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</si>
  <si>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</si>
  <si>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</si>
  <si>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</si>
  <si>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</si>
  <si>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</si>
  <si>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</si>
  <si>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</si>
  <si>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</si>
  <si>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</si>
  <si>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</si>
  <si>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</si>
  <si>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</si>
  <si>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</si>
  <si>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</si>
  <si>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</si>
  <si>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</si>
  <si>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</si>
  <si>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</si>
  <si>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</si>
  <si>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</si>
  <si>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</si>
  <si>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</si>
  <si>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</si>
  <si>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</si>
  <si>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</si>
  <si>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</si>
  <si>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</si>
  <si>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</si>
  <si>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</si>
  <si>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</si>
  <si>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</si>
  <si>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</si>
  <si>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</si>
  <si>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</si>
  <si>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</si>
  <si>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</si>
  <si>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</si>
  <si>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</si>
  <si>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</si>
  <si>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</si>
  <si>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</si>
  <si>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</si>
  <si>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</si>
  <si>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</si>
  <si>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</si>
  <si>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</si>
  <si>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</si>
  <si>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</si>
  <si>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</si>
  <si>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</si>
  <si>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</si>
  <si>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</si>
  <si>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</si>
  <si>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</si>
  <si>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</si>
  <si>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</si>
  <si>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</si>
  <si>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</si>
  <si>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</si>
  <si>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</si>
  <si>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</si>
  <si>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</si>
  <si>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</si>
  <si>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</si>
  <si>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</si>
  <si>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</si>
  <si>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</si>
  <si>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</si>
  <si>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</si>
  <si>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</si>
  <si>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</si>
  <si>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</si>
  <si>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</si>
  <si>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</si>
  <si>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</si>
  <si>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</si>
  <si>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</si>
  <si>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</si>
  <si>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</si>
  <si>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</si>
  <si>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</si>
  <si>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</si>
  <si>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</si>
  <si>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</si>
  <si>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</si>
  <si>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</si>
  <si>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</si>
  <si>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</si>
  <si>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</si>
  <si>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</si>
  <si>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</si>
  <si>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</si>
  <si>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</si>
  <si>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</si>
  <si>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</si>
  <si>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</si>
  <si>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</si>
  <si>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</si>
  <si>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</si>
  <si>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</si>
  <si>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</si>
  <si>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</si>
  <si>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</si>
  <si>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</si>
  <si>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</si>
  <si>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</si>
  <si>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</si>
  <si>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</si>
  <si>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</si>
  <si>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</si>
  <si>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</si>
  <si>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</si>
  <si>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</si>
  <si>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</si>
  <si>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</si>
  <si>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</si>
  <si>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</si>
  <si>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</si>
  <si>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</si>
  <si>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</si>
  <si>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</si>
  <si>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</si>
  <si>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</si>
  <si>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</si>
  <si>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</si>
  <si>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</si>
  <si>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</si>
  <si>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</si>
  <si>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</si>
  <si>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</si>
  <si>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</si>
  <si>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</si>
  <si>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</si>
  <si>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</si>
  <si>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</si>
  <si>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</si>
  <si>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</si>
  <si>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</si>
  <si>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</si>
  <si>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</si>
  <si>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</si>
  <si>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</si>
  <si>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</si>
  <si>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</si>
  <si>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</si>
  <si>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</si>
  <si>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</si>
  <si>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</si>
  <si>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</si>
  <si>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</si>
  <si>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</si>
  <si>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</si>
  <si>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</si>
  <si>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</si>
  <si>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</si>
  <si>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</si>
  <si>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</si>
  <si>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</si>
  <si>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</si>
  <si>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</si>
  <si>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</si>
  <si>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</si>
  <si>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</si>
  <si>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</si>
  <si>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</si>
  <si>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</si>
  <si>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</si>
  <si>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</si>
  <si>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</si>
  <si>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</si>
  <si>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</si>
  <si>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</si>
  <si>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</si>
  <si>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</si>
  <si>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</si>
  <si>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</si>
  <si>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</si>
  <si>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</si>
  <si>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</si>
  <si>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</si>
  <si>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</si>
  <si>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</si>
  <si>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</si>
  <si>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</si>
  <si>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</si>
  <si>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抵押价格</t>
  </si>
  <si>
    <t>商业</t>
  </si>
  <si>
    <t>地上</t>
  </si>
  <si>
    <t>一致</t>
  </si>
  <si>
    <t>符合</t>
  </si>
  <si>
    <t>车库</t>
  </si>
  <si>
    <t>否</t>
  </si>
  <si>
    <t>住宅</t>
    <phoneticPr fontId="7" type="noConversion"/>
  </si>
  <si>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</si>
  <si>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</si>
  <si>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</si>
  <si>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</si>
  <si>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</si>
  <si>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</si>
  <si>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</si>
  <si>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</si>
  <si>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</si>
  <si>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</si>
  <si>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</si>
  <si>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</si>
  <si>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</si>
  <si>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</si>
  <si>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紫金花园南1-01区块</t>
  </si>
  <si>
    <t>徐州市</t>
  </si>
  <si>
    <t>住宅用地</t>
  </si>
  <si>
    <t>大于或等于1.01并且小于或等于2.2</t>
  </si>
  <si>
    <t>挂牌</t>
  </si>
  <si>
    <t>2020-02-13</t>
  </si>
  <si>
    <t>江西佳宜置业有限公司</t>
  </si>
  <si>
    <t>3星</t>
  </si>
  <si>
    <t>紫金花园南1-02区块</t>
  </si>
  <si>
    <t>健康路北,永安路西</t>
  </si>
  <si>
    <t>大于或等于1.01并且小于或等于2</t>
  </si>
  <si>
    <t>2019-12-20</t>
  </si>
  <si>
    <t>丰县城市发展投资有限公司</t>
  </si>
  <si>
    <t>4星</t>
  </si>
  <si>
    <t>中阳大道南,永安路西</t>
  </si>
  <si>
    <t>丰县城市投资发展有限公司</t>
  </si>
  <si>
    <t>南环路南,栖凤路西</t>
  </si>
  <si>
    <t>丰县保障性住房建设有限公司</t>
  </si>
  <si>
    <t>人民路北,柳毅路西</t>
  </si>
  <si>
    <t>健康路北,东环路东</t>
  </si>
  <si>
    <t>中阳大道南,东环路东</t>
  </si>
  <si>
    <t>东城路东,南苑路南</t>
  </si>
  <si>
    <t>2019-10-25</t>
  </si>
  <si>
    <t>丰县碧桂园房地产开发有限公司</t>
  </si>
  <si>
    <t>丰邑路东,国税局北</t>
  </si>
  <si>
    <t>大于或等于1.01并且小于或等于3</t>
  </si>
  <si>
    <t>江苏骅东房地产开发有限公司</t>
  </si>
  <si>
    <t>汉韵路北,栖凤路西</t>
  </si>
  <si>
    <t>2019-08-14</t>
  </si>
  <si>
    <t>华山镇老丰徐路南,经东四路西</t>
  </si>
  <si>
    <t>大于或等于1.3并且小于或等于1.6</t>
  </si>
  <si>
    <t>丰县名仕房地产开发有限公司</t>
  </si>
  <si>
    <t>2星</t>
  </si>
  <si>
    <t>汉韵路南,丰邑大道东</t>
  </si>
  <si>
    <t>2019-06-19</t>
  </si>
  <si>
    <t>北至外国语学校,东至西城路,南至中阳大道,西至柳毅路</t>
  </si>
  <si>
    <t>大于或等于1.01并且小于或等于2.5</t>
  </si>
  <si>
    <t>丰县明城房地产开发有限公司</t>
  </si>
  <si>
    <t>纬十二路北,丰邑大道东</t>
  </si>
  <si>
    <t>2019-02-27</t>
  </si>
  <si>
    <t>北至纬一路,东至西城路,南至04号区块,西至观澜郡</t>
  </si>
  <si>
    <t>2019-01-10</t>
  </si>
  <si>
    <t>徐州泰子宇轩置业有限公司</t>
  </si>
  <si>
    <t>北至凤翔路,东至空地,南至空地,西至东环路</t>
  </si>
  <si>
    <t>大于或等于1.01并且小于或等于1.5</t>
  </si>
  <si>
    <t>2018-12-18</t>
  </si>
  <si>
    <t>丰县经济开发区投资发展有限责任公司</t>
  </si>
  <si>
    <t>解放大道北,创新路西</t>
  </si>
  <si>
    <t>2018-09-27</t>
  </si>
  <si>
    <t>东城路东,解放大道北</t>
  </si>
  <si>
    <t>徐州丰华房地产开发有限公司</t>
  </si>
  <si>
    <t>汉韵路南,东城路东</t>
  </si>
  <si>
    <t>大于或等于1.2并且小于或等于2.5</t>
  </si>
  <si>
    <t>徐州高盛地产开发有限公司</t>
  </si>
  <si>
    <t>大庆路南,锦绣龙城东</t>
  </si>
  <si>
    <t>大于或等于1.01并且小于或等于3.1</t>
  </si>
  <si>
    <t>徐州智恒房地产开发有限公司</t>
  </si>
  <si>
    <t>解放大道南,东城路东</t>
  </si>
  <si>
    <t>丰县恒嘉置业有限公司</t>
  </si>
  <si>
    <t>华山镇华强路北,经东四路西</t>
  </si>
  <si>
    <t>2018-07-04</t>
  </si>
  <si>
    <t>丰县名仕房产开发有限公司</t>
  </si>
  <si>
    <t>2017-12-15</t>
  </si>
  <si>
    <t>白帝河南,西环路西</t>
  </si>
  <si>
    <t>2017-12-08</t>
  </si>
  <si>
    <t>丰县常财商贸有限公司</t>
  </si>
  <si>
    <t>正常</t>
    <phoneticPr fontId="26" type="noConversion"/>
  </si>
  <si>
    <t>正常</t>
    <phoneticPr fontId="26" type="noConversion"/>
  </si>
  <si>
    <t>住宅</t>
    <phoneticPr fontId="26" type="noConversion"/>
  </si>
  <si>
    <t>住宅</t>
    <phoneticPr fontId="26" type="noConversion"/>
  </si>
  <si>
    <t>一般</t>
    <phoneticPr fontId="26" type="noConversion"/>
  </si>
  <si>
    <t>楼面地价</t>
  </si>
  <si>
    <t>比较法-住宅、综合</t>
  </si>
  <si>
    <t>较好</t>
    <phoneticPr fontId="26" type="noConversion"/>
  </si>
  <si>
    <t>较好</t>
    <phoneticPr fontId="26" type="noConversion"/>
  </si>
  <si>
    <t>七通</t>
    <phoneticPr fontId="26" type="noConversion"/>
  </si>
  <si>
    <t>六通</t>
    <phoneticPr fontId="26" type="noConversion"/>
  </si>
  <si>
    <t>五通</t>
    <phoneticPr fontId="26" type="noConversion"/>
  </si>
  <si>
    <t>三通</t>
    <phoneticPr fontId="26" type="noConversion"/>
  </si>
  <si>
    <t>四通</t>
    <phoneticPr fontId="26" type="noConversion"/>
  </si>
  <si>
    <t>自定义</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</si>
  <si>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</si>
  <si>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</si>
  <si>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t>
    </r>
    <r>
      <rPr>
        <sz val="11"/>
        <color theme="1"/>
        <rFont val="Arial"/>
        <family val="2"/>
      </rPr>
      <t>)</t>
    </r>
    <phoneticPr fontId="14" type="noConversion"/>
  </si>
  <si>
    <t>宝龙世家</t>
    <phoneticPr fontId="228" type="noConversion"/>
  </si>
  <si>
    <t>容积率</t>
    <phoneticPr fontId="228" type="noConversion"/>
  </si>
  <si>
    <t>面积</t>
    <phoneticPr fontId="228" type="noConversion"/>
  </si>
  <si>
    <t>单价</t>
    <phoneticPr fontId="228" type="noConversion"/>
  </si>
  <si>
    <t>融耀新城</t>
    <phoneticPr fontId="228" type="noConversion"/>
  </si>
  <si>
    <t>公园壹号</t>
    <phoneticPr fontId="228" type="noConversion"/>
  </si>
  <si>
    <t>正常</t>
    <phoneticPr fontId="21" type="noConversion"/>
  </si>
  <si>
    <t>住宅</t>
    <phoneticPr fontId="21" type="noConversion"/>
  </si>
  <si>
    <t>住宅</t>
    <phoneticPr fontId="21" type="noConversion"/>
  </si>
  <si>
    <t>60-70（含）</t>
  </si>
  <si>
    <t>一般</t>
    <phoneticPr fontId="21" type="noConversion"/>
  </si>
  <si>
    <t>较好</t>
    <phoneticPr fontId="21" type="noConversion"/>
  </si>
  <si>
    <t>高层</t>
    <phoneticPr fontId="21" type="noConversion"/>
  </si>
  <si>
    <t>售价</t>
  </si>
  <si>
    <t>毛坯</t>
    <phoneticPr fontId="21" type="noConversion"/>
  </si>
  <si>
    <t>一般</t>
  </si>
  <si>
    <t>较好</t>
  </si>
  <si>
    <t>住宅</t>
    <phoneticPr fontId="3" type="noConversion"/>
  </si>
  <si>
    <t>详细规划</t>
  </si>
  <si>
    <t>成交日期</t>
  </si>
  <si>
    <t>东环路西,南苑路南</t>
  </si>
  <si>
    <t>城镇住宅用地</t>
  </si>
  <si>
    <t>2020-07-08</t>
  </si>
  <si>
    <t>九巨龙房地产开发有限公司</t>
  </si>
  <si>
    <t>东环路西,文昌路北</t>
  </si>
  <si>
    <t>南苑路南,书院街东</t>
  </si>
  <si>
    <t>2020-07-02</t>
  </si>
  <si>
    <t>南苑路南,书院街西</t>
  </si>
  <si>
    <t>南苑路北,南苑农贸市场东</t>
  </si>
  <si>
    <t>南环路南,丰邑路东</t>
  </si>
  <si>
    <t>大于或等于1.01并且小于或等于2.3</t>
  </si>
  <si>
    <t>2020-06-18</t>
  </si>
  <si>
    <t>南环路南,康桥路西</t>
  </si>
  <si>
    <t>南环路南,西环路东</t>
  </si>
  <si>
    <t>2020-05-08</t>
  </si>
  <si>
    <t>丰县国有资产经营有限公司</t>
  </si>
  <si>
    <t>南环路南,柳毅路西</t>
  </si>
  <si>
    <t>凤祥路南,东环路东</t>
  </si>
  <si>
    <t>丰县经济开发区投资发展责任有限公司</t>
  </si>
  <si>
    <t>南苑路南,工农路东</t>
  </si>
  <si>
    <t>临沂隆丰行怡景房地产开发有限公司</t>
  </si>
  <si>
    <t>南苑路南,支农路西</t>
  </si>
  <si>
    <t>工农路东,1-02区块北</t>
  </si>
  <si>
    <t>5星</t>
  </si>
  <si>
    <t>中低价位、中小套型普通商品住房用地</t>
  </si>
  <si>
    <t>北至无名路,东至空地,南至汉韵路,西至凤城帝景一期</t>
  </si>
  <si>
    <t>徐州宇峰置业发展有限公司</t>
  </si>
  <si>
    <t>南苑路南,经六路西</t>
  </si>
  <si>
    <t>西至徐港置业有限公司</t>
  </si>
  <si>
    <t>北环路南,西环路东</t>
  </si>
  <si>
    <t>丰县常丰能源有限公司</t>
  </si>
  <si>
    <t>丰县常鑫商贸有限公司</t>
  </si>
  <si>
    <t>丰县常财置业有限公司</t>
  </si>
  <si>
    <t>南环路南,东城路东</t>
  </si>
  <si>
    <t>2017-11-27</t>
  </si>
  <si>
    <t>七通</t>
  </si>
  <si>
    <t>五通</t>
  </si>
  <si>
    <t>单面临街</t>
  </si>
  <si>
    <t>秦台路</t>
    <phoneticPr fontId="26" type="noConversion"/>
  </si>
  <si>
    <t>书院街</t>
    <phoneticPr fontId="26" type="noConversion"/>
  </si>
  <si>
    <t>文昌路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</si>
  <si>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</si>
  <si>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</si>
  <si>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</si>
  <si>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</si>
  <si>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</si>
  <si>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南苑路北,支农路西</t>
    <phoneticPr fontId="228" type="noConversion"/>
  </si>
  <si>
    <t>支农路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</si>
</sst>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17" borderId="25" xfId="2" applyNumberFormat="1" applyFont="1" applyFill="1" applyBorder="1" applyAlignment="1" applyProtection="1">
      <alignment horizontal="center" vertical="center"/>
      <protection locked="0"/>
    </xf>
    <xf numFmtId="181" fontId="76" fillId="17" borderId="51" xfId="0"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177"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18" borderId="0" xfId="0" applyFill="1" applyAlignment="1"/>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Fill="1" applyAlignment="1"/>
    <xf numFmtId="0" fontId="145" fillId="18"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1333500</xdr:colOff>
      <xdr:row>53</xdr:row>
      <xdr:rowOff>0</xdr:rowOff>
    </xdr:from>
    <xdr:to>
      <xdr:col>8</xdr:col>
      <xdr:colOff>37233</xdr:colOff>
      <xdr:row>88</xdr:row>
      <xdr:rowOff>170679</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0" y="9086850"/>
          <a:ext cx="6942858"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75334</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334" cy="3495238"/>
        </a:xfrm>
        <a:prstGeom prst="rect">
          <a:avLst/>
        </a:prstGeom>
      </xdr:spPr>
    </xdr:pic>
    <xdr:clientData/>
  </xdr:twoCellAnchor>
  <xdr:twoCellAnchor editAs="oneCell">
    <xdr:from>
      <xdr:col>0</xdr:col>
      <xdr:colOff>0</xdr:colOff>
      <xdr:row>19</xdr:row>
      <xdr:rowOff>123825</xdr:rowOff>
    </xdr:from>
    <xdr:to>
      <xdr:col>9</xdr:col>
      <xdr:colOff>84943</xdr:colOff>
      <xdr:row>35</xdr:row>
      <xdr:rowOff>94911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81375"/>
          <a:ext cx="6257143" cy="2714286"/>
        </a:xfrm>
        <a:prstGeom prst="rect">
          <a:avLst/>
        </a:prstGeom>
      </xdr:spPr>
    </xdr:pic>
    <xdr:clientData/>
  </xdr:twoCellAnchor>
  <xdr:twoCellAnchor editAs="oneCell">
    <xdr:from>
      <xdr:col>0</xdr:col>
      <xdr:colOff>0</xdr:colOff>
      <xdr:row>37</xdr:row>
      <xdr:rowOff>0</xdr:rowOff>
    </xdr:from>
    <xdr:to>
      <xdr:col>10</xdr:col>
      <xdr:colOff>37239</xdr:colOff>
      <xdr:row>55</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95239" cy="3123810"/>
        </a:xfrm>
        <a:prstGeom prst="rect">
          <a:avLst/>
        </a:prstGeom>
      </xdr:spPr>
    </xdr:pic>
    <xdr:clientData/>
  </xdr:twoCellAnchor>
  <xdr:twoCellAnchor editAs="oneCell">
    <xdr:from>
      <xdr:col>0</xdr:col>
      <xdr:colOff>0</xdr:colOff>
      <xdr:row>56</xdr:row>
      <xdr:rowOff>0</xdr:rowOff>
    </xdr:from>
    <xdr:to>
      <xdr:col>9</xdr:col>
      <xdr:colOff>246848</xdr:colOff>
      <xdr:row>69</xdr:row>
      <xdr:rowOff>75912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6419048" cy="2304762"/>
        </a:xfrm>
        <a:prstGeom prst="rect">
          <a:avLst/>
        </a:prstGeom>
      </xdr:spPr>
    </xdr:pic>
    <xdr:clientData/>
  </xdr:twoCellAnchor>
  <xdr:twoCellAnchor editAs="oneCell">
    <xdr:from>
      <xdr:col>0</xdr:col>
      <xdr:colOff>0</xdr:colOff>
      <xdr:row>71</xdr:row>
      <xdr:rowOff>0</xdr:rowOff>
    </xdr:from>
    <xdr:to>
      <xdr:col>8</xdr:col>
      <xdr:colOff>46934</xdr:colOff>
      <xdr:row>89</xdr:row>
      <xdr:rowOff>151995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5533334" cy="3238095"/>
        </a:xfrm>
        <a:prstGeom prst="rect">
          <a:avLst/>
        </a:prstGeom>
      </xdr:spPr>
    </xdr:pic>
    <xdr:clientData/>
  </xdr:twoCellAnchor>
  <xdr:twoCellAnchor editAs="oneCell">
    <xdr:from>
      <xdr:col>0</xdr:col>
      <xdr:colOff>0</xdr:colOff>
      <xdr:row>90</xdr:row>
      <xdr:rowOff>0</xdr:rowOff>
    </xdr:from>
    <xdr:to>
      <xdr:col>9</xdr:col>
      <xdr:colOff>303991</xdr:colOff>
      <xdr:row>106</xdr:row>
      <xdr:rowOff>37753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6476191" cy="2780953"/>
        </a:xfrm>
        <a:prstGeom prst="rect">
          <a:avLst/>
        </a:prstGeom>
      </xdr:spPr>
    </xdr:pic>
    <xdr:clientData/>
  </xdr:twoCellAnchor>
  <xdr:twoCellAnchor editAs="oneCell">
    <xdr:from>
      <xdr:col>9</xdr:col>
      <xdr:colOff>647700</xdr:colOff>
      <xdr:row>18</xdr:row>
      <xdr:rowOff>57150</xdr:rowOff>
    </xdr:from>
    <xdr:to>
      <xdr:col>19</xdr:col>
      <xdr:colOff>389700</xdr:colOff>
      <xdr:row>51</xdr:row>
      <xdr:rowOff>132634</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900" y="3143250"/>
          <a:ext cx="6600000" cy="5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受贵公司委托，我公司对出让国有建设用地使用权抵押价格进行了预评估。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42071.89平方米。根据《建设工程规划许可证》[]、《出让合同》[]，估价对象规划建筑面积为84143.78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2020年7月24日（评估专业人员勘察现场之日）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根据《国有土地使用证》[]，估价对象（分摊）出让国有建设用地使用权面积为42071.89平方米。根据《建设工程规划许可证》[]、《出让合同》[]，估价对象规划建筑面积为84143.78平方米。</v>
      </c>
    </row>
    <row r="16" spans="1:55" s="2828" customFormat="1">
      <c r="A16" s="2829" t="s">
        <v>2665</v>
      </c>
      <c r="B16" s="2830" t="str">
        <f>'预评函-1'!A22</f>
        <v>本次估价对象为出让国有建设用地使用权，《国有土地使用证》[]证载土地终止日期为住宅2087年5月4日。截至估价期日，出让国有建设用地使用权剩余土地使用年限为。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估价期日：2020年7月24日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42071.89</v>
      </c>
    </row>
    <row r="44" spans="1:2">
      <c r="A44" s="2829" t="s">
        <v>2736</v>
      </c>
      <c r="B44" s="2830" t="str">
        <f>'预评函-2'!O3</f>
        <v>规划建筑面积/㎡</v>
      </c>
    </row>
    <row r="45" spans="1:2">
      <c r="A45" s="2829" t="s">
        <v>2718</v>
      </c>
      <c r="B45" s="2830">
        <f>'预评函-2'!O5</f>
        <v>84143.78</v>
      </c>
    </row>
    <row r="46" spans="1:2">
      <c r="A46" s="2829" t="s">
        <v>2719</v>
      </c>
      <c r="B46" s="2830">
        <f ca="1">'预评函-2'!P5</f>
        <v>2495</v>
      </c>
    </row>
    <row r="47" spans="1:2">
      <c r="A47" s="2829" t="s">
        <v>2720</v>
      </c>
      <c r="B47" s="2830">
        <f ca="1">'预评函-2'!Q5</f>
        <v>1248</v>
      </c>
    </row>
    <row r="48" spans="1:2">
      <c r="A48" s="2829" t="s">
        <v>2721</v>
      </c>
      <c r="B48" s="2830">
        <f ca="1">'预评函-2'!R5</f>
        <v>10499</v>
      </c>
    </row>
    <row r="49" spans="1:2">
      <c r="A49" s="2829" t="s">
        <v>2737</v>
      </c>
      <c r="B49" s="2830" t="str">
        <f>'预评函-2'!A6</f>
        <v>抵押价格</v>
      </c>
    </row>
    <row r="50" spans="1:2">
      <c r="A50" s="2829" t="s">
        <v>2722</v>
      </c>
      <c r="B50" s="2830">
        <f ca="1">'预评函-2'!R6</f>
        <v>10499</v>
      </c>
    </row>
    <row r="51" spans="1:2">
      <c r="A51" s="2829" t="s">
        <v>2738</v>
      </c>
      <c r="B51" s="2830" t="str">
        <f>'预评函-2'!A7</f>
        <v>——</v>
      </c>
    </row>
    <row r="52" spans="1:2">
      <c r="A52" s="2829" t="s">
        <v>2723</v>
      </c>
      <c r="B52" s="2830" t="str">
        <f>'预评函-2'!R7</f>
        <v>——</v>
      </c>
    </row>
    <row r="53" spans="1:2">
      <c r="A53" s="2829" t="s">
        <v>2739</v>
      </c>
      <c r="B53" s="2830">
        <f>'预评函-2'!A8</f>
        <v>0</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244" t="str">
        <f>IF(B10="北京市","北京市",C10)&amp;F10&amp;B16&amp;"国有建设用地使用权"&amp;B9&amp;"预评估"</f>
        <v>出让国有建设用地使用权抵押价格预评估</v>
      </c>
      <c r="C1" s="3245"/>
      <c r="D1" s="3245"/>
      <c r="E1" s="3245"/>
      <c r="F1" s="3245"/>
      <c r="G1" s="3245"/>
      <c r="H1" s="3245"/>
      <c r="I1" s="3246"/>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44036</v>
      </c>
      <c r="C3" s="1643" t="s">
        <v>1992</v>
      </c>
      <c r="D3" s="1642">
        <f>B3</f>
        <v>44036</v>
      </c>
      <c r="E3" s="1674"/>
      <c r="F3" s="1674"/>
      <c r="G3" s="1674"/>
      <c r="H3" s="1640"/>
      <c r="I3" s="1675"/>
      <c r="J3" s="1674"/>
      <c r="K3" s="1754"/>
      <c r="L3" s="1703"/>
      <c r="M3" s="1703"/>
      <c r="N3" s="1674"/>
      <c r="O3" s="1675"/>
      <c r="P3" s="1674"/>
      <c r="Q3" s="1674"/>
      <c r="R3" s="1674"/>
      <c r="S3" s="1674"/>
      <c r="T3" s="1674"/>
      <c r="U3" s="1674"/>
    </row>
    <row r="4" spans="1:21" ht="29.25" thickBot="1">
      <c r="A4" s="1644" t="s">
        <v>1937</v>
      </c>
      <c r="B4" s="1823" t="s">
        <v>2885</v>
      </c>
      <c r="C4" s="1826">
        <f>SUMIF(土地估价师,B4,估价师及机构信息!E3:E24)</f>
        <v>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2989</v>
      </c>
      <c r="C8" s="1651"/>
      <c r="D8" s="3250" t="s">
        <v>1941</v>
      </c>
      <c r="E8" s="1824" t="s">
        <v>2997</v>
      </c>
      <c r="F8" s="1652"/>
      <c r="G8" s="1640"/>
      <c r="H8" s="1640"/>
      <c r="I8" s="1687"/>
      <c r="J8" s="1674"/>
      <c r="K8" s="1754"/>
      <c r="L8" s="1703"/>
      <c r="M8" s="1703"/>
      <c r="N8" s="1674"/>
      <c r="O8" s="1675"/>
      <c r="P8" s="1674"/>
      <c r="Q8" s="1674"/>
      <c r="R8" s="1674"/>
      <c r="S8" s="1674"/>
      <c r="T8" s="1674"/>
      <c r="U8" s="1674"/>
    </row>
    <row r="9" spans="1:21" ht="15" thickBot="1">
      <c r="A9" s="1653" t="s">
        <v>1940</v>
      </c>
      <c r="B9" s="1654" t="s">
        <v>2997</v>
      </c>
      <c r="C9" s="1655"/>
      <c r="D9" s="3251"/>
      <c r="E9" s="1654"/>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47"/>
      <c r="C12" s="3248"/>
      <c r="D12" s="3249"/>
      <c r="E12" s="1679" t="s">
        <v>2058</v>
      </c>
      <c r="F12" s="3265" t="s">
        <v>2886</v>
      </c>
      <c r="G12" s="3266"/>
      <c r="H12" s="3266"/>
      <c r="I12" s="3267"/>
      <c r="J12" s="1674"/>
      <c r="K12" s="1754"/>
      <c r="L12" s="1703"/>
      <c r="M12" s="1703"/>
      <c r="N12" s="1674"/>
      <c r="O12" s="1675"/>
      <c r="P12" s="1674"/>
      <c r="Q12" s="1674"/>
      <c r="R12" s="1674"/>
      <c r="S12" s="1674"/>
      <c r="T12" s="1674"/>
      <c r="U12" s="1674"/>
    </row>
    <row r="13" spans="1:21">
      <c r="A13" s="1667" t="s">
        <v>2056</v>
      </c>
      <c r="B13" s="3247"/>
      <c r="C13" s="3248"/>
      <c r="D13" s="3249"/>
      <c r="E13" s="1679" t="s">
        <v>2058</v>
      </c>
      <c r="F13" s="3265" t="s">
        <v>2887</v>
      </c>
      <c r="G13" s="3266"/>
      <c r="H13" s="3266"/>
      <c r="I13" s="3267"/>
      <c r="J13" s="1674"/>
      <c r="K13" s="1754"/>
      <c r="L13" s="1703"/>
      <c r="M13" s="1703"/>
      <c r="N13" s="1674"/>
      <c r="O13" s="1675"/>
      <c r="P13" s="1674"/>
      <c r="Q13" s="1674"/>
      <c r="R13" s="1674"/>
      <c r="S13" s="1674"/>
      <c r="T13" s="1674"/>
      <c r="U13" s="1674"/>
    </row>
    <row r="14" spans="1:21">
      <c r="A14" s="1641" t="s">
        <v>2059</v>
      </c>
      <c r="B14" s="1679"/>
      <c r="C14" s="1825" t="s">
        <v>3000</v>
      </c>
      <c r="D14" s="1713" t="str">
        <f>IF(C14="不一致","是否符合证载地类范围","")</f>
        <v/>
      </c>
      <c r="E14" s="1679"/>
      <c r="F14" s="1770" t="s">
        <v>3001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2998</v>
      </c>
      <c r="F16" s="1702"/>
      <c r="G16" s="1702" t="s">
        <v>3002</v>
      </c>
      <c r="H16" s="1702"/>
      <c r="I16" s="1666" t="s">
        <v>1951</v>
      </c>
      <c r="J16" s="1674"/>
      <c r="K16" s="2416" t="str">
        <f>IF(D17="","",D16&amp;TEXT(D17,"yyyy年m月d日;;"))</f>
        <v>住宅2087年5月4日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1952</v>
      </c>
      <c r="D17" s="1680">
        <v>68426</v>
      </c>
      <c r="E17" s="1680"/>
      <c r="F17" s="1680"/>
      <c r="G17" s="1680"/>
      <c r="H17" s="1680"/>
      <c r="I17" s="1680"/>
      <c r="J17" s="1674"/>
      <c r="K17" s="2415" t="str">
        <f>CONCATENATE(K16,L16,M16,N16,O16,P16,Q16,R16,S16,T16,,U16)</f>
        <v>住宅2087年5月4日</v>
      </c>
      <c r="L17" s="1703"/>
      <c r="M17" s="1703"/>
      <c r="N17" s="1674"/>
      <c r="O17" s="1675"/>
      <c r="P17" s="1674"/>
      <c r="Q17" s="1674"/>
      <c r="R17" s="1674"/>
      <c r="S17" s="1674"/>
      <c r="T17" s="1674"/>
      <c r="U17" s="1674"/>
    </row>
    <row r="18" spans="1:21">
      <c r="A18" s="1743"/>
      <c r="B18" s="1662"/>
      <c r="C18" s="1663" t="s">
        <v>1953</v>
      </c>
      <c r="D18" s="1664">
        <v>70</v>
      </c>
      <c r="E18" s="1664"/>
      <c r="F18" s="1664"/>
      <c r="G18" s="1664"/>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66.819999999999993</v>
      </c>
      <c r="E19" s="1665" t="str">
        <f>IF(B16="出让",IF(E17="","",ROUNDDOWN(MIN((E17-$D$3)/365,E18),2)),E18)</f>
        <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62"/>
      <c r="E20" s="3263"/>
      <c r="F20" s="3263"/>
      <c r="G20" s="3263"/>
      <c r="H20" s="3263"/>
      <c r="I20" s="3264"/>
      <c r="J20" s="1674"/>
      <c r="K20" s="1754"/>
      <c r="L20" s="1703"/>
      <c r="M20" s="1703"/>
      <c r="N20" s="1674"/>
      <c r="O20" s="1675"/>
      <c r="P20" s="1674"/>
      <c r="Q20" s="1674"/>
      <c r="R20" s="1674"/>
      <c r="S20" s="1674"/>
      <c r="T20" s="1674"/>
      <c r="U20" s="1674"/>
    </row>
    <row r="21" spans="1:21">
      <c r="A21" s="1743" t="s">
        <v>1955</v>
      </c>
      <c r="B21" s="1744" t="s">
        <v>1956</v>
      </c>
      <c r="C21" s="1739">
        <f>'数据-汇总表'!E3</f>
        <v>84143.78</v>
      </c>
      <c r="D21" s="1740" t="s">
        <v>1957</v>
      </c>
      <c r="E21" s="3252" t="s">
        <v>1995</v>
      </c>
      <c r="F21" s="3253"/>
      <c r="G21" s="3253"/>
      <c r="H21" s="3253"/>
      <c r="I21" s="3254"/>
      <c r="J21" s="1674"/>
      <c r="K21" s="1754"/>
      <c r="L21" s="1703"/>
      <c r="M21" s="1703"/>
      <c r="N21" s="1674"/>
      <c r="O21" s="1675"/>
      <c r="P21" s="1674"/>
      <c r="Q21" s="1674"/>
      <c r="R21" s="1674"/>
      <c r="S21" s="1674"/>
      <c r="T21" s="1674"/>
      <c r="U21" s="1674"/>
    </row>
    <row r="22" spans="1:21">
      <c r="A22" s="3090" t="s">
        <v>952</v>
      </c>
      <c r="B22" s="1641" t="s">
        <v>1958</v>
      </c>
      <c r="C22" s="1666">
        <f>'数据-汇总表'!D3</f>
        <v>42071.89</v>
      </c>
      <c r="D22" s="1667" t="s">
        <v>1957</v>
      </c>
      <c r="E22" s="3252" t="s">
        <v>2888</v>
      </c>
      <c r="F22" s="3253"/>
      <c r="G22" s="3253"/>
      <c r="H22" s="3253"/>
      <c r="I22" s="3254"/>
      <c r="J22" s="1674"/>
      <c r="K22" s="1754"/>
      <c r="L22" s="1703"/>
      <c r="M22" s="1703"/>
      <c r="N22" s="1674"/>
      <c r="O22" s="1675"/>
      <c r="P22" s="1674"/>
      <c r="Q22" s="1674"/>
      <c r="R22" s="1674"/>
      <c r="S22" s="1674"/>
      <c r="T22" s="1674"/>
      <c r="U22" s="1674"/>
    </row>
    <row r="23" spans="1:21" ht="43.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255" t="s">
        <v>1963</v>
      </c>
      <c r="C24" s="3256"/>
      <c r="D24" s="3257" t="s">
        <v>1964</v>
      </c>
      <c r="E24" s="3258"/>
      <c r="F24" s="1688" t="s">
        <v>1965</v>
      </c>
      <c r="G24" s="1674"/>
      <c r="H24" s="1674"/>
      <c r="I24" s="1687"/>
      <c r="J24" s="1674"/>
      <c r="K24" s="3243"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2322</v>
      </c>
      <c r="C25" s="1689" t="s">
        <v>1967</v>
      </c>
      <c r="D25" s="1690"/>
      <c r="E25" s="1691" t="s">
        <v>952</v>
      </c>
      <c r="F25" s="1692"/>
      <c r="G25" s="1674"/>
      <c r="H25" s="1674"/>
      <c r="I25" s="1687"/>
      <c r="J25" s="1674"/>
      <c r="K25" s="324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2323</v>
      </c>
      <c r="D26" s="1640"/>
      <c r="E26" s="1640"/>
      <c r="F26" s="1668"/>
      <c r="G26" s="1674"/>
      <c r="H26" s="1674"/>
      <c r="I26" s="1687"/>
      <c r="J26" s="1674"/>
      <c r="K26" s="324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70" t="s">
        <v>1998</v>
      </c>
      <c r="B31" s="1744" t="s">
        <v>1999</v>
      </c>
      <c r="C31" s="3268"/>
      <c r="D31" s="3269"/>
      <c r="E31" s="1674"/>
      <c r="F31" s="1674"/>
      <c r="G31" s="1674"/>
      <c r="H31" s="1674"/>
      <c r="I31" s="1687"/>
      <c r="J31" s="1674"/>
      <c r="K31" s="2418"/>
      <c r="L31" s="1674"/>
      <c r="M31" s="1674"/>
      <c r="N31" s="1674"/>
      <c r="O31" s="1674"/>
      <c r="P31" s="1674"/>
      <c r="Q31" s="1674"/>
      <c r="R31" s="1674"/>
      <c r="S31" s="1674"/>
      <c r="T31" s="1674"/>
      <c r="U31" s="1674"/>
    </row>
    <row r="32" spans="1:21">
      <c r="A32" s="3270"/>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0"/>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1"/>
      <c r="B34" s="1641" t="s">
        <v>2002</v>
      </c>
      <c r="C34" s="3272"/>
      <c r="D34" s="3273"/>
      <c r="E34" s="1674"/>
      <c r="F34" s="1674"/>
      <c r="G34" s="1674"/>
      <c r="H34" s="1674"/>
      <c r="I34" s="1687"/>
      <c r="J34" s="1674"/>
      <c r="K34" s="2418"/>
      <c r="L34" s="1674"/>
      <c r="M34" s="1674"/>
      <c r="N34" s="1674"/>
      <c r="O34" s="1674"/>
      <c r="P34" s="1674"/>
      <c r="Q34" s="1674"/>
      <c r="R34" s="1674"/>
      <c r="S34" s="1674"/>
      <c r="T34" s="1674"/>
      <c r="U34" s="1674"/>
    </row>
    <row r="35" spans="1:21">
      <c r="A35" s="3274" t="s">
        <v>847</v>
      </c>
      <c r="B35" s="1702"/>
      <c r="C35" s="1756" t="str">
        <f>IF(B35="场地平整","——","具体情况：")</f>
        <v>具体情况：</v>
      </c>
      <c r="D35" s="3276"/>
      <c r="E35" s="3277"/>
      <c r="F35" s="3277"/>
      <c r="G35" s="3277"/>
      <c r="H35" s="3277"/>
      <c r="I35" s="3278"/>
      <c r="J35" s="1674"/>
      <c r="K35" s="1755"/>
      <c r="L35" s="1703"/>
      <c r="M35" s="1703"/>
      <c r="N35" s="1674"/>
      <c r="O35" s="1675"/>
      <c r="P35" s="1674"/>
      <c r="Q35" s="1674"/>
      <c r="R35" s="1674"/>
      <c r="S35" s="1674"/>
      <c r="T35" s="1674"/>
      <c r="U35" s="1674"/>
    </row>
    <row r="36" spans="1:21">
      <c r="A36" s="3270"/>
      <c r="B36" s="3279" t="s">
        <v>2051</v>
      </c>
      <c r="C36" s="3280"/>
      <c r="D36" s="1772"/>
      <c r="E36" s="3281"/>
      <c r="F36" s="3281"/>
      <c r="G36" s="1667" t="str">
        <f>IF(B35="场地未平整","估价结果处理","")</f>
        <v/>
      </c>
      <c r="H36" s="3282"/>
      <c r="I36" s="3282"/>
      <c r="J36" s="1674"/>
      <c r="K36" s="1755"/>
      <c r="L36" s="1703"/>
      <c r="M36" s="1703"/>
      <c r="N36" s="1674"/>
      <c r="O36" s="1675"/>
      <c r="P36" s="1674"/>
      <c r="Q36" s="1674"/>
      <c r="R36" s="1674"/>
      <c r="S36" s="1674"/>
      <c r="T36" s="1674"/>
      <c r="U36" s="1674"/>
    </row>
    <row r="37" spans="1:21" ht="28.5">
      <c r="A37" s="3270"/>
      <c r="B37" s="3259"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0"/>
      <c r="B38" s="3260"/>
      <c r="C38" s="1649" t="s">
        <v>850</v>
      </c>
      <c r="D38" s="1771">
        <f>ROUNDDOWN(MIN(('数据-取费表'!$B$2-D37)/365,D34),1)</f>
        <v>120.6</v>
      </c>
      <c r="E38" s="1707" t="s">
        <v>851</v>
      </c>
      <c r="F38" s="1674"/>
      <c r="G38" s="1674"/>
      <c r="H38" s="1674"/>
      <c r="I38" s="1687"/>
      <c r="J38" s="1674"/>
      <c r="K38" s="1755"/>
      <c r="L38" s="1674"/>
      <c r="M38" s="1674"/>
      <c r="N38" s="1674"/>
      <c r="O38" s="1674"/>
      <c r="P38" s="1674"/>
      <c r="Q38" s="1674"/>
      <c r="R38" s="1674"/>
      <c r="S38" s="1674"/>
      <c r="T38" s="1674"/>
      <c r="U38" s="1674"/>
    </row>
    <row r="39" spans="1:21">
      <c r="A39" s="3271"/>
      <c r="B39" s="326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42" t="s">
        <v>1982</v>
      </c>
      <c r="T40" s="1711" t="str">
        <f>NUMBERSTRING(7-K40,1)&amp;"通"</f>
        <v>七通</v>
      </c>
      <c r="U40" s="1674"/>
    </row>
    <row r="41" spans="1:21">
      <c r="A41" s="1643"/>
      <c r="B41" s="3275" t="s">
        <v>1720</v>
      </c>
      <c r="C41" s="3275"/>
      <c r="D41" s="3275"/>
      <c r="E41" s="3275"/>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2"/>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42071.89</v>
      </c>
      <c r="B3" s="22">
        <f>IF(C3="否",G5-AT5,G5)</f>
        <v>84143.78</v>
      </c>
      <c r="C3" s="23" t="s">
        <v>3003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84143.78</v>
      </c>
      <c r="H5" s="27">
        <f t="shared" ref="H5:AT5" si="0">SUM(H13:H641)</f>
        <v>84143.78</v>
      </c>
      <c r="I5" s="27">
        <f t="shared" si="0"/>
        <v>84143.78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84143.78</v>
      </c>
      <c r="BA5" s="29">
        <f t="shared" si="1"/>
        <v>84143.78</v>
      </c>
      <c r="BB5" s="29">
        <f t="shared" si="1"/>
        <v>84143.78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42071.89</v>
      </c>
      <c r="F6" s="27" t="s">
        <v>1</v>
      </c>
      <c r="G6" s="27" t="s">
        <v>2</v>
      </c>
      <c r="H6" s="33">
        <f>SUMIF(I$12:AB$12,"总值",I6:AB6)</f>
        <v>42071.89</v>
      </c>
      <c r="I6" s="27">
        <f t="shared" ref="I6:AB6" si="2">ROUND($A$3*I5/$B$3,2)</f>
        <v>42071.89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42071.89</v>
      </c>
      <c r="AZ6" s="27" t="s">
        <v>3</v>
      </c>
      <c r="BA6" s="27">
        <f>ROUND($AY$6*BA5/$AZ$5,2)</f>
        <v>42071.89</v>
      </c>
      <c r="BB6" s="27">
        <f>ROUND($AY$6*BB5/$AZ$5,2)</f>
        <v>42071.89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2999</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t="s">
        <v>3120</v>
      </c>
      <c r="D13" s="2962" t="s">
        <v>1678</v>
      </c>
      <c r="E13" s="27">
        <f t="shared" ref="E13:E20" si="6">IF($C$3="是",ROUND($A$3*G13/$B$3,2),ROUND($A$3*(G13-AT13)/$B$3,2))</f>
        <v>42071.89</v>
      </c>
      <c r="F13" s="81"/>
      <c r="G13" s="82">
        <f t="shared" ref="G13:G20" si="7">H13+AC13+AT13</f>
        <v>84143.78</v>
      </c>
      <c r="H13" s="33">
        <f t="shared" ref="H13:H20" si="8">SUMIF(I$12:AB$12,"总值",I13:AB13)</f>
        <v>84143.78</v>
      </c>
      <c r="I13" s="2965">
        <f>A3*2</f>
        <v>84143.78</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3">
        <f t="shared" ref="AY13:AY20" si="11">ROUND($AY$6*AZ13/$AZ$5,2)</f>
        <v>42071.89</v>
      </c>
      <c r="AZ13" s="27">
        <f t="shared" ref="AZ13:AZ20" si="12">BA13+BL13</f>
        <v>84143.78</v>
      </c>
      <c r="BA13" s="27">
        <f t="shared" ref="BA13:BA20" si="13">SUM(BB13:BK13)</f>
        <v>84143.78</v>
      </c>
      <c r="BB13" s="27">
        <f t="shared" ref="BB13:BB20" si="14">IF($D13="是",I13-J13,0)</f>
        <v>84143.78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4" t="s">
        <v>203</v>
      </c>
      <c r="B2" s="3294"/>
      <c r="C2" s="3294"/>
      <c r="D2" s="1956" t="s">
        <v>204</v>
      </c>
      <c r="E2" s="106" t="s">
        <v>205</v>
      </c>
      <c r="F2" s="1965"/>
      <c r="G2" s="1191"/>
      <c r="H2" s="1192"/>
      <c r="I2" s="1193" t="s">
        <v>857</v>
      </c>
      <c r="J2" s="1965"/>
      <c r="K2" s="1965"/>
      <c r="L2" s="1965"/>
    </row>
    <row r="3" spans="1:16" ht="15.75" thickBot="1">
      <c r="A3" s="3295" t="s">
        <v>206</v>
      </c>
      <c r="B3" s="3295"/>
      <c r="C3" s="3295"/>
      <c r="D3" s="107">
        <f>'数据-基础表'!AY6</f>
        <v>42071.89</v>
      </c>
      <c r="E3" s="107">
        <f>'数据-基础表'!AZ5</f>
        <v>84143.78</v>
      </c>
      <c r="F3" s="1965"/>
      <c r="G3" s="278" t="s">
        <v>858</v>
      </c>
      <c r="H3" s="273" t="s">
        <v>859</v>
      </c>
      <c r="I3" s="1957">
        <f>ROUND('数据-基础表'!B3/'数据-基础表'!A3,2)</f>
        <v>2</v>
      </c>
      <c r="J3" s="1965"/>
      <c r="K3" s="1965"/>
      <c r="L3" s="1965"/>
    </row>
    <row r="4" spans="1:16" ht="15">
      <c r="A4" s="3296"/>
      <c r="B4" s="3297"/>
      <c r="C4" s="3298"/>
      <c r="D4" s="108" t="s">
        <v>204</v>
      </c>
      <c r="E4" s="109" t="s">
        <v>205</v>
      </c>
      <c r="F4" s="1965"/>
      <c r="G4" s="1194"/>
      <c r="H4" s="273" t="s">
        <v>860</v>
      </c>
      <c r="I4" s="1957">
        <f>ROUND(SUMIF('数据-基础表'!I9:AS9,"地上",'数据-基础表'!I5:AS5)/'数据-基础表'!A3,2)</f>
        <v>2</v>
      </c>
      <c r="J4" s="1965"/>
      <c r="K4" s="1965"/>
      <c r="L4" s="1965"/>
    </row>
    <row r="5" spans="1:16">
      <c r="A5" s="110" t="s">
        <v>207</v>
      </c>
      <c r="B5" s="3299" t="s">
        <v>230</v>
      </c>
      <c r="C5" s="3299"/>
      <c r="D5" s="111">
        <f>ROUND($D$3*E5/$E$3,2)</f>
        <v>42071.89</v>
      </c>
      <c r="E5" s="112">
        <f>SUMIF('数据-基础表'!$11:$11,"住宅",'数据-基础表'!$5:$5)</f>
        <v>84143.78</v>
      </c>
      <c r="F5" s="1965"/>
      <c r="G5" s="278" t="s">
        <v>861</v>
      </c>
      <c r="H5" s="273" t="s">
        <v>859</v>
      </c>
      <c r="I5" s="1957">
        <f>ROUND(E31/D31,2)</f>
        <v>2</v>
      </c>
      <c r="J5" s="1965"/>
      <c r="K5" s="1965"/>
      <c r="L5" s="1965"/>
    </row>
    <row r="6" spans="1:16" ht="15" thickBot="1">
      <c r="A6" s="113"/>
      <c r="B6" s="3299" t="s">
        <v>208</v>
      </c>
      <c r="C6" s="3299"/>
      <c r="D6" s="111">
        <f>ROUND($D$3*E6/$E$3,2)</f>
        <v>0</v>
      </c>
      <c r="E6" s="112">
        <f>E3-E5</f>
        <v>0</v>
      </c>
      <c r="F6" s="1965"/>
      <c r="G6" s="1194"/>
      <c r="H6" s="273" t="s">
        <v>860</v>
      </c>
      <c r="I6" s="1957">
        <f>ROUND(F31/D31,2)</f>
        <v>2</v>
      </c>
      <c r="J6" s="1965"/>
      <c r="K6" s="1965"/>
      <c r="L6" s="1965"/>
    </row>
    <row r="7" spans="1:16" ht="15">
      <c r="A7" s="3291"/>
      <c r="B7" s="3292"/>
      <c r="C7" s="3293"/>
      <c r="D7" s="108" t="s">
        <v>204</v>
      </c>
      <c r="E7" s="114" t="s">
        <v>231</v>
      </c>
      <c r="F7" s="1965"/>
      <c r="G7" s="1149" t="s">
        <v>1645</v>
      </c>
      <c r="H7" s="1150"/>
      <c r="I7" s="1827" t="e">
        <f>ROUND((132579.91)/#REF!,2)</f>
        <v>#REF!</v>
      </c>
      <c r="J7" s="1965"/>
      <c r="K7" s="1965"/>
      <c r="L7" s="1965"/>
    </row>
    <row r="8" spans="1:16">
      <c r="A8" s="110" t="s">
        <v>209</v>
      </c>
      <c r="B8" s="115" t="s">
        <v>210</v>
      </c>
      <c r="C8" s="111" t="s">
        <v>211</v>
      </c>
      <c r="D8" s="111">
        <f t="shared" ref="D8:D15" si="0">ROUND($D$3*E8/$E$3,2)</f>
        <v>42071.89</v>
      </c>
      <c r="E8" s="116">
        <f>SUMIF('数据-基础表'!BB10:BK10,"地上",'数据-基础表'!BB5:BK5)</f>
        <v>84143.78</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42071.89</v>
      </c>
      <c r="E16" s="120">
        <f>SUM(E8:E15)</f>
        <v>84143.78</v>
      </c>
      <c r="F16" s="1965"/>
      <c r="G16" s="1967"/>
      <c r="H16" s="965" t="s">
        <v>219</v>
      </c>
      <c r="I16" s="966"/>
      <c r="J16" s="1965"/>
      <c r="K16" s="3285" t="s">
        <v>2563</v>
      </c>
      <c r="L16" s="3286"/>
      <c r="M16" s="3286"/>
      <c r="N16" s="3286"/>
      <c r="O16" s="3286"/>
      <c r="P16" s="3287"/>
    </row>
    <row r="17" spans="1:19" ht="15">
      <c r="A17" s="121" t="s">
        <v>216</v>
      </c>
      <c r="B17" s="122" t="s">
        <v>217</v>
      </c>
      <c r="C17" s="2279" t="s">
        <v>2310</v>
      </c>
      <c r="D17" s="108" t="s">
        <v>204</v>
      </c>
      <c r="E17" s="124" t="s">
        <v>205</v>
      </c>
      <c r="F17" s="125"/>
      <c r="G17" s="1359"/>
      <c r="H17" s="967" t="s">
        <v>218</v>
      </c>
      <c r="I17" s="968" t="s">
        <v>2309</v>
      </c>
      <c r="J17" s="1965"/>
      <c r="K17" s="3288" t="s">
        <v>2564</v>
      </c>
      <c r="L17" s="3289"/>
      <c r="M17" s="3290"/>
      <c r="N17" s="3288" t="s">
        <v>2565</v>
      </c>
      <c r="O17" s="3289"/>
      <c r="P17" s="3290"/>
      <c r="R17" s="2280" t="s">
        <v>2308</v>
      </c>
      <c r="S17" s="144"/>
    </row>
    <row r="18" spans="1:19" ht="15">
      <c r="A18" s="117"/>
      <c r="B18" s="128"/>
      <c r="C18" s="129"/>
      <c r="D18" s="2602"/>
      <c r="E18" s="130" t="s">
        <v>220</v>
      </c>
      <c r="F18" s="131" t="s">
        <v>221</v>
      </c>
      <c r="G18" s="1360" t="s">
        <v>222</v>
      </c>
      <c r="H18" s="969" t="s">
        <v>223</v>
      </c>
      <c r="I18" s="970"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2" t="s">
        <v>3004</v>
      </c>
      <c r="D19" s="111">
        <f t="shared" ref="D19:D26" si="1">ROUND($D$3*E19/$E$3,2)</f>
        <v>42071.89</v>
      </c>
      <c r="E19" s="134">
        <f t="shared" ref="E19:E26" si="2">SUM(F19:G19)</f>
        <v>84143.78</v>
      </c>
      <c r="F19" s="135">
        <f>'数据-基础表'!I13</f>
        <v>84143.78</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42071.89</v>
      </c>
      <c r="S19" s="2282">
        <f t="shared" si="5"/>
        <v>84143.78</v>
      </c>
    </row>
    <row r="20" spans="1:19">
      <c r="A20" s="138"/>
      <c r="B20" s="115" t="s">
        <v>226</v>
      </c>
      <c r="C20" s="2972"/>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2"/>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42071.89</v>
      </c>
      <c r="E27" s="143">
        <f>IF(SUM(E19:E26)='数据-基础表'!BA5,SUM(E19:E26),IF(F27="地上面积有误","面积有误","地下面积有误"))</f>
        <v>84143.78</v>
      </c>
      <c r="F27" s="134">
        <f>IF(SUM(F19:F26)=E8,SUM(F19:F26),"地上面积有误")</f>
        <v>84143.78</v>
      </c>
      <c r="G27" s="112">
        <f>SUM(G19:G26)</f>
        <v>0</v>
      </c>
      <c r="H27" s="972">
        <f>SUM(H19:H26)</f>
        <v>0</v>
      </c>
      <c r="I27" s="973">
        <f>SUM(I19:I26)</f>
        <v>0</v>
      </c>
      <c r="J27" s="1965"/>
      <c r="K27" s="2577">
        <f t="shared" ref="K27:P27" si="10">SUM(K19:K26)</f>
        <v>0</v>
      </c>
      <c r="L27" s="2578">
        <f t="shared" si="10"/>
        <v>0</v>
      </c>
      <c r="M27" s="2579">
        <f t="shared" si="10"/>
        <v>0</v>
      </c>
      <c r="N27" s="2577">
        <f t="shared" si="10"/>
        <v>0</v>
      </c>
      <c r="O27" s="2578">
        <f t="shared" si="10"/>
        <v>0</v>
      </c>
      <c r="P27" s="2580">
        <f t="shared" si="10"/>
        <v>0</v>
      </c>
      <c r="R27" s="2286">
        <f>IF(SUM(R19:R26)=$D$3,SUM(R19:R26),SUM(R19:R26)&amp;"误差"&amp;ROUND(SUM(R19:R26)-$D$3,2))</f>
        <v>42071.89</v>
      </c>
      <c r="S27" s="273">
        <f>IF(SUM(S19:S26)=$E$3,SUM(S19:S26),SUM(S19:S26)&amp;"误差"&amp;ROUND(SUM(S19:S26)-E3,2))</f>
        <v>84143.78</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2317</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2319</v>
      </c>
      <c r="D31" s="1365">
        <f>D27+D30</f>
        <v>42071.89</v>
      </c>
      <c r="E31" s="1365">
        <f>E27+E30</f>
        <v>84143.78</v>
      </c>
      <c r="F31" s="1366">
        <f>F27+F30</f>
        <v>84143.78</v>
      </c>
      <c r="G31" s="1367">
        <f>G27+G30</f>
        <v>0</v>
      </c>
      <c r="H31" s="1965"/>
      <c r="I31" s="1965"/>
      <c r="J31" s="1965"/>
      <c r="K31" s="1965"/>
      <c r="L31" s="1965"/>
    </row>
    <row r="32" spans="1:19">
      <c r="A32" s="1965"/>
      <c r="B32" s="2323" t="s">
        <v>2318</v>
      </c>
      <c r="C32" s="2607"/>
      <c r="D32" s="1194"/>
      <c r="E32" s="1194">
        <f>SUMIF(C19:C26,"*住宅*",E19:E26)</f>
        <v>84143.78</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44036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68426</v>
      </c>
      <c r="F6" s="174">
        <f>SUMIF(项目基本情况!D$15:I$15,C6,项目基本情况!D$19:I$19)</f>
        <v>66.819999999999993</v>
      </c>
      <c r="G6" s="175">
        <f t="shared" ref="G6:G13" si="0">IF(ISERROR(ROUND(POWER(1+H6,D6-F6)*(POWER(1+H6,F6)-1)/(POWER(1+H6,D6)-1),3)),0,ROUND(POWER(1+H6,D6-F6)*(POWER(1+H6,F6)-1)/(POWER(1+H6,D6)-1),3))</f>
        <v>0.99299999999999999</v>
      </c>
      <c r="H6" s="2973">
        <v>4.4999999999999998E-2</v>
      </c>
      <c r="I6" s="2973">
        <v>0.05</v>
      </c>
      <c r="J6" s="176">
        <v>0.08</v>
      </c>
      <c r="K6" s="179">
        <f>SUMIF('数据-汇总表'!C$19:C$33,'数据-取费表'!A6,'数据-汇总表'!E$19:E$33)</f>
        <v>84143.78</v>
      </c>
      <c r="L6" s="3206">
        <v>2000</v>
      </c>
      <c r="M6" s="177">
        <f t="shared" ref="M6:M14" si="1">ROUND(K6*L6/10000,0)</f>
        <v>16829</v>
      </c>
      <c r="N6" s="2974">
        <v>0</v>
      </c>
      <c r="O6" s="177">
        <f>IF($N$5="成新度","——",ROUND(M6*N6,0))</f>
        <v>0</v>
      </c>
      <c r="P6" s="178">
        <f>IF($N$5="成新度","——",M6-O6)</f>
        <v>16829</v>
      </c>
      <c r="Q6" s="3207">
        <v>0.1</v>
      </c>
      <c r="R6" s="179">
        <f>SUMIF('数据-汇总表'!C$19:C$33,A6,'数据-汇总表'!R$19:R$33)</f>
        <v>42071.89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69">
        <f ca="1">IF(AN6="",0,SUMIF(INDIRECT("'"&amp;AN6&amp;"'"&amp;"!E:E"),$AE$5,INDIRECT("'"&amp;AN6&amp;"'"&amp;"!F:F")))</f>
        <v>0</v>
      </c>
      <c r="AF6" s="141"/>
      <c r="AG6" s="1206">
        <f>IF(AF6="",0,AE6-AF6)</f>
        <v>0</v>
      </c>
      <c r="AH6" s="141"/>
      <c r="AI6" s="187">
        <v>365</v>
      </c>
      <c r="AJ6" s="188"/>
      <c r="AK6" s="189"/>
      <c r="AL6" s="190"/>
      <c r="AM6" s="2985"/>
      <c r="AN6" s="2352"/>
      <c r="AO6" s="1981"/>
      <c r="AP6" s="1197">
        <f>ROUND(1-1/(1+H6)^F6,3)</f>
        <v>0.94699999999999995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2">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3206"/>
      <c r="M7" s="177">
        <f t="shared" si="1"/>
        <v>0</v>
      </c>
      <c r="N7" s="2974"/>
      <c r="O7" s="177">
        <f t="shared" ref="O7:O14" si="3">IF($N$5="成新度","——",ROUND(M7*N7,0))</f>
        <v>0</v>
      </c>
      <c r="P7" s="178">
        <f t="shared" ref="P7:P14" si="4">IF($N$5="成新度","——",M7-O7)</f>
        <v>0</v>
      </c>
      <c r="Q7" s="320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2"/>
        <v/>
      </c>
      <c r="C8" s="173"/>
      <c r="D8" s="2289">
        <f>SUMIF(项目基本情况!D$15:I$15,C8,项目基本情况!D$18:I$18)</f>
        <v>0</v>
      </c>
      <c r="E8" s="2290"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3206"/>
      <c r="M8" s="177">
        <f>ROUND(K8*L8/10000,0)</f>
        <v>0</v>
      </c>
      <c r="N8" s="2974"/>
      <c r="O8" s="177">
        <f t="shared" si="3"/>
        <v>0</v>
      </c>
      <c r="P8" s="178">
        <f t="shared" si="4"/>
        <v>0</v>
      </c>
      <c r="Q8" s="320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0</v>
      </c>
      <c r="L14" s="193"/>
      <c r="M14" s="177">
        <f t="shared" si="1"/>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84143.78</v>
      </c>
      <c r="L16" s="206">
        <f>ROUND(M16*10000/SUM(K6:K14),0)</f>
        <v>2000</v>
      </c>
      <c r="M16" s="206">
        <f>SUM(M6:M14)</f>
        <v>16829</v>
      </c>
      <c r="N16" s="207">
        <f>ROUND(SUMPRODUCT(M6:M14,N6:N14)/M16,3)</f>
        <v>0</v>
      </c>
      <c r="O16" s="206">
        <f>SUM(O6:O14)</f>
        <v>0</v>
      </c>
      <c r="P16" s="206">
        <f>SUM(P6:P14)</f>
        <v>16829</v>
      </c>
      <c r="Q16" s="208">
        <f>ROUND(SUMPRODUCT(Q6:Q13,K6:K13)/SUMPRODUCT((Q6:Q13&gt;0)*(K6:K13)),2)</f>
        <v>0.1</v>
      </c>
      <c r="R16" s="2292">
        <f>SUM(R6:R13)</f>
        <v>42071.89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0.94699999999999995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f>Q16/B20</f>
        <v>0.05</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227">
        <v>75</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2336</v>
      </c>
      <c r="B28" s="229">
        <v>75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192">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3194">
        <v>0.05</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3">
        <v>1.4999999999999999E-2</v>
      </c>
      <c r="C36" s="2325" t="s">
        <v>2893</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3193">
        <v>1.4999999999999999E-2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194">
        <v>1.4999999999999999E-2</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2901</v>
      </c>
      <c r="D53" s="3022"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2903</v>
      </c>
      <c r="B54" s="186">
        <v>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2904</v>
      </c>
      <c r="B55" s="186">
        <v>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2905</v>
      </c>
      <c r="B56" s="186">
        <v>2</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2906</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2907</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2908</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0" t="s">
        <v>1663</v>
      </c>
      <c r="B1" s="3301"/>
      <c r="C1" s="3301"/>
      <c r="D1" s="3301"/>
      <c r="E1" s="3301"/>
      <c r="F1" s="3301"/>
      <c r="G1" s="3301"/>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6" t="s">
        <v>2919</v>
      </c>
      <c r="D3" s="1990"/>
      <c r="E3" s="1222" t="s">
        <v>1666</v>
      </c>
      <c r="F3" s="1223" t="s">
        <v>1654</v>
      </c>
      <c r="G3" s="3030" t="s">
        <v>2918</v>
      </c>
      <c r="H3" s="1989"/>
      <c r="I3" s="1989"/>
      <c r="J3" s="1989"/>
      <c r="K3" s="1989"/>
      <c r="L3" s="1989"/>
      <c r="M3" s="1989"/>
      <c r="N3" s="1989"/>
      <c r="O3" s="1989"/>
      <c r="P3" s="1989"/>
      <c r="Q3" s="1989"/>
      <c r="R3" s="1989"/>
    </row>
    <row r="4" spans="1:18" ht="41.25">
      <c r="A4" s="1222"/>
      <c r="B4" s="1224" t="s">
        <v>1667</v>
      </c>
      <c r="C4" s="3027" t="s">
        <v>2920</v>
      </c>
      <c r="D4" s="1990"/>
      <c r="E4" s="1225"/>
      <c r="F4" s="1226" t="s">
        <v>1668</v>
      </c>
      <c r="G4" s="3028" t="s">
        <v>2915</v>
      </c>
      <c r="H4" s="1989"/>
      <c r="I4" s="1989"/>
      <c r="J4" s="1989"/>
      <c r="K4" s="1989"/>
      <c r="L4" s="1989"/>
      <c r="M4" s="1989"/>
      <c r="N4" s="1989"/>
      <c r="O4" s="1989"/>
      <c r="P4" s="1989"/>
      <c r="Q4" s="1989"/>
      <c r="R4" s="1989"/>
    </row>
    <row r="5" spans="1:18" ht="41.25">
      <c r="A5" s="1222"/>
      <c r="B5" s="1224" t="s">
        <v>1669</v>
      </c>
      <c r="C5" s="3027" t="s">
        <v>2921</v>
      </c>
      <c r="D5" s="1990"/>
      <c r="E5" s="1225"/>
      <c r="F5" s="1224" t="s">
        <v>2543</v>
      </c>
      <c r="G5" s="3028" t="s">
        <v>2916</v>
      </c>
      <c r="H5" s="1989"/>
      <c r="I5" s="1989"/>
      <c r="J5" s="1989"/>
      <c r="K5" s="1989"/>
      <c r="L5" s="1989"/>
      <c r="M5" s="1989"/>
      <c r="N5" s="1989"/>
      <c r="O5" s="1989"/>
      <c r="P5" s="1989"/>
      <c r="Q5" s="1989"/>
      <c r="R5" s="1989"/>
    </row>
    <row r="6" spans="1:18" ht="54">
      <c r="A6" s="1222"/>
      <c r="B6" s="1224" t="s">
        <v>1655</v>
      </c>
      <c r="C6" s="3028" t="s">
        <v>2915</v>
      </c>
      <c r="D6" s="1990"/>
      <c r="E6" s="1225"/>
      <c r="F6" s="1224" t="s">
        <v>2544</v>
      </c>
      <c r="G6" s="3028" t="s">
        <v>2913</v>
      </c>
      <c r="H6" s="1989"/>
      <c r="I6" s="1989"/>
      <c r="J6" s="1989"/>
      <c r="K6" s="1989"/>
      <c r="L6" s="1989"/>
      <c r="M6" s="1989"/>
      <c r="N6" s="1989"/>
      <c r="O6" s="1989"/>
      <c r="P6" s="1989"/>
      <c r="Q6" s="1989"/>
      <c r="R6" s="1989"/>
    </row>
    <row r="7" spans="1:18" ht="41.25" thickBot="1">
      <c r="A7" s="1222"/>
      <c r="B7" s="1224" t="s">
        <v>2543</v>
      </c>
      <c r="C7" s="3028" t="s">
        <v>2916</v>
      </c>
      <c r="D7" s="1991"/>
      <c r="E7" s="1227"/>
      <c r="F7" s="1228" t="s">
        <v>1670</v>
      </c>
      <c r="G7" s="3031" t="s">
        <v>2917</v>
      </c>
      <c r="H7" s="1989"/>
      <c r="I7" s="1989"/>
      <c r="J7" s="1989"/>
      <c r="K7" s="1989"/>
      <c r="L7" s="1989"/>
      <c r="M7" s="1989"/>
      <c r="N7" s="1989"/>
      <c r="O7" s="1989"/>
      <c r="P7" s="1989"/>
      <c r="Q7" s="1989"/>
      <c r="R7" s="1989"/>
    </row>
    <row r="8" spans="1:18" ht="27">
      <c r="A8" s="1222"/>
      <c r="B8" s="1224" t="s">
        <v>2544</v>
      </c>
      <c r="C8" s="3028" t="s">
        <v>2913</v>
      </c>
      <c r="D8" s="1991"/>
      <c r="E8" s="1991"/>
      <c r="F8" s="1536"/>
      <c r="G8" s="1536"/>
      <c r="H8" s="1989"/>
      <c r="I8" s="1989"/>
      <c r="J8" s="1989"/>
      <c r="K8" s="1989"/>
      <c r="L8" s="1989"/>
      <c r="M8" s="1989"/>
      <c r="N8" s="1989"/>
      <c r="O8" s="1989"/>
      <c r="P8" s="1989"/>
      <c r="Q8" s="1989"/>
      <c r="R8" s="1989"/>
    </row>
    <row r="9" spans="1:18" ht="40.5">
      <c r="A9" s="1222"/>
      <c r="B9" s="1224" t="s">
        <v>1656</v>
      </c>
      <c r="C9" s="3027" t="s">
        <v>2914</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2543</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2544</v>
      </c>
      <c r="G20" s="1002" t="str">
        <f>G6</f>
        <v>估价对象所在区域基础设施水平</v>
      </c>
    </row>
    <row r="21" spans="1:7" ht="27">
      <c r="A21" s="2549"/>
      <c r="B21" s="1224" t="s">
        <v>2543</v>
      </c>
      <c r="C21" s="1002" t="str">
        <f>C7</f>
        <v>估价对象所在区域公共配套设施齐备情况</v>
      </c>
      <c r="D21" s="1990"/>
      <c r="E21" s="2546"/>
      <c r="F21" s="1240" t="s">
        <v>1661</v>
      </c>
      <c r="G21" s="3032"/>
    </row>
    <row r="22" spans="1:7" ht="27">
      <c r="A22" s="2549"/>
      <c r="B22" s="1224" t="s">
        <v>2544</v>
      </c>
      <c r="C22" s="1002" t="str">
        <f>C8</f>
        <v>估价对象所在区域基础设施水平</v>
      </c>
      <c r="D22" s="1990"/>
      <c r="E22" s="2546"/>
      <c r="F22" s="1240" t="s">
        <v>1671</v>
      </c>
      <c r="G22" s="2746"/>
    </row>
    <row r="23" spans="1:7" ht="15" thickBot="1">
      <c r="A23" s="2549"/>
      <c r="B23" s="1240" t="s">
        <v>1661</v>
      </c>
      <c r="C23" s="3032"/>
      <c r="E23" s="2547"/>
      <c r="F23" s="1241" t="s">
        <v>1675</v>
      </c>
      <c r="G23" s="3033"/>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2990" t="s">
        <v>2840</v>
      </c>
      <c r="B1" s="2990">
        <f>SUM(B14:B23)</f>
        <v>84143.78</v>
      </c>
      <c r="C1" s="2991"/>
      <c r="D1" s="2991"/>
      <c r="E1" s="2991"/>
      <c r="F1" s="2991"/>
    </row>
    <row r="2" spans="1:9" ht="16.5">
      <c r="A2" s="2990" t="s">
        <v>2841</v>
      </c>
      <c r="B2" s="2990">
        <f>SUM(C14:C23)</f>
        <v>42071.89</v>
      </c>
      <c r="C2" s="2991"/>
      <c r="D2" s="2991"/>
      <c r="E2" s="2991"/>
      <c r="F2" s="2991"/>
    </row>
    <row r="3" spans="1:9" ht="16.5">
      <c r="A3" s="2990" t="s">
        <v>2842</v>
      </c>
      <c r="B3" s="2992">
        <f>项目基本情况!D3</f>
        <v>44036</v>
      </c>
      <c r="C3" s="2991"/>
      <c r="D3" s="2991"/>
      <c r="E3" s="2991"/>
      <c r="F3" s="2991"/>
    </row>
    <row r="4" spans="1:9" ht="33">
      <c r="A4" s="2990" t="s">
        <v>2843</v>
      </c>
      <c r="B4" s="2990" t="s">
        <v>2844</v>
      </c>
      <c r="C4" s="2990" t="s">
        <v>2845</v>
      </c>
      <c r="D4" s="2990" t="s">
        <v>2846</v>
      </c>
      <c r="E4" s="2991"/>
      <c r="F4" s="2991"/>
    </row>
    <row r="5" spans="1:9" ht="16.5">
      <c r="A5" s="2990" t="s">
        <v>2847</v>
      </c>
      <c r="B5" s="2990">
        <f ca="1">SUM(D14:D23)</f>
        <v>10499</v>
      </c>
      <c r="C5" s="2990">
        <f ca="1">ROUND(B5*10000/$B$1,0)</f>
        <v>1248</v>
      </c>
      <c r="D5" s="2990">
        <f ca="1">ROUND(B5*10000/$B$2,0)</f>
        <v>2495</v>
      </c>
      <c r="E5" s="2991"/>
      <c r="F5" s="2991"/>
    </row>
    <row r="6" spans="1:9" ht="16.5">
      <c r="A6" s="2990" t="s">
        <v>2848</v>
      </c>
      <c r="B6" s="2990">
        <f ca="1">SUM(G14:G23)</f>
        <v>10499</v>
      </c>
      <c r="C6" s="2990">
        <f ca="1">ROUND(B6*10000/$B$1,0)</f>
        <v>1248</v>
      </c>
      <c r="D6" s="2990">
        <f ca="1">ROUND(B6*10000/$B$2,0)</f>
        <v>2495</v>
      </c>
      <c r="E6" s="2991"/>
      <c r="F6" s="2991"/>
    </row>
    <row r="7" spans="1:9" ht="16.5">
      <c r="A7" s="2990" t="s">
        <v>2849</v>
      </c>
      <c r="B7" s="2990">
        <f>SUM(H14:H23)</f>
        <v>0</v>
      </c>
      <c r="C7" s="2990">
        <f>ROUND(B7*10000/$B$1,0)</f>
        <v>0</v>
      </c>
      <c r="D7" s="2990">
        <f>ROUND(B7*10000/$B$2,0)</f>
        <v>0</v>
      </c>
      <c r="E7" s="2991"/>
      <c r="F7" s="2991"/>
    </row>
    <row r="8" spans="1:9" ht="16.5">
      <c r="A8" s="2990" t="s">
        <v>2850</v>
      </c>
      <c r="B8" s="2990">
        <f>SUM(I14:I23)</f>
        <v>0</v>
      </c>
      <c r="C8" s="2990">
        <f>ROUND(B8*10000/$B$1,0)</f>
        <v>0</v>
      </c>
      <c r="D8" s="2990">
        <f>ROUND(B8*10000/$B$2,0)</f>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84143.78</v>
      </c>
      <c r="C14" s="2994">
        <f>结果表!K38</f>
        <v>42071.89</v>
      </c>
      <c r="D14" s="2994">
        <f ca="1">结果表!C42</f>
        <v>10499</v>
      </c>
      <c r="E14" s="2994">
        <f ca="1">ROUND(D14*10000/B14,0)</f>
        <v>1248</v>
      </c>
      <c r="F14" s="2994">
        <f ca="1">ROUND(D14*10000/C14,0)</f>
        <v>2495</v>
      </c>
      <c r="G14" s="2994">
        <f ca="1">结果表!C44</f>
        <v>10499</v>
      </c>
      <c r="H14" s="2994" t="str">
        <f>结果表!C45</f>
        <v>——</v>
      </c>
      <c r="I14" s="2994" t="str">
        <f>结果表!C46</f>
        <v>——</v>
      </c>
    </row>
    <row r="15" spans="1:9" ht="16.5">
      <c r="A15" s="2997" t="s">
        <v>2857</v>
      </c>
      <c r="B15" s="2998"/>
      <c r="C15" s="2998"/>
      <c r="D15" s="2998"/>
      <c r="E15" s="2994" t="e">
        <f t="shared" ref="E15:E23" si="0">ROUND(D15*10000/B15,0)</f>
        <v>#DIV/0!</v>
      </c>
      <c r="F15" s="2994" t="e">
        <f t="shared" ref="F15:F23" si="1">ROUND(D15*10000/C15,0)</f>
        <v>#DIV/0!</v>
      </c>
      <c r="G15" s="2995"/>
      <c r="H15" s="2995"/>
      <c r="I15" s="2998"/>
    </row>
    <row r="16" spans="1:9" ht="16.5">
      <c r="A16" s="2997" t="s">
        <v>2858</v>
      </c>
      <c r="B16" s="2998"/>
      <c r="C16" s="2998"/>
      <c r="D16" s="2998"/>
      <c r="E16" s="2994" t="e">
        <f t="shared" si="0"/>
        <v>#DIV/0!</v>
      </c>
      <c r="F16" s="2994" t="e">
        <f t="shared" si="1"/>
        <v>#DIV/0!</v>
      </c>
      <c r="G16" s="2995"/>
      <c r="H16" s="2995"/>
      <c r="I16" s="2998"/>
    </row>
    <row r="17" spans="1:9" ht="16.5">
      <c r="A17" s="2997" t="s">
        <v>2859</v>
      </c>
      <c r="B17" s="2998"/>
      <c r="C17" s="2998"/>
      <c r="D17" s="2998"/>
      <c r="E17" s="2994" t="e">
        <f t="shared" si="0"/>
        <v>#DIV/0!</v>
      </c>
      <c r="F17" s="2994" t="e">
        <f t="shared" si="1"/>
        <v>#DIV/0!</v>
      </c>
      <c r="G17" s="2995"/>
      <c r="H17" s="2995"/>
      <c r="I17" s="2998"/>
    </row>
    <row r="18" spans="1:9" ht="16.5">
      <c r="A18" s="2997" t="s">
        <v>2860</v>
      </c>
      <c r="B18" s="2998"/>
      <c r="C18" s="2998"/>
      <c r="D18" s="2998"/>
      <c r="E18" s="2994" t="e">
        <f t="shared" si="0"/>
        <v>#DIV/0!</v>
      </c>
      <c r="F18" s="2994" t="e">
        <f t="shared" si="1"/>
        <v>#DIV/0!</v>
      </c>
      <c r="G18" s="2998"/>
      <c r="H18" s="2998"/>
      <c r="I18" s="2998"/>
    </row>
    <row r="19" spans="1:9" ht="16.5">
      <c r="A19" s="2997" t="s">
        <v>2861</v>
      </c>
      <c r="B19" s="2998"/>
      <c r="C19" s="2998"/>
      <c r="D19" s="2998"/>
      <c r="E19" s="2994" t="e">
        <f t="shared" si="0"/>
        <v>#DIV/0!</v>
      </c>
      <c r="F19" s="2994" t="e">
        <f t="shared" si="1"/>
        <v>#DIV/0!</v>
      </c>
      <c r="G19" s="2998"/>
      <c r="H19" s="2998"/>
      <c r="I19" s="2998"/>
    </row>
    <row r="20" spans="1:9" ht="16.5">
      <c r="A20" s="2997" t="s">
        <v>2862</v>
      </c>
      <c r="B20" s="2998"/>
      <c r="C20" s="2998"/>
      <c r="D20" s="2998"/>
      <c r="E20" s="2994" t="e">
        <f t="shared" si="0"/>
        <v>#DIV/0!</v>
      </c>
      <c r="F20" s="2994" t="e">
        <f t="shared" si="1"/>
        <v>#DIV/0!</v>
      </c>
      <c r="G20" s="2998"/>
      <c r="H20" s="2998"/>
      <c r="I20" s="2998"/>
    </row>
    <row r="21" spans="1:9" ht="16.5">
      <c r="A21" s="2997" t="s">
        <v>2863</v>
      </c>
      <c r="B21" s="2998"/>
      <c r="C21" s="2998"/>
      <c r="D21" s="2998"/>
      <c r="E21" s="2994" t="e">
        <f t="shared" si="0"/>
        <v>#DIV/0!</v>
      </c>
      <c r="F21" s="2994" t="e">
        <f t="shared" si="1"/>
        <v>#DIV/0!</v>
      </c>
      <c r="G21" s="2998"/>
      <c r="H21" s="2998"/>
      <c r="I21" s="2998"/>
    </row>
    <row r="22" spans="1:9" ht="16.5">
      <c r="A22" s="2997" t="s">
        <v>2864</v>
      </c>
      <c r="B22" s="2998"/>
      <c r="C22" s="2998"/>
      <c r="D22" s="2998"/>
      <c r="E22" s="2994" t="e">
        <f t="shared" si="0"/>
        <v>#DIV/0!</v>
      </c>
      <c r="F22" s="2994" t="e">
        <f t="shared" si="1"/>
        <v>#DIV/0!</v>
      </c>
      <c r="G22" s="2998"/>
      <c r="H22" s="2998"/>
      <c r="I22" s="2998"/>
    </row>
    <row r="23" spans="1:9" ht="16.5">
      <c r="A23" s="2997" t="s">
        <v>2865</v>
      </c>
      <c r="B23" s="2998"/>
      <c r="C23" s="2998"/>
      <c r="D23" s="2998"/>
      <c r="E23" s="2990" t="e">
        <f t="shared" si="0"/>
        <v>#DIV/0!</v>
      </c>
      <c r="F23" s="2990" t="e">
        <f t="shared" si="1"/>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L23" sqref="L23"/>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c r="E1" s="1786" t="s">
        <v>2054</v>
      </c>
      <c r="F1" s="1788"/>
      <c r="G1" s="309"/>
      <c r="H1" s="309"/>
      <c r="I1" s="309"/>
      <c r="J1" s="2010"/>
      <c r="K1" s="2010"/>
      <c r="L1" s="2010"/>
      <c r="M1" s="2010"/>
      <c r="N1" s="2010"/>
      <c r="O1" s="2010"/>
      <c r="P1" s="2010"/>
      <c r="Q1" s="2010"/>
      <c r="R1" s="2010"/>
      <c r="S1" s="2010"/>
      <c r="T1" s="2010"/>
      <c r="U1" s="2010"/>
      <c r="V1" s="2010"/>
    </row>
    <row r="2" spans="1:22" ht="21.75" customHeight="1" thickBot="1">
      <c r="A2" s="3347" t="str">
        <f>项目基本情况!K2</f>
        <v>出让国有建设用地使用权</v>
      </c>
      <c r="B2" s="3348"/>
      <c r="C2" s="3349"/>
      <c r="D2" s="3349"/>
      <c r="E2" s="3349"/>
      <c r="F2" s="3349"/>
      <c r="G2" s="3348"/>
      <c r="H2" s="3348"/>
      <c r="I2" s="3350"/>
      <c r="J2" s="2011"/>
      <c r="K2" s="2010"/>
      <c r="L2" s="2010"/>
      <c r="M2" s="2010"/>
      <c r="N2" s="2010"/>
      <c r="O2" s="2010"/>
      <c r="P2" s="2010"/>
      <c r="Q2" s="2010"/>
      <c r="R2" s="2010"/>
      <c r="S2" s="2010"/>
      <c r="T2" s="2010"/>
      <c r="U2" s="2010"/>
      <c r="V2" s="2010"/>
    </row>
    <row r="3" spans="1:22" ht="14.25">
      <c r="A3" s="3358" t="s">
        <v>298</v>
      </c>
      <c r="B3" s="3359"/>
      <c r="C3" s="3359"/>
      <c r="D3" s="3359"/>
      <c r="E3" s="3359"/>
      <c r="F3" s="3359"/>
      <c r="G3" s="3359"/>
      <c r="H3" s="3359"/>
      <c r="I3" s="3359"/>
      <c r="J3" s="2011"/>
      <c r="K3" s="2010"/>
      <c r="L3" s="2010"/>
      <c r="M3" s="2010"/>
      <c r="N3" s="2010"/>
      <c r="O3" s="2010"/>
      <c r="P3" s="2010"/>
      <c r="Q3" s="2010"/>
      <c r="R3" s="2010"/>
      <c r="S3" s="2010"/>
      <c r="T3" s="2010"/>
      <c r="U3" s="2010"/>
      <c r="V3" s="2010"/>
    </row>
    <row r="4" spans="1:22" ht="14.25">
      <c r="A4" s="256" t="s">
        <v>299</v>
      </c>
      <c r="B4" s="257" t="s">
        <v>300</v>
      </c>
      <c r="C4" s="258" t="s">
        <v>3091</v>
      </c>
      <c r="D4" s="258" t="s">
        <v>3005</v>
      </c>
      <c r="E4" s="3322" t="s">
        <v>301</v>
      </c>
      <c r="F4" s="3364"/>
      <c r="G4" s="3364"/>
      <c r="H4" s="3364"/>
      <c r="I4" s="3323"/>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1" t="s">
        <v>302</v>
      </c>
      <c r="B5" s="3352">
        <v>25</v>
      </c>
      <c r="C5" s="3360"/>
      <c r="D5" s="3363"/>
      <c r="E5" s="259" t="s">
        <v>303</v>
      </c>
      <c r="F5" s="260"/>
      <c r="G5" s="260"/>
      <c r="H5" s="260"/>
      <c r="I5" s="261"/>
      <c r="J5" s="2011"/>
      <c r="K5" s="2010"/>
      <c r="L5" s="2010"/>
      <c r="M5" s="2010"/>
      <c r="N5" s="2010"/>
      <c r="O5" s="2010"/>
      <c r="P5" s="2010"/>
      <c r="Q5" s="2010"/>
      <c r="R5" s="2010"/>
      <c r="S5" s="2010"/>
      <c r="T5" s="2010"/>
      <c r="U5" s="2010"/>
      <c r="V5" s="2010"/>
    </row>
    <row r="6" spans="1:22" ht="14.25">
      <c r="A6" s="3351"/>
      <c r="B6" s="3352"/>
      <c r="C6" s="3361"/>
      <c r="D6" s="3363"/>
      <c r="E6" s="259" t="s">
        <v>304</v>
      </c>
      <c r="F6" s="260"/>
      <c r="G6" s="260"/>
      <c r="H6" s="260"/>
      <c r="I6" s="261"/>
      <c r="J6" s="2011"/>
      <c r="K6" s="2010"/>
      <c r="L6" s="2010"/>
      <c r="M6" s="2010"/>
      <c r="N6" s="2010"/>
      <c r="O6" s="2010"/>
      <c r="P6" s="2010"/>
      <c r="Q6" s="2010"/>
      <c r="R6" s="2010"/>
      <c r="S6" s="2010"/>
      <c r="T6" s="2010"/>
      <c r="U6" s="2010"/>
      <c r="V6" s="2010"/>
    </row>
    <row r="7" spans="1:22" ht="14.25">
      <c r="A7" s="3351"/>
      <c r="B7" s="3352"/>
      <c r="C7" s="3362"/>
      <c r="D7" s="3363"/>
      <c r="E7" s="259" t="s">
        <v>305</v>
      </c>
      <c r="F7" s="260"/>
      <c r="G7" s="260"/>
      <c r="H7" s="260"/>
      <c r="I7" s="261"/>
      <c r="J7" s="2011"/>
      <c r="K7" s="2010"/>
      <c r="L7" s="2010"/>
      <c r="M7" s="2010"/>
      <c r="N7" s="2010"/>
      <c r="O7" s="2010"/>
      <c r="P7" s="2010"/>
      <c r="Q7" s="2010"/>
      <c r="R7" s="2010"/>
      <c r="S7" s="2010"/>
      <c r="T7" s="2010"/>
      <c r="U7" s="2010"/>
      <c r="V7" s="2010"/>
    </row>
    <row r="8" spans="1:22" ht="14.25">
      <c r="A8" s="3351" t="s">
        <v>306</v>
      </c>
      <c r="B8" s="3352">
        <v>15</v>
      </c>
      <c r="C8" s="3360"/>
      <c r="D8" s="3363"/>
      <c r="E8" s="259" t="s">
        <v>307</v>
      </c>
      <c r="F8" s="260"/>
      <c r="G8" s="260"/>
      <c r="H8" s="260"/>
      <c r="I8" s="261"/>
      <c r="J8" s="2011"/>
      <c r="K8" s="2010"/>
      <c r="L8" s="2010"/>
      <c r="M8" s="2010"/>
      <c r="N8" s="2010"/>
      <c r="O8" s="2010"/>
      <c r="P8" s="2010"/>
      <c r="Q8" s="2010"/>
      <c r="R8" s="2010"/>
      <c r="S8" s="2010"/>
      <c r="T8" s="2010"/>
      <c r="U8" s="2010"/>
      <c r="V8" s="2010"/>
    </row>
    <row r="9" spans="1:22" ht="14.25">
      <c r="A9" s="3351"/>
      <c r="B9" s="3352"/>
      <c r="C9" s="3362"/>
      <c r="D9" s="3363"/>
      <c r="E9" s="259" t="s">
        <v>308</v>
      </c>
      <c r="F9" s="260"/>
      <c r="G9" s="260"/>
      <c r="H9" s="260"/>
      <c r="I9" s="261"/>
      <c r="J9" s="2011"/>
      <c r="K9" s="2010"/>
      <c r="L9" s="2010"/>
      <c r="M9" s="2010"/>
      <c r="N9" s="2010"/>
      <c r="O9" s="2010"/>
      <c r="P9" s="2010"/>
      <c r="Q9" s="2010"/>
      <c r="R9" s="2010"/>
      <c r="S9" s="2010"/>
      <c r="T9" s="2010"/>
      <c r="U9" s="2010"/>
      <c r="V9" s="2010"/>
    </row>
    <row r="10" spans="1:22" ht="14.25">
      <c r="A10" s="3351" t="s">
        <v>309</v>
      </c>
      <c r="B10" s="3352">
        <v>15</v>
      </c>
      <c r="C10" s="3360"/>
      <c r="D10" s="3363"/>
      <c r="E10" s="259" t="s">
        <v>310</v>
      </c>
      <c r="F10" s="260"/>
      <c r="G10" s="260"/>
      <c r="H10" s="260"/>
      <c r="I10" s="261"/>
      <c r="J10" s="2011"/>
      <c r="K10" s="2010"/>
      <c r="L10" s="2010"/>
      <c r="M10" s="2010"/>
      <c r="N10" s="2010"/>
      <c r="O10" s="2010"/>
      <c r="P10" s="2010"/>
      <c r="Q10" s="2010"/>
      <c r="R10" s="2010"/>
      <c r="S10" s="2010"/>
      <c r="T10" s="2010"/>
      <c r="U10" s="2010"/>
      <c r="V10" s="2010"/>
    </row>
    <row r="11" spans="1:22" ht="14.25">
      <c r="A11" s="3351"/>
      <c r="B11" s="3352"/>
      <c r="C11" s="3362"/>
      <c r="D11" s="3363"/>
      <c r="E11" s="259" t="s">
        <v>311</v>
      </c>
      <c r="F11" s="260"/>
      <c r="G11" s="260"/>
      <c r="H11" s="260"/>
      <c r="I11" s="261"/>
      <c r="J11" s="2011"/>
      <c r="K11" s="2010"/>
      <c r="L11" s="2010"/>
      <c r="M11" s="2010"/>
      <c r="N11" s="2010"/>
      <c r="O11" s="2010"/>
      <c r="P11" s="2010"/>
      <c r="Q11" s="2010"/>
      <c r="R11" s="2010"/>
      <c r="S11" s="2010"/>
      <c r="T11" s="2010"/>
      <c r="U11" s="2010"/>
      <c r="V11" s="2010"/>
    </row>
    <row r="12" spans="1:22" ht="14.25">
      <c r="A12" s="3351" t="s">
        <v>312</v>
      </c>
      <c r="B12" s="3352">
        <v>15</v>
      </c>
      <c r="C12" s="3360"/>
      <c r="D12" s="3363"/>
      <c r="E12" s="259" t="s">
        <v>313</v>
      </c>
      <c r="F12" s="260"/>
      <c r="G12" s="260"/>
      <c r="H12" s="260"/>
      <c r="I12" s="261"/>
      <c r="J12" s="2011"/>
      <c r="K12" s="2010"/>
      <c r="L12" s="2010"/>
      <c r="M12" s="2010"/>
      <c r="N12" s="2010"/>
      <c r="O12" s="2010"/>
      <c r="P12" s="2010"/>
      <c r="Q12" s="2010"/>
      <c r="R12" s="2010"/>
      <c r="S12" s="2010"/>
      <c r="T12" s="2010"/>
      <c r="U12" s="2010"/>
      <c r="V12" s="2010"/>
    </row>
    <row r="13" spans="1:22" ht="14.25">
      <c r="A13" s="3351"/>
      <c r="B13" s="3352"/>
      <c r="C13" s="3362"/>
      <c r="D13" s="3363"/>
      <c r="E13" s="259" t="s">
        <v>314</v>
      </c>
      <c r="F13" s="260"/>
      <c r="G13" s="260"/>
      <c r="H13" s="260"/>
      <c r="I13" s="261"/>
      <c r="J13" s="2011"/>
      <c r="K13" s="2010"/>
      <c r="L13" s="2010"/>
      <c r="M13" s="2010"/>
      <c r="N13" s="2010"/>
      <c r="O13" s="2010"/>
      <c r="P13" s="2010"/>
      <c r="Q13" s="2010"/>
      <c r="R13" s="2010"/>
      <c r="S13" s="2010"/>
      <c r="T13" s="2010"/>
      <c r="U13" s="2010"/>
      <c r="V13" s="2010"/>
    </row>
    <row r="14" spans="1:22" ht="14.25">
      <c r="A14" s="3351" t="s">
        <v>315</v>
      </c>
      <c r="B14" s="3352">
        <v>30</v>
      </c>
      <c r="C14" s="3360">
        <v>5</v>
      </c>
      <c r="D14" s="3363">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51"/>
      <c r="B15" s="3352"/>
      <c r="C15" s="3361"/>
      <c r="D15" s="3363"/>
      <c r="E15" s="259" t="s">
        <v>317</v>
      </c>
      <c r="F15" s="260"/>
      <c r="G15" s="260"/>
      <c r="H15" s="260"/>
      <c r="I15" s="261"/>
      <c r="J15" s="2011"/>
      <c r="K15" s="2010"/>
      <c r="L15" s="2010"/>
      <c r="M15" s="2010"/>
      <c r="N15" s="2010"/>
      <c r="O15" s="2010"/>
      <c r="P15" s="2010"/>
      <c r="Q15" s="2010"/>
      <c r="R15" s="2010"/>
      <c r="S15" s="2010"/>
      <c r="T15" s="2010"/>
      <c r="U15" s="2010"/>
      <c r="V15" s="2010"/>
    </row>
    <row r="16" spans="1:22" ht="14.25">
      <c r="A16" s="3351"/>
      <c r="B16" s="3352"/>
      <c r="C16" s="3362"/>
      <c r="D16" s="3363"/>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10055</v>
      </c>
      <c r="D19" s="269">
        <f ca="1">SUMIF(INDIRECT("'"&amp;D4&amp;"'"&amp;"!A:A"),结果表!B19,INDIRECT("'"&amp;D4&amp;"'"&amp;"!B:B"))</f>
        <v>10942</v>
      </c>
      <c r="E19" s="266" t="s">
        <v>323</v>
      </c>
      <c r="F19" s="267" t="s">
        <v>322</v>
      </c>
      <c r="G19" s="270">
        <f ca="1">ROUND(C19*$C$18+D19*$D$18,0)</f>
        <v>10499</v>
      </c>
      <c r="H19" s="271" t="s">
        <v>324</v>
      </c>
      <c r="I19" s="309">
        <v>1248</v>
      </c>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1195</v>
      </c>
      <c r="D20" s="275">
        <f ca="1">SUMIF(INDIRECT("'"&amp;D4&amp;"'"&amp;"!A:A"),结果表!B20,INDIRECT("'"&amp;D4&amp;"'"&amp;"!B:B"))</f>
        <v>1300</v>
      </c>
      <c r="E20" s="272"/>
      <c r="F20" s="273" t="s">
        <v>325</v>
      </c>
      <c r="G20" s="276">
        <f ca="1">ROUND(C20*$C$18+D20*$D$18,0)</f>
        <v>1248</v>
      </c>
      <c r="H20" s="277" t="s">
        <v>326</v>
      </c>
      <c r="I20" s="309">
        <v>1171</v>
      </c>
      <c r="J20" s="2010"/>
      <c r="K20" s="2010">
        <f ca="1">G19*10000/'数据-汇总表'!F31</f>
        <v>1247.7452284648966</v>
      </c>
      <c r="L20" s="2010">
        <f ca="1">G19*10000/'数据-汇总表'!F27</f>
        <v>1247.7452284648966</v>
      </c>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2390</v>
      </c>
      <c r="D21" s="151">
        <f ca="1">SUMIF(INDIRECT("'"&amp;D4&amp;"'"&amp;"!A:A"),结果表!B21,INDIRECT("'"&amp;D4&amp;"'"&amp;"!B:B"))</f>
        <v>2601</v>
      </c>
      <c r="E21" s="272"/>
      <c r="F21" s="278" t="s">
        <v>327</v>
      </c>
      <c r="G21" s="280">
        <f ca="1">ROUND(C21*$C$18+D21*$D$18,0)</f>
        <v>2496</v>
      </c>
      <c r="H21" s="1244" t="s">
        <v>326</v>
      </c>
      <c r="I21" s="309">
        <f>I19-I20</f>
        <v>77</v>
      </c>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8.8214818498259628E-2</v>
      </c>
      <c r="E22" s="282"/>
      <c r="F22" s="283"/>
      <c r="G22" s="284">
        <f ca="1">ROUND(G19/('数据-汇总表'!D3/666.67),0)</f>
        <v>166</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4"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66"/>
      <c r="B25" s="1314" t="s">
        <v>331</v>
      </c>
      <c r="C25" s="288">
        <f>IF(B30=0,0,C30)</f>
        <v>0</v>
      </c>
      <c r="D25" s="289"/>
      <c r="E25" s="309"/>
      <c r="F25" s="309"/>
      <c r="G25" s="309"/>
      <c r="H25" s="309"/>
      <c r="I25" s="309"/>
      <c r="J25" s="2010"/>
      <c r="K25" s="1248" t="str">
        <f ca="1">项目基本情况!B16&amp;"国有建设用地使用权价格："&amp;O38&amp;"万元"</f>
        <v>出让国有建设用地使用权价格：10499万元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大写金额：人民币壹亿零肆佰玖拾玖万元整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单位面积地价：2495元/平方米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楼面地价：1248元/平方米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抵押价格：10499万元</v>
      </c>
      <c r="L29" s="1245"/>
      <c r="M29" s="1245"/>
      <c r="N29" s="1245"/>
      <c r="O29" s="1244"/>
      <c r="P29" s="2010"/>
      <c r="V29" s="2010"/>
    </row>
    <row r="30" spans="1:26" ht="18.75" thickBot="1">
      <c r="A30" s="3075" t="s">
        <v>336</v>
      </c>
      <c r="B30" s="307"/>
      <c r="C30" s="307"/>
      <c r="D30" s="308"/>
      <c r="E30" s="3076" t="s">
        <v>2965</v>
      </c>
      <c r="F30" s="309"/>
      <c r="G30" s="309"/>
      <c r="H30" s="309"/>
      <c r="I30" s="309"/>
      <c r="J30" s="2010"/>
      <c r="K30" s="1251" t="str">
        <f ca="1">IF(K29="——","——","大写金额：人民币"&amp;NUMBERSTRING(INT(O39*10000),2)&amp;"元整")</f>
        <v>大写金额：人民币壹亿零肆佰玖拾玖万元整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10499</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1248</v>
      </c>
      <c r="D33" s="1378" t="s">
        <v>1690</v>
      </c>
      <c r="E33" s="3324"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2495</v>
      </c>
      <c r="D34" s="1380" t="s">
        <v>1690</v>
      </c>
      <c r="E34" s="3325"/>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166</v>
      </c>
      <c r="D35" s="1383" t="s">
        <v>1692</v>
      </c>
      <c r="E35" s="3326"/>
      <c r="F35" s="299" t="s">
        <v>342</v>
      </c>
      <c r="G35" s="979"/>
      <c r="H35" s="978" t="s">
        <v>343</v>
      </c>
      <c r="I35" s="309"/>
      <c r="J35" s="2010"/>
      <c r="K35" s="3330" t="s">
        <v>350</v>
      </c>
      <c r="L35" s="3330" t="s">
        <v>351</v>
      </c>
      <c r="M35" s="1257" t="s">
        <v>352</v>
      </c>
      <c r="N35" s="3330" t="s">
        <v>353</v>
      </c>
      <c r="O35" s="3330" t="s">
        <v>354</v>
      </c>
      <c r="P35" s="2010"/>
      <c r="V35" s="2010"/>
    </row>
    <row r="36" spans="1:26" ht="16.5" customHeight="1">
      <c r="A36" s="301" t="s">
        <v>344</v>
      </c>
      <c r="B36" s="302" t="s">
        <v>333</v>
      </c>
      <c r="C36" s="303" t="s">
        <v>345</v>
      </c>
      <c r="D36" s="303" t="s">
        <v>346</v>
      </c>
      <c r="E36" s="304" t="s">
        <v>347</v>
      </c>
      <c r="F36" s="309"/>
      <c r="G36" s="309"/>
      <c r="H36" s="309"/>
      <c r="I36" s="309"/>
      <c r="J36" s="2012"/>
      <c r="K36" s="3331"/>
      <c r="L36" s="3331"/>
      <c r="M36" s="1259" t="s">
        <v>355</v>
      </c>
      <c r="N36" s="3331"/>
      <c r="O36" s="3331"/>
      <c r="P36" s="2010"/>
      <c r="V36" s="2010"/>
    </row>
    <row r="37" spans="1:26" ht="16.5" customHeight="1" thickBot="1">
      <c r="A37" s="1253" t="s">
        <v>348</v>
      </c>
      <c r="B37" s="305"/>
      <c r="C37" s="292"/>
      <c r="D37" s="292"/>
      <c r="E37" s="293"/>
      <c r="F37" s="309"/>
      <c r="G37" s="309"/>
      <c r="H37" s="309"/>
      <c r="I37" s="309"/>
      <c r="J37" s="2012"/>
      <c r="K37" s="3332"/>
      <c r="L37" s="3332"/>
      <c r="M37" s="1260"/>
      <c r="N37" s="3332"/>
      <c r="O37" s="3332"/>
      <c r="P37" s="2010"/>
      <c r="V37" s="2010"/>
    </row>
    <row r="38" spans="1:26" ht="16.5" customHeight="1" thickBot="1">
      <c r="A38" s="1253" t="s">
        <v>349</v>
      </c>
      <c r="B38" s="305"/>
      <c r="C38" s="292"/>
      <c r="D38" s="292"/>
      <c r="E38" s="293"/>
      <c r="F38" s="309"/>
      <c r="G38" s="309"/>
      <c r="H38" s="309"/>
      <c r="I38" s="309"/>
      <c r="J38" s="2012"/>
      <c r="K38" s="1261">
        <f>'数据-汇总表'!D3</f>
        <v>42071.89</v>
      </c>
      <c r="L38" s="1262">
        <f>'数据-汇总表'!E3</f>
        <v>84143.78</v>
      </c>
      <c r="M38" s="1262">
        <f ca="1">C34</f>
        <v>2495</v>
      </c>
      <c r="N38" s="1262">
        <f ca="1">C33</f>
        <v>1248</v>
      </c>
      <c r="O38" s="1263">
        <f ca="1">C32</f>
        <v>10499</v>
      </c>
      <c r="P38" s="2010"/>
      <c r="V38" s="2010"/>
    </row>
    <row r="39" spans="1:26" ht="16.5" customHeight="1" thickBot="1">
      <c r="A39" s="1258"/>
      <c r="B39" s="306"/>
      <c r="C39" s="307"/>
      <c r="D39" s="307"/>
      <c r="E39" s="308"/>
      <c r="F39" s="309"/>
      <c r="G39" s="309"/>
      <c r="H39" s="309"/>
      <c r="I39" s="309"/>
      <c r="J39" s="2012"/>
      <c r="K39" s="3307" t="str">
        <f>MID(A44,3,LEN(A44)-2)</f>
        <v>抵押价格</v>
      </c>
      <c r="L39" s="3308"/>
      <c r="M39" s="3308"/>
      <c r="N39" s="3309"/>
      <c r="O39" s="1385">
        <f ca="1">C44</f>
        <v>10499</v>
      </c>
      <c r="P39" s="2010"/>
      <c r="V39" s="2010"/>
    </row>
    <row r="40" spans="1:26" ht="19.5" thickBot="1">
      <c r="A40" s="104" t="s">
        <v>873</v>
      </c>
      <c r="B40" s="309"/>
      <c r="C40" s="309"/>
      <c r="D40" s="309"/>
      <c r="E40" s="309"/>
      <c r="F40" s="309"/>
      <c r="G40" s="309"/>
      <c r="H40" s="309"/>
      <c r="I40" s="309"/>
      <c r="J40" s="2012"/>
      <c r="K40" s="3307" t="str">
        <f>MID(A45,3,LEN(A45)-2)</f>
        <v/>
      </c>
      <c r="L40" s="3308"/>
      <c r="M40" s="3308"/>
      <c r="N40" s="3309"/>
      <c r="O40" s="1385" t="str">
        <f>C45</f>
        <v>——</v>
      </c>
      <c r="P40" s="2010"/>
      <c r="V40" s="2010"/>
    </row>
    <row r="41" spans="1:26" ht="16.5" thickBot="1">
      <c r="A41" s="310" t="s">
        <v>356</v>
      </c>
      <c r="B41" s="311"/>
      <c r="C41" s="312" t="s">
        <v>357</v>
      </c>
      <c r="D41" s="313" t="s">
        <v>358</v>
      </c>
      <c r="E41" s="313" t="s">
        <v>359</v>
      </c>
      <c r="F41" s="314" t="s">
        <v>360</v>
      </c>
      <c r="G41" s="309"/>
      <c r="H41" s="309"/>
      <c r="I41" s="309"/>
      <c r="J41" s="2012"/>
      <c r="K41" s="3307" t="str">
        <f>MID(A46,3,LEN(A46)-2)</f>
        <v/>
      </c>
      <c r="L41" s="3308"/>
      <c r="M41" s="3308"/>
      <c r="N41" s="3309"/>
      <c r="O41" s="1385" t="str">
        <f>C46</f>
        <v>——</v>
      </c>
      <c r="P41" s="2010"/>
      <c r="V41" s="2010"/>
    </row>
    <row r="42" spans="1:26" ht="29.25">
      <c r="A42" s="3367" t="s">
        <v>2064</v>
      </c>
      <c r="B42" s="3368"/>
      <c r="C42" s="262">
        <f ca="1">C32</f>
        <v>10499</v>
      </c>
      <c r="D42" s="315">
        <f ca="1">C33</f>
        <v>1248</v>
      </c>
      <c r="E42" s="315">
        <f ca="1">C34</f>
        <v>2495</v>
      </c>
      <c r="F42" s="316">
        <f ca="1">C35</f>
        <v>166</v>
      </c>
      <c r="G42" s="309"/>
      <c r="H42" s="309"/>
      <c r="I42" s="317"/>
      <c r="J42" s="2012"/>
      <c r="K42" s="1264" t="s">
        <v>361</v>
      </c>
      <c r="L42" s="2029" t="s">
        <v>362</v>
      </c>
      <c r="M42" s="1265" t="s">
        <v>363</v>
      </c>
      <c r="N42" s="2030" t="s">
        <v>364</v>
      </c>
      <c r="O42" s="2031" t="s">
        <v>365</v>
      </c>
      <c r="P42" s="2010"/>
      <c r="V42" s="2010"/>
    </row>
    <row r="43" spans="1:26" ht="30">
      <c r="A43" s="3377" t="s">
        <v>2726</v>
      </c>
      <c r="B43" s="3378"/>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10055</v>
      </c>
      <c r="M43" s="1268">
        <f>C18</f>
        <v>0.5</v>
      </c>
      <c r="N43" s="1269">
        <f ca="1">IF(N42="测算结果/万元",G19,G20)</f>
        <v>10499</v>
      </c>
      <c r="O43" s="1270">
        <f ca="1">IF(O42="最终结果/万元",C32,C33)</f>
        <v>10499</v>
      </c>
      <c r="P43" s="2010"/>
      <c r="V43" s="2010"/>
    </row>
    <row r="44" spans="1:26" ht="30.75" thickBot="1">
      <c r="A44" s="3367" t="str">
        <f>IF(OR(项目基本情况!E8="抵押价格",项目基本情况!E8="已注销及未注销"),"3.抵押价格","——")</f>
        <v>3.抵押价格</v>
      </c>
      <c r="B44" s="3368"/>
      <c r="C44" s="262">
        <f ca="1">IF(A44="——","——",C42-C43)</f>
        <v>10499</v>
      </c>
      <c r="D44" s="315">
        <f ca="1">ROUND(C44*10000/'数据-汇总表'!E3,0)</f>
        <v>1248</v>
      </c>
      <c r="E44" s="315">
        <f ca="1">ROUND(C44*10000/'数据-汇总表'!D3,0)</f>
        <v>2495</v>
      </c>
      <c r="F44" s="316">
        <f ca="1">ROUND(C44/('数据-汇总表'!D3/666.67),0)</f>
        <v>166</v>
      </c>
      <c r="G44" s="309"/>
      <c r="H44" s="309"/>
      <c r="I44" s="317"/>
      <c r="J44" s="2012"/>
      <c r="K44" s="1271" t="str">
        <f>D4</f>
        <v>剩余法-待开发</v>
      </c>
      <c r="L44" s="1272">
        <f ca="1">IF(L42="估价结果/万元",D19,D20)</f>
        <v>10942</v>
      </c>
      <c r="M44" s="1273">
        <f>D18</f>
        <v>0.5</v>
      </c>
      <c r="N44" s="1274"/>
      <c r="O44" s="1275"/>
      <c r="P44" s="2010"/>
      <c r="V44" s="2010"/>
    </row>
    <row r="45" spans="1:26" ht="15">
      <c r="A45" s="3372" t="str">
        <f>IF(项目基本情况!E8="已注销及未注销","4.抵押担保权已注销时的抵押价格",IF(项目基本情况!E8="已注销","3.抵押担保权已注销时的抵押价格","——"))</f>
        <v>——</v>
      </c>
      <c r="B45" s="3373"/>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69" t="str">
        <f>IF(项目基本情况!E9="抵押净值",IF(A45="——","4.抵押净值","5.抵押净值"),"——")</f>
        <v>——</v>
      </c>
      <c r="B46" s="3370"/>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35" t="s">
        <v>374</v>
      </c>
      <c r="B63" s="3336"/>
      <c r="C63" s="3337"/>
      <c r="D63" s="339">
        <f ca="1">ROUND(C42*F63,0)</f>
        <v>6299</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4" t="s">
        <v>378</v>
      </c>
      <c r="B64" s="3375"/>
      <c r="C64" s="3375"/>
      <c r="D64" s="3375"/>
      <c r="E64" s="3375"/>
      <c r="F64" s="3375"/>
      <c r="G64" s="3376"/>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71" t="s">
        <v>386</v>
      </c>
      <c r="B66" s="3342"/>
      <c r="C66" s="3342"/>
      <c r="D66" s="259">
        <f ca="1">IF(H66="情况1",0,IF(H66="情况2",D70,IF(H66="情况3",D71,IF(H66="情况4",D72))))</f>
        <v>330</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11" t="s">
        <v>385</v>
      </c>
      <c r="M66" s="3312"/>
      <c r="N66" s="2419"/>
      <c r="O66" s="2420"/>
      <c r="P66" s="2421"/>
      <c r="Q66" s="2010"/>
      <c r="R66" s="2010"/>
      <c r="S66" s="2010"/>
      <c r="T66" s="2010"/>
      <c r="U66" s="2010"/>
      <c r="V66" s="2010"/>
    </row>
    <row r="67" spans="1:22" ht="25.5" customHeight="1">
      <c r="A67" s="350" t="s">
        <v>390</v>
      </c>
      <c r="B67" s="3354" t="s">
        <v>391</v>
      </c>
      <c r="C67" s="3354"/>
      <c r="D67" s="351">
        <v>0</v>
      </c>
      <c r="E67" s="41" t="s">
        <v>392</v>
      </c>
      <c r="F67" s="62" t="s">
        <v>21</v>
      </c>
      <c r="G67" s="3338"/>
      <c r="H67" s="309"/>
      <c r="I67" s="1285"/>
      <c r="J67" s="2017"/>
      <c r="K67" s="1958">
        <v>2</v>
      </c>
      <c r="L67" s="3310" t="s">
        <v>389</v>
      </c>
      <c r="M67" s="3310"/>
      <c r="N67" s="1318">
        <f>'数据-取费表'!B2</f>
        <v>44036</v>
      </c>
      <c r="O67" s="1318"/>
      <c r="P67" s="1318"/>
      <c r="Q67" s="2010"/>
      <c r="R67" s="2010"/>
      <c r="S67" s="2010"/>
      <c r="T67" s="2010"/>
      <c r="U67" s="2010"/>
      <c r="V67" s="2010"/>
    </row>
    <row r="68" spans="1:22" ht="25.5" customHeight="1">
      <c r="A68" s="352"/>
      <c r="B68" s="3354" t="s">
        <v>394</v>
      </c>
      <c r="C68" s="3354"/>
      <c r="D68" s="353"/>
      <c r="E68" s="77"/>
      <c r="F68" s="354"/>
      <c r="G68" s="3339"/>
      <c r="H68" s="309"/>
      <c r="I68" s="1285"/>
      <c r="J68" s="2017"/>
      <c r="K68" s="1958">
        <v>3</v>
      </c>
      <c r="L68" s="3310" t="s">
        <v>393</v>
      </c>
      <c r="M68" s="3310"/>
      <c r="N68" s="1286">
        <f ca="1">C42</f>
        <v>10499</v>
      </c>
      <c r="O68" s="1286"/>
      <c r="P68" s="1286"/>
      <c r="Q68" s="2010"/>
      <c r="R68" s="2010"/>
      <c r="S68" s="2010"/>
      <c r="T68" s="2010"/>
      <c r="U68" s="2010"/>
      <c r="V68" s="2010"/>
    </row>
    <row r="69" spans="1:22" ht="12" customHeight="1">
      <c r="A69" s="355"/>
      <c r="B69" s="3354" t="s">
        <v>395</v>
      </c>
      <c r="C69" s="3354"/>
      <c r="D69" s="356"/>
      <c r="E69" s="73"/>
      <c r="F69" s="354"/>
      <c r="G69" s="3340"/>
      <c r="H69" s="309"/>
      <c r="I69" s="1285"/>
      <c r="J69" s="2017"/>
      <c r="K69" s="1287">
        <v>4</v>
      </c>
      <c r="L69" s="3316" t="s">
        <v>2879</v>
      </c>
      <c r="M69" s="3317"/>
      <c r="N69" s="1288">
        <f ca="1">C44</f>
        <v>10499</v>
      </c>
      <c r="O69" s="1288"/>
      <c r="P69" s="1288"/>
      <c r="Q69" s="2010"/>
      <c r="R69" s="2010"/>
      <c r="S69" s="2010"/>
      <c r="T69" s="2010"/>
      <c r="U69" s="2010"/>
      <c r="V69" s="2010"/>
    </row>
    <row r="70" spans="1:22" ht="24" customHeight="1">
      <c r="A70" s="357" t="s">
        <v>396</v>
      </c>
      <c r="B70" s="3354" t="s">
        <v>397</v>
      </c>
      <c r="C70" s="3354"/>
      <c r="D70" s="356">
        <f ca="1">ROUND(D63*'数据-取费表'!B41/(1+'数据-取费表'!C42),0)</f>
        <v>330</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53" t="s">
        <v>405</v>
      </c>
      <c r="C71" s="3365"/>
      <c r="D71" s="356">
        <f ca="1">ROUND(D63*'数据-取费表'!B41/(1+'数据-取费表'!C42),0)</f>
        <v>330</v>
      </c>
      <c r="E71" s="17" t="s">
        <v>398</v>
      </c>
      <c r="F71" s="358">
        <f>'数据-取费表'!B41</f>
        <v>5.5000000000000007E-2</v>
      </c>
      <c r="G71" s="359"/>
      <c r="H71" s="309"/>
      <c r="I71" s="1285"/>
      <c r="J71" s="2017"/>
      <c r="K71" s="3006" t="s">
        <v>399</v>
      </c>
      <c r="L71" s="3318" t="s">
        <v>400</v>
      </c>
      <c r="M71" s="3318"/>
      <c r="N71" s="3006" t="s">
        <v>401</v>
      </c>
      <c r="O71" s="3006" t="s">
        <v>402</v>
      </c>
      <c r="P71" s="3006" t="s">
        <v>403</v>
      </c>
      <c r="Q71" s="2010"/>
      <c r="R71" s="2010"/>
      <c r="S71" s="2010"/>
      <c r="T71" s="2010"/>
      <c r="U71" s="2010"/>
      <c r="V71" s="2010"/>
    </row>
    <row r="72" spans="1:22" ht="12" customHeight="1">
      <c r="A72" s="357" t="s">
        <v>407</v>
      </c>
      <c r="B72" s="3353" t="s">
        <v>408</v>
      </c>
      <c r="C72" s="3365"/>
      <c r="D72" s="356">
        <f ca="1">C86</f>
        <v>220</v>
      </c>
      <c r="E72" s="73" t="s">
        <v>409</v>
      </c>
      <c r="F72" s="358">
        <f>'数据-取费表'!B41</f>
        <v>5.5000000000000007E-2</v>
      </c>
      <c r="G72" s="359"/>
      <c r="H72" s="1291"/>
      <c r="I72" s="1285"/>
      <c r="J72" s="2017"/>
      <c r="K72" s="1958">
        <v>1</v>
      </c>
      <c r="L72" s="3315" t="s">
        <v>406</v>
      </c>
      <c r="M72" s="3315"/>
      <c r="N72" s="1289">
        <f ca="1">D66</f>
        <v>330</v>
      </c>
      <c r="O72" s="1841" t="str">
        <f>E66</f>
        <v>销售额×税（费）率</v>
      </c>
      <c r="P72" s="1290">
        <f>F66</f>
        <v>5.5000000000000007E-2</v>
      </c>
      <c r="Q72" s="2010"/>
      <c r="R72" s="2010"/>
      <c r="S72" s="2010"/>
      <c r="T72" s="2010"/>
      <c r="U72" s="2010"/>
      <c r="V72" s="2010"/>
    </row>
    <row r="73" spans="1:22" ht="24" customHeight="1">
      <c r="A73" s="3341" t="s">
        <v>411</v>
      </c>
      <c r="B73" s="3342"/>
      <c r="C73" s="3342"/>
      <c r="D73" s="360">
        <f>IF(H73="个人住宅",0,ROUND(D63*I73,0))</f>
        <v>0</v>
      </c>
      <c r="E73" s="17" t="s">
        <v>412</v>
      </c>
      <c r="F73" s="358" t="str">
        <f>IF(H73="正常",I73,"免征")</f>
        <v>免征</v>
      </c>
      <c r="G73" s="359"/>
      <c r="H73" s="191" t="s">
        <v>2452</v>
      </c>
      <c r="I73" s="358">
        <f>'数据-取费表'!B49</f>
        <v>5.0000000000000001E-4</v>
      </c>
      <c r="J73" s="2017"/>
      <c r="K73" s="1958">
        <v>2</v>
      </c>
      <c r="L73" s="3315" t="s">
        <v>410</v>
      </c>
      <c r="M73" s="3315"/>
      <c r="N73" s="1289">
        <f t="shared" ref="N73:P74" si="0">D73</f>
        <v>0</v>
      </c>
      <c r="O73" s="1841" t="str">
        <f t="shared" si="0"/>
        <v>销售额×税（费）率</v>
      </c>
      <c r="P73" s="1290" t="str">
        <f t="shared" si="0"/>
        <v>免征</v>
      </c>
      <c r="Q73" s="2010"/>
      <c r="R73" s="2010"/>
      <c r="S73" s="2010"/>
      <c r="T73" s="2010"/>
      <c r="U73" s="2010"/>
      <c r="V73" s="2010"/>
    </row>
    <row r="74" spans="1:22" ht="24.75">
      <c r="A74" s="3341" t="s">
        <v>415</v>
      </c>
      <c r="B74" s="3342"/>
      <c r="C74" s="3342"/>
      <c r="D74" s="360">
        <f ca="1">IF(H74="个人住宅",D75,D76)</f>
        <v>2915</v>
      </c>
      <c r="E74" s="17" t="s">
        <v>416</v>
      </c>
      <c r="F74" s="358" t="str">
        <f>IF(H74="正常",F76,"免征")</f>
        <v>——</v>
      </c>
      <c r="G74" s="980" t="s">
        <v>417</v>
      </c>
      <c r="H74" s="361" t="s">
        <v>413</v>
      </c>
      <c r="I74" s="42"/>
      <c r="J74" s="2017"/>
      <c r="K74" s="1958">
        <v>3</v>
      </c>
      <c r="L74" s="3315" t="s">
        <v>414</v>
      </c>
      <c r="M74" s="3315"/>
      <c r="N74" s="1289">
        <f t="shared" ca="1" si="0"/>
        <v>2915</v>
      </c>
      <c r="O74" s="1841" t="str">
        <f t="shared" si="0"/>
        <v>增值额×税（费）率</v>
      </c>
      <c r="P74" s="1292" t="str">
        <f t="shared" si="0"/>
        <v>——</v>
      </c>
      <c r="Q74" s="2010"/>
      <c r="R74" s="2010"/>
      <c r="S74" s="2010"/>
      <c r="T74" s="2010"/>
      <c r="U74" s="2010"/>
      <c r="V74" s="2010"/>
    </row>
    <row r="75" spans="1:22" ht="24">
      <c r="A75" s="357" t="s">
        <v>418</v>
      </c>
      <c r="B75" s="3322" t="s">
        <v>419</v>
      </c>
      <c r="C75" s="3323"/>
      <c r="D75" s="362">
        <v>0</v>
      </c>
      <c r="E75" s="41" t="s">
        <v>420</v>
      </c>
      <c r="F75" s="363"/>
      <c r="G75" s="359"/>
      <c r="H75" s="42"/>
      <c r="I75" s="42"/>
      <c r="J75" s="2017"/>
      <c r="K75" s="2999">
        <f>IF(H77="非个人房产","",4)</f>
        <v>4</v>
      </c>
      <c r="L75" s="3315" t="str">
        <f>IF(H77="非个人房产","——","个人所得税")</f>
        <v>个人所得税</v>
      </c>
      <c r="M75" s="3315"/>
      <c r="N75" s="1293">
        <f ca="1">D77</f>
        <v>63</v>
      </c>
      <c r="O75" s="1854" t="str">
        <f>E77</f>
        <v>销售额×税（费）率</v>
      </c>
      <c r="P75" s="1294">
        <f>F77</f>
        <v>0.01</v>
      </c>
      <c r="Q75" s="2010"/>
      <c r="R75" s="2010"/>
      <c r="S75" s="2010"/>
      <c r="T75" s="2010"/>
      <c r="U75" s="2010"/>
      <c r="V75" s="2010"/>
    </row>
    <row r="76" spans="1:22" ht="24.75">
      <c r="A76" s="357" t="s">
        <v>396</v>
      </c>
      <c r="B76" s="3322" t="s">
        <v>422</v>
      </c>
      <c r="C76" s="3364"/>
      <c r="D76" s="360">
        <f ca="1">IF(H76="转让取得",C99,C115)</f>
        <v>2915</v>
      </c>
      <c r="E76" s="17" t="s">
        <v>423</v>
      </c>
      <c r="F76" s="53" t="s">
        <v>21</v>
      </c>
      <c r="G76" s="359"/>
      <c r="H76" s="361" t="s">
        <v>424</v>
      </c>
      <c r="I76" s="42"/>
      <c r="J76" s="2017"/>
      <c r="K76" s="2999" t="str">
        <f>IF(项目基本情况!K6="上海银行",IF(K75="",4,K75+1),"")</f>
        <v/>
      </c>
      <c r="L76" s="3303" t="str">
        <f>IF(项目基本情况!K6="上海银行","其他处置费用","")</f>
        <v/>
      </c>
      <c r="M76" s="3304"/>
      <c r="N76" s="1289" t="str">
        <f>IF(项目基本情况!K6="上海银行",N89,"")</f>
        <v/>
      </c>
      <c r="O76" s="3305" t="str">
        <f>IF(项目基本情况!K6="上海银行","包含处置中涉及的律师、诉讼、拍卖、评估等费用","")</f>
        <v/>
      </c>
      <c r="P76" s="3306"/>
      <c r="Q76" s="2010"/>
      <c r="R76" s="2010"/>
      <c r="S76" s="2010"/>
      <c r="T76" s="2010"/>
      <c r="U76" s="2010"/>
      <c r="V76" s="2010"/>
    </row>
    <row r="77" spans="1:22" ht="26.25" thickBot="1">
      <c r="A77" s="3333" t="s">
        <v>426</v>
      </c>
      <c r="B77" s="3334"/>
      <c r="C77" s="3334"/>
      <c r="D77" s="364">
        <f ca="1">IF(H77="非个人房产","——",IF(H77="个人住宅",0,ROUND(D63*I77,0)))</f>
        <v>63</v>
      </c>
      <c r="E77" s="365" t="str">
        <f>IF(H77="非个人房产","——","销售额×税（费）率")</f>
        <v>销售额×税（费）率</v>
      </c>
      <c r="F77" s="366">
        <f>IF(H77="非个人房产","——",IF(H77="个人住宅","免征",I77))</f>
        <v>0.01</v>
      </c>
      <c r="G77" s="981" t="s">
        <v>417</v>
      </c>
      <c r="H77" s="361" t="s">
        <v>2880</v>
      </c>
      <c r="I77" s="367">
        <v>0.01</v>
      </c>
      <c r="J77" s="2017"/>
      <c r="K77" s="3329">
        <f>IF(AND(K75="",K76=""),4,IF(项目基本情况!K6="上海银行",K76+1,K75+1))</f>
        <v>5</v>
      </c>
      <c r="L77" s="3315" t="s">
        <v>2881</v>
      </c>
      <c r="M77" s="3005" t="s">
        <v>421</v>
      </c>
      <c r="N77" s="1295"/>
      <c r="O77" s="1296">
        <f ca="1">SUMIF(N72:N76,"&lt;9e307")</f>
        <v>3308</v>
      </c>
      <c r="P77" s="1297"/>
      <c r="Q77" s="3003">
        <f ca="1">O77/N69</f>
        <v>0.31507762644061338</v>
      </c>
      <c r="R77" s="2010"/>
      <c r="S77" s="2010"/>
      <c r="T77" s="2010"/>
      <c r="U77" s="2010"/>
      <c r="V77" s="2010"/>
    </row>
    <row r="78" spans="1:22" ht="12" customHeight="1">
      <c r="A78" s="1298"/>
      <c r="B78" s="309"/>
      <c r="C78" s="309"/>
      <c r="D78" s="309"/>
      <c r="E78" s="42"/>
      <c r="F78" s="42"/>
      <c r="G78" s="42"/>
      <c r="H78" s="1000"/>
      <c r="I78" s="309"/>
      <c r="J78" s="2017"/>
      <c r="K78" s="3329"/>
      <c r="L78" s="3315"/>
      <c r="M78" s="3005" t="s">
        <v>425</v>
      </c>
      <c r="N78" s="1295"/>
      <c r="O78" s="1296" t="str">
        <f ca="1">NUMBERSTRING(INT(O77*10000),2)&amp;"元整"</f>
        <v>叁仟叁佰零捌万元整</v>
      </c>
      <c r="P78" s="1297"/>
      <c r="Q78" s="2010"/>
      <c r="R78" s="2010"/>
      <c r="S78" s="2010"/>
      <c r="T78" s="2010"/>
      <c r="U78" s="2010"/>
      <c r="V78" s="2010"/>
    </row>
    <row r="79" spans="1:22" ht="13.5" thickBot="1">
      <c r="A79" s="3319" t="s">
        <v>427</v>
      </c>
      <c r="B79" s="3319"/>
      <c r="C79" s="3319"/>
      <c r="D79" s="3319"/>
      <c r="E79" s="3319"/>
      <c r="F79" s="42"/>
      <c r="G79" s="42"/>
      <c r="H79" s="1000"/>
      <c r="I79" s="309"/>
      <c r="J79" s="2017"/>
      <c r="K79" s="3313">
        <f>K77+1</f>
        <v>6</v>
      </c>
      <c r="L79" s="3315" t="s">
        <v>2882</v>
      </c>
      <c r="M79" s="3005" t="s">
        <v>421</v>
      </c>
      <c r="N79" s="1295"/>
      <c r="O79" s="1296">
        <f ca="1">N69-O77</f>
        <v>7191</v>
      </c>
      <c r="P79" s="1297"/>
      <c r="Q79" s="2010"/>
      <c r="R79" s="2010"/>
      <c r="S79" s="2010"/>
      <c r="T79" s="2010"/>
      <c r="U79" s="2010"/>
      <c r="V79" s="2010"/>
    </row>
    <row r="80" spans="1:22" ht="25.5">
      <c r="A80" s="3320" t="s">
        <v>428</v>
      </c>
      <c r="B80" s="3321"/>
      <c r="C80" s="991"/>
      <c r="D80" s="991" t="s">
        <v>429</v>
      </c>
      <c r="E80" s="368" t="s">
        <v>430</v>
      </c>
      <c r="F80" s="42"/>
      <c r="G80" s="42"/>
      <c r="H80" s="1000"/>
      <c r="I80" s="309"/>
      <c r="J80" s="2010"/>
      <c r="K80" s="3314"/>
      <c r="L80" s="3315"/>
      <c r="M80" s="3005" t="s">
        <v>425</v>
      </c>
      <c r="N80" s="1295"/>
      <c r="O80" s="1296" t="str">
        <f ca="1">NUMBERSTRING(INT(O79*10000),2)&amp;"元整"</f>
        <v>柒仟壹佰玖拾壹万元整</v>
      </c>
      <c r="P80" s="1297"/>
      <c r="Q80" s="2010"/>
      <c r="R80" s="2010"/>
      <c r="S80" s="2010"/>
      <c r="T80" s="2010"/>
      <c r="U80" s="2010"/>
      <c r="V80" s="2010"/>
    </row>
    <row r="81" spans="1:26" ht="13.5" thickBot="1">
      <c r="A81" s="379" t="s">
        <v>1822</v>
      </c>
      <c r="B81" s="369" t="s">
        <v>431</v>
      </c>
      <c r="C81" s="370">
        <f ca="1">ROUND((C82+C83)/(1+'数据-取费表'!C42),0)</f>
        <v>5999</v>
      </c>
      <c r="D81" s="371"/>
      <c r="E81" s="372"/>
      <c r="F81" s="42"/>
      <c r="G81" s="42"/>
      <c r="H81" s="1000"/>
      <c r="I81" s="309"/>
      <c r="J81" s="2010"/>
      <c r="K81" s="2999">
        <f>K79+1</f>
        <v>7</v>
      </c>
      <c r="L81" s="3327" t="s">
        <v>2883</v>
      </c>
      <c r="M81" s="3328"/>
      <c r="N81" s="1299"/>
      <c r="O81" s="1300">
        <f ca="1">ROUND(O79*10000/'数据-汇总表'!E3,0)</f>
        <v>855</v>
      </c>
      <c r="P81" s="1301"/>
      <c r="Q81" s="2010"/>
      <c r="R81" s="2010"/>
      <c r="S81" s="2010"/>
      <c r="T81" s="2010"/>
      <c r="U81" s="2010"/>
      <c r="V81" s="2010"/>
    </row>
    <row r="82" spans="1:26" ht="13.5" thickTop="1">
      <c r="A82" s="373" t="s">
        <v>1823</v>
      </c>
      <c r="B82" s="374" t="s">
        <v>432</v>
      </c>
      <c r="C82" s="375">
        <f ca="1">D63</f>
        <v>6299</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02" t="s">
        <v>2870</v>
      </c>
      <c r="L83" s="3011" t="s">
        <v>2871</v>
      </c>
      <c r="M83" s="3001">
        <f ca="1">IF(N69&gt;10000,N69*0.5%,IF(AND(N69&gt;1000,N69&lt;=10000),N69*1%,IF(AND(N69&gt;100,N69&lt;=1000),N69*3%,IF(AND(N69&gt;10,N69&lt;=100),N69*5%,N69*8%))))</f>
        <v>52.495000000000005</v>
      </c>
      <c r="N83" s="53">
        <f ca="1">ROUND(M83,1)</f>
        <v>52.5</v>
      </c>
      <c r="O83" s="3004"/>
      <c r="P83" s="2010"/>
      <c r="Q83" s="2010"/>
      <c r="R83" s="2010"/>
      <c r="S83" s="2010"/>
      <c r="T83" s="2010"/>
      <c r="U83" s="2010"/>
      <c r="V83" s="2010"/>
    </row>
    <row r="84" spans="1:26" ht="12.75">
      <c r="A84" s="379" t="s">
        <v>1825</v>
      </c>
      <c r="B84" s="380" t="s">
        <v>434</v>
      </c>
      <c r="C84" s="381">
        <v>2000</v>
      </c>
      <c r="D84" s="382" t="s">
        <v>19</v>
      </c>
      <c r="E84" s="3046" t="s">
        <v>2938</v>
      </c>
      <c r="F84" s="42"/>
      <c r="G84" s="42"/>
      <c r="H84" s="1000"/>
      <c r="I84" s="309"/>
      <c r="J84" s="2010"/>
      <c r="K84" s="3302"/>
      <c r="L84" s="3011" t="s">
        <v>2872</v>
      </c>
      <c r="M84" s="3001">
        <f ca="1">IF(N69&gt;2000,N69*0.5%,IF(AND(N69&gt;1000,N69&lt;=2000),N69*0.6%,IF(AND(N69&gt;500,N69&lt;=1000),N69*0.7%,IF(AND(N69&gt;200,N69&lt;=500),N69*0.8%,IF(AND(N69&gt;100,N69&lt;=200),N69*0.9%,IF(AND(N69&gt;50,N69&lt;=100),N69*1%,IF(AND(N69&gt;20,N69&lt;=50),N69*1.5%,IF(AND(N69&gt;10,N69&lt;=20),N69*2%,IF(AND(N69&gt;1,N69&lt;=10),N69*2.5%)))))))))</f>
        <v>52.495000000000005</v>
      </c>
      <c r="N84" s="53">
        <f ca="1">ROUND(M84,1)</f>
        <v>52.5</v>
      </c>
      <c r="O84" s="2010" t="s">
        <v>2873</v>
      </c>
      <c r="P84" s="2010"/>
      <c r="Q84" s="2010"/>
      <c r="R84" s="2010"/>
      <c r="S84" s="2010"/>
      <c r="T84" s="2010"/>
      <c r="U84" s="2010"/>
      <c r="V84" s="2010"/>
    </row>
    <row r="85" spans="1:26" ht="12.75">
      <c r="A85" s="379" t="s">
        <v>1826</v>
      </c>
      <c r="B85" s="380" t="s">
        <v>435</v>
      </c>
      <c r="C85" s="383">
        <f ca="1">C81-C84</f>
        <v>3999</v>
      </c>
      <c r="D85" s="376" t="s">
        <v>19</v>
      </c>
      <c r="E85" s="377"/>
      <c r="F85" s="42"/>
      <c r="G85" s="42"/>
      <c r="H85" s="1000"/>
      <c r="I85" s="309"/>
      <c r="J85" s="2010"/>
      <c r="K85" s="3302"/>
      <c r="L85" s="3011" t="s">
        <v>2874</v>
      </c>
      <c r="M85" s="3001">
        <f ca="1">IF(N69&gt;1000,N69*0.1%,IF(AND(N69&gt;500,N69&lt;=1000),N69*0.5%,IF(AND(N69&gt;50,N69&lt;=500),N69*1%,IF(AND(N69&gt;1,N69&lt;=50),N69*1.5%))))</f>
        <v>10.499000000000001</v>
      </c>
      <c r="N85" s="53">
        <f ca="1">ROUND(M85,1)</f>
        <v>10.5</v>
      </c>
      <c r="O85" s="2010" t="s">
        <v>2873</v>
      </c>
      <c r="P85" s="2010"/>
      <c r="Q85" s="2010"/>
      <c r="R85" s="2010"/>
      <c r="S85" s="2010"/>
      <c r="T85" s="2010"/>
      <c r="U85" s="2010"/>
      <c r="V85" s="2010"/>
    </row>
    <row r="86" spans="1:26" ht="13.5" thickBot="1">
      <c r="A86" s="384" t="s">
        <v>1827</v>
      </c>
      <c r="B86" s="385" t="s">
        <v>436</v>
      </c>
      <c r="C86" s="386">
        <f ca="1">IF(C85&lt;=0,0,ROUND(C85*D86,0))</f>
        <v>220</v>
      </c>
      <c r="D86" s="387">
        <f>'数据-取费表'!B41</f>
        <v>5.5000000000000007E-2</v>
      </c>
      <c r="E86" s="388"/>
      <c r="F86" s="42"/>
      <c r="G86" s="42"/>
      <c r="H86" s="1000"/>
      <c r="I86" s="309"/>
      <c r="J86" s="2010"/>
      <c r="K86" s="3302"/>
      <c r="L86" s="3011" t="s">
        <v>2875</v>
      </c>
      <c r="M86" s="3001">
        <f ca="1">N69*0.5%</f>
        <v>52.495000000000005</v>
      </c>
      <c r="N86" s="53">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02"/>
      <c r="L87" s="3011" t="s">
        <v>2877</v>
      </c>
      <c r="M87" s="3001">
        <f ca="1">IF(N69&gt;=10000,(8.25+(N69-10000)*0.01%),IF(AND(N69&gt;=8000,N69&lt;10000),(7.85+(N69-8000)*0.02%),IF(AND(N69&gt;=5000,N69&lt;8000),(6.65+(N69-5000)*0.04%),IF(AND(N69&gt;=2000,N69&lt;5000),(4.25+(PN69-2000)*0.08%),IF(AND(N69&gt;=1000,N69&lt;2000),(2.75+(N69-1000)*0.15%),IF(AND(N69&gt;=100,N69&lt;1000),(0.5+(N69-100)*0.25%),IF(AND(N69&gt;0,N69&lt;100),N69*0.5%)))))))</f>
        <v>8.2998999999999992</v>
      </c>
      <c r="N87" s="53">
        <f ca="1">ROUND(M87*0.9,1)</f>
        <v>7.5</v>
      </c>
      <c r="O87" s="3004"/>
      <c r="P87" s="309"/>
      <c r="Q87" s="2010"/>
      <c r="R87" s="2010"/>
      <c r="S87" s="2010"/>
      <c r="T87" s="2010"/>
      <c r="U87" s="2010"/>
      <c r="V87" s="2010"/>
      <c r="W87" s="290"/>
      <c r="X87" s="290"/>
      <c r="Y87" s="290"/>
      <c r="Z87" s="290"/>
    </row>
    <row r="88" spans="1:26" s="1307" customFormat="1" ht="15" thickBot="1">
      <c r="A88" s="3356" t="s">
        <v>437</v>
      </c>
      <c r="B88" s="3357"/>
      <c r="C88" s="3357"/>
      <c r="D88" s="3357"/>
      <c r="E88" s="3357"/>
      <c r="F88" s="3357"/>
      <c r="G88" s="3357"/>
      <c r="H88" s="3357"/>
      <c r="I88" s="1308"/>
      <c r="J88" s="2018"/>
      <c r="K88" s="3302"/>
      <c r="L88" s="3011" t="s">
        <v>2878</v>
      </c>
      <c r="M88" s="3001">
        <f ca="1">IF(N69&gt;10000,N69*0.5%,IF(AND(N69&gt;5000,N69&lt;=10000),N69*1%,IF(AND(N69&gt;1000,N69&lt;=5000),N69*2%,IF(AND(N69&gt;200,N69&lt;=1000),N69*3%,N69*5%))))</f>
        <v>52.495000000000005</v>
      </c>
      <c r="N88" s="53">
        <f ca="1">ROUND(M88,1)</f>
        <v>52.5</v>
      </c>
      <c r="O88" s="3004"/>
      <c r="P88" s="11"/>
      <c r="Q88" s="2015"/>
      <c r="R88" s="2015"/>
      <c r="S88" s="2015"/>
      <c r="T88" s="2015"/>
      <c r="U88" s="2015"/>
      <c r="V88" s="2015"/>
      <c r="W88" s="2019"/>
      <c r="X88" s="2019"/>
      <c r="Y88" s="2019"/>
      <c r="Z88" s="2019"/>
    </row>
    <row r="89" spans="1:26" s="1307" customFormat="1" ht="14.25">
      <c r="A89" s="3320" t="s">
        <v>428</v>
      </c>
      <c r="B89" s="3321"/>
      <c r="C89" s="991"/>
      <c r="D89" s="991" t="s">
        <v>429</v>
      </c>
      <c r="E89" s="389" t="s">
        <v>438</v>
      </c>
      <c r="F89" s="390"/>
      <c r="G89" s="390"/>
      <c r="H89" s="391"/>
      <c r="I89" s="1309"/>
      <c r="J89" s="2020"/>
      <c r="K89" s="3302"/>
      <c r="L89" s="3011" t="s">
        <v>27</v>
      </c>
      <c r="M89" s="3002"/>
      <c r="N89" s="53">
        <f ca="1">ROUND(SUM(N83:N88),0)</f>
        <v>176</v>
      </c>
      <c r="O89" s="3012">
        <f ca="1">N89/N69</f>
        <v>1.6763501285836747E-2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5999</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2591</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53" t="s">
        <v>447</v>
      </c>
      <c r="F94" s="3354"/>
      <c r="G94" s="3354"/>
      <c r="H94" s="3355"/>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30</v>
      </c>
      <c r="D96" s="404">
        <f>'数据-取费表'!B43</f>
        <v>5.000000000000001E-3</v>
      </c>
      <c r="E96" s="3343" t="s">
        <v>2425</v>
      </c>
      <c r="F96" s="3344"/>
      <c r="G96" s="3344"/>
      <c r="H96" s="3345"/>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3408</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1.3153222693940563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1315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56" t="s">
        <v>454</v>
      </c>
      <c r="B101" s="3357"/>
      <c r="C101" s="3357"/>
      <c r="D101" s="3357"/>
      <c r="E101" s="3357"/>
      <c r="F101" s="3357"/>
      <c r="G101" s="3357"/>
      <c r="H101" s="3357"/>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20" t="s">
        <v>428</v>
      </c>
      <c r="B102" s="3321"/>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5999</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720</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46" t="s">
        <v>462</v>
      </c>
      <c r="F109" s="3344"/>
      <c r="G109" s="3344"/>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46" t="s">
        <v>464</v>
      </c>
      <c r="F110" s="3344"/>
      <c r="G110" s="3344"/>
      <c r="H110" s="3345"/>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30</v>
      </c>
      <c r="D111" s="404">
        <f>'数据-取费表'!B43</f>
        <v>5.000000000000001E-3</v>
      </c>
      <c r="E111" s="3343" t="s">
        <v>2425</v>
      </c>
      <c r="F111" s="3344"/>
      <c r="G111" s="3344"/>
      <c r="H111" s="3345"/>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46" t="s">
        <v>2450</v>
      </c>
      <c r="F112" s="3344"/>
      <c r="G112" s="3344"/>
      <c r="H112" s="3345"/>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5279</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7.3319444444444448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2915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5" zoomScaleNormal="95" zoomScaleSheetLayoutView="85" workbookViewId="0">
      <selection activeCell="K42" sqref="K42"/>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10055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1195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2390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159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01" t="s">
        <v>522</v>
      </c>
      <c r="D6" s="3402"/>
      <c r="E6" s="3401" t="s">
        <v>523</v>
      </c>
      <c r="F6" s="3402"/>
      <c r="G6" s="3401" t="s">
        <v>524</v>
      </c>
      <c r="H6" s="3402"/>
      <c r="I6" s="3401" t="s">
        <v>525</v>
      </c>
      <c r="J6" s="3402"/>
      <c r="K6" s="512" t="s">
        <v>526</v>
      </c>
      <c r="L6" s="2115"/>
      <c r="M6" s="2114"/>
      <c r="N6" s="2114"/>
      <c r="O6" s="2116"/>
      <c r="P6" s="3403" t="s">
        <v>527</v>
      </c>
      <c r="Q6" s="3404"/>
      <c r="R6" s="3389" t="s">
        <v>523</v>
      </c>
      <c r="S6" s="3390"/>
      <c r="T6" s="3389" t="s">
        <v>524</v>
      </c>
      <c r="U6" s="3390"/>
      <c r="V6" s="3409" t="s">
        <v>525</v>
      </c>
      <c r="W6" s="3409"/>
      <c r="X6" s="1550"/>
      <c r="Y6" s="3389" t="s">
        <v>527</v>
      </c>
      <c r="Z6" s="3390"/>
      <c r="AA6" s="3384" t="s">
        <v>523</v>
      </c>
      <c r="AB6" s="3385" t="s">
        <v>524</v>
      </c>
      <c r="AC6" s="3384" t="s">
        <v>525</v>
      </c>
    </row>
    <row r="7" spans="1:30" ht="20.25">
      <c r="A7" s="513"/>
      <c r="B7" s="514"/>
      <c r="C7" s="3412" t="s">
        <v>2927</v>
      </c>
      <c r="D7" s="3413"/>
      <c r="E7" s="3412" t="str">
        <f>土地案例!$A$5</f>
        <v>南苑路北,支农路西</v>
      </c>
      <c r="F7" s="3413"/>
      <c r="G7" s="3412" t="str">
        <f>土地案例!A3</f>
        <v>东环路西,文昌路北</v>
      </c>
      <c r="H7" s="3413"/>
      <c r="I7" s="3412" t="str">
        <f>土地案例!A4</f>
        <v>南苑路南,书院街东</v>
      </c>
      <c r="J7" s="3413"/>
      <c r="K7" s="512"/>
      <c r="L7" s="2115"/>
      <c r="M7" s="2114"/>
      <c r="N7" s="2114"/>
      <c r="O7" s="2116"/>
      <c r="P7" s="3405"/>
      <c r="Q7" s="3406"/>
      <c r="R7" s="3391"/>
      <c r="S7" s="3392"/>
      <c r="T7" s="3391"/>
      <c r="U7" s="3392"/>
      <c r="V7" s="3409"/>
      <c r="W7" s="3409"/>
      <c r="X7" s="1550"/>
      <c r="Y7" s="3391"/>
      <c r="Z7" s="3392"/>
      <c r="AA7" s="3385"/>
      <c r="AB7" s="3385"/>
      <c r="AC7" s="3385"/>
    </row>
    <row r="8" spans="1:30" ht="21" thickBot="1">
      <c r="A8" s="513"/>
      <c r="B8" s="514"/>
      <c r="C8" s="3414" t="s">
        <v>2931</v>
      </c>
      <c r="D8" s="3415"/>
      <c r="E8" s="3414" t="s">
        <v>2931</v>
      </c>
      <c r="F8" s="3415"/>
      <c r="G8" s="3410" t="s">
        <v>2931</v>
      </c>
      <c r="H8" s="3411"/>
      <c r="I8" s="3410" t="s">
        <v>2931</v>
      </c>
      <c r="J8" s="3411"/>
      <c r="K8" s="512" t="s">
        <v>528</v>
      </c>
      <c r="L8" s="2115"/>
      <c r="M8" s="2114"/>
      <c r="N8" s="2114"/>
      <c r="O8" s="2116"/>
      <c r="P8" s="3407"/>
      <c r="Q8" s="3408"/>
      <c r="R8" s="3391"/>
      <c r="S8" s="3392"/>
      <c r="T8" s="3393"/>
      <c r="U8" s="3394"/>
      <c r="V8" s="3409"/>
      <c r="W8" s="3409"/>
      <c r="X8" s="1550"/>
      <c r="Y8" s="3393"/>
      <c r="Z8" s="3394"/>
      <c r="AA8" s="3386"/>
      <c r="AB8" s="3386"/>
      <c r="AC8" s="3386"/>
    </row>
    <row r="9" spans="1:30" s="1213" customFormat="1" ht="21" thickBot="1">
      <c r="A9" s="2863"/>
      <c r="B9" s="2870" t="s">
        <v>529</v>
      </c>
      <c r="C9" s="2862">
        <f>'数据-取费表'!B2</f>
        <v>44036</v>
      </c>
      <c r="D9" s="518">
        <v>100</v>
      </c>
      <c r="E9" s="519" t="str">
        <f>土地案例!$J$5</f>
        <v>2020-07-02</v>
      </c>
      <c r="F9" s="520">
        <f>SUMIF(72:72,YEAR(E9)&amp;"-"&amp;INT((MONTH(E9)+2)/3),73:73)</f>
        <v>100</v>
      </c>
      <c r="G9" s="521" t="str">
        <f>土地案例!J3</f>
        <v>2020-07-08</v>
      </c>
      <c r="H9" s="518">
        <f>SUMIF(72:72,YEAR(G9)&amp;"-"&amp;INT((MONTH(G9)+2)/3),73:73)</f>
        <v>100</v>
      </c>
      <c r="I9" s="521" t="str">
        <f>土地案例!J4</f>
        <v>2020-07-02</v>
      </c>
      <c r="J9" s="518">
        <f>SUMIF(72:72,YEAR(I9)&amp;"-"&amp;INT((MONTH(I9)+2)/3),73:73)</f>
        <v>100</v>
      </c>
      <c r="K9" s="522"/>
      <c r="L9" s="2117"/>
      <c r="M9" s="2114"/>
      <c r="N9" s="2114"/>
      <c r="O9" s="2118"/>
      <c r="P9" s="3387" t="s">
        <v>530</v>
      </c>
      <c r="Q9" s="3396"/>
      <c r="R9" s="1551" t="s">
        <v>8</v>
      </c>
      <c r="S9" s="1552">
        <f t="shared" ref="S9:S17" si="0">F9</f>
        <v>100</v>
      </c>
      <c r="T9" s="1551" t="s">
        <v>8</v>
      </c>
      <c r="U9" s="1552">
        <f t="shared" ref="U9:U17" si="1">H9</f>
        <v>100</v>
      </c>
      <c r="V9" s="1551" t="s">
        <v>8</v>
      </c>
      <c r="W9" s="1552">
        <f t="shared" ref="W9:W17" si="2">J9</f>
        <v>100</v>
      </c>
      <c r="X9" s="1553"/>
      <c r="Y9" s="3387" t="s">
        <v>530</v>
      </c>
      <c r="Z9" s="3388"/>
      <c r="AA9" s="1554">
        <f>D9/F9</f>
        <v>1</v>
      </c>
      <c r="AB9" s="1554">
        <f>D9/H9</f>
        <v>1</v>
      </c>
      <c r="AC9" s="1554">
        <f>D9/J9</f>
        <v>1</v>
      </c>
    </row>
    <row r="10" spans="1:30" s="1213" customFormat="1" ht="21" thickBot="1">
      <c r="A10" s="2864"/>
      <c r="B10" s="2871" t="s">
        <v>531</v>
      </c>
      <c r="C10" s="854" t="s">
        <v>532</v>
      </c>
      <c r="D10" s="518">
        <v>100</v>
      </c>
      <c r="E10" s="3177" t="s">
        <v>3085</v>
      </c>
      <c r="F10" s="520">
        <f>SUMIF(75:75,E10,76:76)-SUMIF(75:75,C10,76:76)+100</f>
        <v>100</v>
      </c>
      <c r="G10" s="3177" t="s">
        <v>3086</v>
      </c>
      <c r="H10" s="518">
        <f>SUMIF(75:75,G10,76:76)-SUMIF(75:75,C10,76:76)+100</f>
        <v>100</v>
      </c>
      <c r="I10" s="3177" t="s">
        <v>3085</v>
      </c>
      <c r="J10" s="518">
        <f>SUMIF(75:75,I10,76:76)-SUMIF(75:75,C10,76:76)+100</f>
        <v>100</v>
      </c>
      <c r="K10" s="522"/>
      <c r="L10" s="2117"/>
      <c r="M10" s="2114"/>
      <c r="N10" s="2114"/>
      <c r="O10" s="2118"/>
      <c r="P10" s="3387" t="s">
        <v>533</v>
      </c>
      <c r="Q10" s="3388"/>
      <c r="R10" s="1551" t="s">
        <v>8</v>
      </c>
      <c r="S10" s="1552">
        <f t="shared" si="0"/>
        <v>100</v>
      </c>
      <c r="T10" s="1551" t="s">
        <v>8</v>
      </c>
      <c r="U10" s="1552">
        <f t="shared" si="1"/>
        <v>100</v>
      </c>
      <c r="V10" s="1551" t="s">
        <v>8</v>
      </c>
      <c r="W10" s="1552">
        <f t="shared" si="2"/>
        <v>100</v>
      </c>
      <c r="X10" s="1553"/>
      <c r="Y10" s="3387" t="s">
        <v>533</v>
      </c>
      <c r="Z10" s="3388"/>
      <c r="AA10" s="1554">
        <f t="shared" ref="AA10:AA47" si="3">D10/F10</f>
        <v>1</v>
      </c>
      <c r="AB10" s="1554">
        <f t="shared" ref="AB10:AB47" si="4">D10/H10</f>
        <v>1</v>
      </c>
      <c r="AC10" s="1554">
        <f t="shared" ref="AC10:AC47" si="5">D10/J10</f>
        <v>1</v>
      </c>
    </row>
    <row r="11" spans="1:30" s="1213" customFormat="1" ht="20.25">
      <c r="A11" s="2865"/>
      <c r="B11" s="2872" t="s">
        <v>2752</v>
      </c>
      <c r="C11" s="3178" t="s">
        <v>3088</v>
      </c>
      <c r="D11" s="252">
        <v>100</v>
      </c>
      <c r="E11" s="3179" t="s">
        <v>3087</v>
      </c>
      <c r="F11" s="252">
        <f>SUMIF(77:77,E11,78:78)-SUMIF(77:77,C11,78:78)+100</f>
        <v>100</v>
      </c>
      <c r="G11" s="3179" t="s">
        <v>3087</v>
      </c>
      <c r="H11" s="252">
        <f>SUMIF(77:77,G11,78:78)-SUMIF(77:77,C11,78:78)+100</f>
        <v>100</v>
      </c>
      <c r="I11" s="3179" t="s">
        <v>3087</v>
      </c>
      <c r="J11" s="252">
        <f>SUMIF(77:77,I11,78:78)-SUMIF(77:77,C11,78:78)+100</f>
        <v>100</v>
      </c>
      <c r="K11" s="522"/>
      <c r="L11" s="2117"/>
      <c r="M11" s="2114"/>
      <c r="N11" s="2114"/>
      <c r="O11" s="2119"/>
      <c r="P11" s="3395" t="s">
        <v>535</v>
      </c>
      <c r="Q11" s="1144" t="str">
        <f t="shared" ref="Q11:Q17" si="6">B11</f>
        <v>用途</v>
      </c>
      <c r="R11" s="1551" t="s">
        <v>8</v>
      </c>
      <c r="S11" s="1552">
        <f t="shared" si="0"/>
        <v>100</v>
      </c>
      <c r="T11" s="1551" t="s">
        <v>8</v>
      </c>
      <c r="U11" s="1552">
        <f t="shared" si="1"/>
        <v>100</v>
      </c>
      <c r="V11" s="1551" t="s">
        <v>8</v>
      </c>
      <c r="W11" s="1552">
        <f t="shared" si="2"/>
        <v>100</v>
      </c>
      <c r="X11" s="1553"/>
      <c r="Y11" s="3352"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395"/>
      <c r="Q12" s="1144" t="str">
        <f t="shared" si="6"/>
        <v>土地使用年限（年）</v>
      </c>
      <c r="R12" s="1551" t="s">
        <v>8</v>
      </c>
      <c r="S12" s="1552">
        <f t="shared" si="0"/>
        <v>101</v>
      </c>
      <c r="T12" s="1551" t="s">
        <v>8</v>
      </c>
      <c r="U12" s="1552">
        <f t="shared" si="1"/>
        <v>101</v>
      </c>
      <c r="V12" s="1551" t="s">
        <v>8</v>
      </c>
      <c r="W12" s="1552">
        <f t="shared" si="2"/>
        <v>101</v>
      </c>
      <c r="X12" s="1553"/>
      <c r="Y12" s="3352"/>
      <c r="Z12" s="1143" t="str">
        <f t="shared" si="7"/>
        <v>土地使用年限（年）</v>
      </c>
      <c r="AA12" s="1554">
        <f t="shared" si="3"/>
        <v>0.99009900990099009</v>
      </c>
      <c r="AB12" s="1554">
        <f t="shared" si="4"/>
        <v>0.99009900990099009</v>
      </c>
      <c r="AC12" s="1554">
        <f t="shared" si="5"/>
        <v>0.99009900990099009</v>
      </c>
    </row>
    <row r="13" spans="1:30" ht="20.25">
      <c r="A13" s="2867"/>
      <c r="B13" s="2871" t="s">
        <v>2754</v>
      </c>
      <c r="C13" s="532">
        <v>2</v>
      </c>
      <c r="D13" s="253">
        <v>100</v>
      </c>
      <c r="E13" s="531">
        <v>2</v>
      </c>
      <c r="F13" s="253">
        <f>LOOKUP(E13,82:82,83:83)-LOOKUP(C13,82:82,83:83)+100</f>
        <v>100</v>
      </c>
      <c r="G13" s="532">
        <v>2.2000000000000002</v>
      </c>
      <c r="H13" s="253">
        <f>LOOKUP(G13,82:82,83:83)-LOOKUP(C13,82:82,83:83)+100</f>
        <v>100</v>
      </c>
      <c r="I13" s="531">
        <v>2</v>
      </c>
      <c r="J13" s="253">
        <f>LOOKUP(I13,82:82,83:83)-LOOKUP(C13,82:82,83:83)+100</f>
        <v>100</v>
      </c>
      <c r="K13" s="533">
        <v>2</v>
      </c>
      <c r="L13" s="2122"/>
      <c r="M13" s="2114"/>
      <c r="N13" s="2114"/>
      <c r="O13" s="2123"/>
      <c r="P13" s="3395"/>
      <c r="Q13" s="1144" t="str">
        <f t="shared" si="6"/>
        <v>容积率</v>
      </c>
      <c r="R13" s="1551" t="s">
        <v>8</v>
      </c>
      <c r="S13" s="1552">
        <f t="shared" si="0"/>
        <v>100</v>
      </c>
      <c r="T13" s="1551" t="s">
        <v>8</v>
      </c>
      <c r="U13" s="1552">
        <f t="shared" si="1"/>
        <v>100</v>
      </c>
      <c r="V13" s="1551" t="s">
        <v>8</v>
      </c>
      <c r="W13" s="1552">
        <f t="shared" si="2"/>
        <v>100</v>
      </c>
      <c r="X13" s="1553"/>
      <c r="Y13" s="3352"/>
      <c r="Z13" s="1143" t="str">
        <f t="shared" si="7"/>
        <v>容积率</v>
      </c>
      <c r="AA13" s="1554">
        <f t="shared" si="3"/>
        <v>1</v>
      </c>
      <c r="AB13" s="1554">
        <f t="shared" si="4"/>
        <v>1</v>
      </c>
      <c r="AC13" s="1554">
        <f t="shared" si="5"/>
        <v>1</v>
      </c>
    </row>
    <row r="14" spans="1:30" s="1213" customFormat="1" ht="20.25">
      <c r="A14" s="2864"/>
      <c r="B14" s="2873" t="s">
        <v>2755</v>
      </c>
      <c r="C14" s="2860"/>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95"/>
      <c r="Q14" s="1144" t="str">
        <f t="shared" si="6"/>
        <v>配建</v>
      </c>
      <c r="R14" s="1551" t="s">
        <v>8</v>
      </c>
      <c r="S14" s="1552">
        <f t="shared" si="0"/>
        <v>100</v>
      </c>
      <c r="T14" s="1551" t="s">
        <v>8</v>
      </c>
      <c r="U14" s="1552">
        <f t="shared" si="1"/>
        <v>100</v>
      </c>
      <c r="V14" s="1551" t="s">
        <v>8</v>
      </c>
      <c r="W14" s="1552">
        <f t="shared" si="2"/>
        <v>100</v>
      </c>
      <c r="X14" s="1553"/>
      <c r="Y14" s="3352"/>
      <c r="Z14" s="1143" t="str">
        <f t="shared" si="7"/>
        <v>配建</v>
      </c>
      <c r="AA14" s="1554">
        <f>D14/F14</f>
        <v>1</v>
      </c>
      <c r="AB14" s="1554">
        <f>D14/H14</f>
        <v>1</v>
      </c>
      <c r="AC14" s="1554">
        <f>D14/J14</f>
        <v>1</v>
      </c>
    </row>
    <row r="15" spans="1:30" ht="20.25">
      <c r="A15" s="2868"/>
      <c r="B15" s="2874">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95"/>
      <c r="Q15" s="1144">
        <f t="shared" si="6"/>
        <v>111</v>
      </c>
      <c r="R15" s="1551" t="s">
        <v>8</v>
      </c>
      <c r="S15" s="1552">
        <f t="shared" si="0"/>
        <v>100</v>
      </c>
      <c r="T15" s="1551" t="s">
        <v>8</v>
      </c>
      <c r="U15" s="1552">
        <f t="shared" si="1"/>
        <v>100</v>
      </c>
      <c r="V15" s="1551" t="s">
        <v>8</v>
      </c>
      <c r="W15" s="1552">
        <f t="shared" si="2"/>
        <v>100</v>
      </c>
      <c r="X15" s="1553"/>
      <c r="Y15" s="3352"/>
      <c r="Z15" s="1143">
        <f t="shared" si="7"/>
        <v>111</v>
      </c>
      <c r="AA15" s="1554">
        <f>D15/F15</f>
        <v>1</v>
      </c>
      <c r="AB15" s="1554">
        <f>D15/H15</f>
        <v>1</v>
      </c>
      <c r="AC15" s="1554">
        <f>D15/J15</f>
        <v>1</v>
      </c>
    </row>
    <row r="16" spans="1:30" ht="21" thickBot="1">
      <c r="A16" s="2869"/>
      <c r="B16" s="2875">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5"/>
      <c r="Q16" s="1144">
        <f t="shared" si="6"/>
        <v>111</v>
      </c>
      <c r="R16" s="1551" t="s">
        <v>8</v>
      </c>
      <c r="S16" s="1552">
        <f t="shared" si="0"/>
        <v>100</v>
      </c>
      <c r="T16" s="1551" t="s">
        <v>8</v>
      </c>
      <c r="U16" s="1552">
        <f t="shared" si="1"/>
        <v>100</v>
      </c>
      <c r="V16" s="1551" t="s">
        <v>8</v>
      </c>
      <c r="W16" s="1552">
        <f t="shared" si="2"/>
        <v>100</v>
      </c>
      <c r="X16" s="1553"/>
      <c r="Y16" s="3352"/>
      <c r="Z16" s="1143">
        <f t="shared" si="7"/>
        <v>111</v>
      </c>
      <c r="AA16" s="1554">
        <f>D16/F16</f>
        <v>1</v>
      </c>
      <c r="AB16" s="1554">
        <f>D16/H16</f>
        <v>1</v>
      </c>
      <c r="AC16" s="1554">
        <f>D16/J16</f>
        <v>1</v>
      </c>
    </row>
    <row r="17" spans="1:29" ht="99.75">
      <c r="A17" s="2861"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48"/>
      <c r="H17" s="547">
        <f>SUMIF(90:90,G18,91:91)-SUMIF(90:90,C18,91:91)+100</f>
        <v>100</v>
      </c>
      <c r="I17" s="550"/>
      <c r="J17" s="547">
        <f>SUMIF(90:90,I18,91:91)-SUMIF(90:90,C18,91:91)+100</f>
        <v>105</v>
      </c>
      <c r="K17" s="533">
        <v>5</v>
      </c>
      <c r="L17" s="2124"/>
      <c r="M17" s="2114"/>
      <c r="N17" s="2114"/>
      <c r="O17" s="2123"/>
      <c r="P17" s="3397" t="s">
        <v>540</v>
      </c>
      <c r="Q17" s="1555" t="str">
        <f t="shared" si="6"/>
        <v>居住社区成熟度</v>
      </c>
      <c r="R17" s="1556" t="s">
        <v>8</v>
      </c>
      <c r="S17" s="1557">
        <f t="shared" si="0"/>
        <v>105</v>
      </c>
      <c r="T17" s="1556" t="s">
        <v>8</v>
      </c>
      <c r="U17" s="1557">
        <f t="shared" si="1"/>
        <v>100</v>
      </c>
      <c r="V17" s="1556" t="s">
        <v>8</v>
      </c>
      <c r="W17" s="1557">
        <f t="shared" si="2"/>
        <v>105</v>
      </c>
      <c r="X17" s="1550"/>
      <c r="Y17" s="3397" t="s">
        <v>540</v>
      </c>
      <c r="Z17" s="1558" t="str">
        <f t="shared" si="7"/>
        <v>居住社区成熟度</v>
      </c>
      <c r="AA17" s="1559">
        <f t="shared" si="3"/>
        <v>0.95238095238095233</v>
      </c>
      <c r="AB17" s="1559">
        <f t="shared" si="4"/>
        <v>1</v>
      </c>
      <c r="AC17" s="1559">
        <f t="shared" si="5"/>
        <v>0.95238095238095233</v>
      </c>
    </row>
    <row r="18" spans="1:29" ht="20.25">
      <c r="A18" s="530"/>
      <c r="B18" s="551"/>
      <c r="C18" s="3180" t="s">
        <v>3118</v>
      </c>
      <c r="D18" s="555"/>
      <c r="E18" s="3181" t="s">
        <v>3092</v>
      </c>
      <c r="F18" s="553"/>
      <c r="G18" s="3182" t="s">
        <v>3118</v>
      </c>
      <c r="H18" s="557"/>
      <c r="I18" s="3181" t="s">
        <v>3092</v>
      </c>
      <c r="J18" s="553"/>
      <c r="K18" s="529"/>
      <c r="L18" s="2124"/>
      <c r="M18" s="2114"/>
      <c r="N18" s="2114"/>
      <c r="O18" s="2123"/>
      <c r="P18" s="3398"/>
      <c r="Q18" s="1555"/>
      <c r="R18" s="1556"/>
      <c r="S18" s="1557"/>
      <c r="T18" s="1556"/>
      <c r="U18" s="1557"/>
      <c r="V18" s="1556"/>
      <c r="W18" s="1557"/>
      <c r="X18" s="1550"/>
      <c r="Y18" s="3398"/>
      <c r="Z18" s="1558"/>
      <c r="AA18" s="1559">
        <v>1</v>
      </c>
      <c r="AB18" s="1559">
        <v>1</v>
      </c>
      <c r="AC18" s="1559">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398"/>
      <c r="Q19" s="1555" t="str">
        <f>B19</f>
        <v>商业繁华度</v>
      </c>
      <c r="R19" s="1556" t="s">
        <v>8</v>
      </c>
      <c r="S19" s="1557">
        <f>F19</f>
        <v>100</v>
      </c>
      <c r="T19" s="1556" t="s">
        <v>8</v>
      </c>
      <c r="U19" s="1557">
        <f>H19</f>
        <v>100</v>
      </c>
      <c r="V19" s="1556" t="s">
        <v>8</v>
      </c>
      <c r="W19" s="1557">
        <f>J19</f>
        <v>100</v>
      </c>
      <c r="X19" s="1550"/>
      <c r="Y19" s="3398"/>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398"/>
      <c r="Q20" s="1555"/>
      <c r="R20" s="1556"/>
      <c r="S20" s="1557"/>
      <c r="T20" s="1556"/>
      <c r="U20" s="1557"/>
      <c r="V20" s="1556"/>
      <c r="W20" s="1557"/>
      <c r="X20" s="1550"/>
      <c r="Y20" s="3398"/>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398"/>
      <c r="Q21" s="1555" t="str">
        <f>B21</f>
        <v>办公集聚程度</v>
      </c>
      <c r="R21" s="1556" t="s">
        <v>8</v>
      </c>
      <c r="S21" s="1557">
        <f>F21</f>
        <v>100</v>
      </c>
      <c r="T21" s="1556" t="s">
        <v>8</v>
      </c>
      <c r="U21" s="1557">
        <f>H21</f>
        <v>100</v>
      </c>
      <c r="V21" s="1556" t="s">
        <v>8</v>
      </c>
      <c r="W21" s="1557">
        <f>J21</f>
        <v>100</v>
      </c>
      <c r="X21" s="1550"/>
      <c r="Y21" s="3398"/>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398"/>
      <c r="Q22" s="1555"/>
      <c r="R22" s="1556"/>
      <c r="S22" s="1557"/>
      <c r="T22" s="1556"/>
      <c r="U22" s="1557"/>
      <c r="V22" s="1556"/>
      <c r="W22" s="1557"/>
      <c r="X22" s="1550"/>
      <c r="Y22" s="3398"/>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398"/>
      <c r="Q23" s="1555" t="str">
        <f>B23</f>
        <v>交通便捷度</v>
      </c>
      <c r="R23" s="1556" t="s">
        <v>8</v>
      </c>
      <c r="S23" s="1557">
        <f>F23</f>
        <v>100</v>
      </c>
      <c r="T23" s="1556" t="s">
        <v>8</v>
      </c>
      <c r="U23" s="1557">
        <f>H23</f>
        <v>100</v>
      </c>
      <c r="V23" s="1556" t="s">
        <v>8</v>
      </c>
      <c r="W23" s="1557">
        <f>J23</f>
        <v>100</v>
      </c>
      <c r="X23" s="1550"/>
      <c r="Y23" s="3398"/>
      <c r="Z23" s="1558" t="str">
        <f>Q23</f>
        <v>交通便捷度</v>
      </c>
      <c r="AA23" s="1559">
        <f t="shared" si="3"/>
        <v>1</v>
      </c>
      <c r="AB23" s="1559">
        <f t="shared" si="4"/>
        <v>1</v>
      </c>
      <c r="AC23" s="1559">
        <f t="shared" si="5"/>
        <v>1</v>
      </c>
    </row>
    <row r="24" spans="1:29" ht="20.25">
      <c r="A24" s="530"/>
      <c r="B24" s="576"/>
      <c r="C24" s="3180" t="s">
        <v>3119</v>
      </c>
      <c r="D24" s="555"/>
      <c r="E24" s="3181" t="s">
        <v>3092</v>
      </c>
      <c r="F24" s="553"/>
      <c r="G24" s="3182" t="s">
        <v>3092</v>
      </c>
      <c r="H24" s="553"/>
      <c r="I24" s="3181" t="s">
        <v>3092</v>
      </c>
      <c r="J24" s="553"/>
      <c r="K24" s="529"/>
      <c r="L24" s="2124"/>
      <c r="M24" s="2114"/>
      <c r="N24" s="2114"/>
      <c r="O24" s="2123"/>
      <c r="P24" s="3398"/>
      <c r="Q24" s="1555"/>
      <c r="R24" s="1556"/>
      <c r="S24" s="1557"/>
      <c r="T24" s="1556"/>
      <c r="U24" s="1557"/>
      <c r="V24" s="1556"/>
      <c r="W24" s="1557"/>
      <c r="X24" s="1550"/>
      <c r="Y24" s="3398"/>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398"/>
      <c r="Q25" s="1555" t="str">
        <f t="shared" ref="Q25:Q39" si="8">B25</f>
        <v>区域土地利用方向</v>
      </c>
      <c r="R25" s="1556" t="s">
        <v>8</v>
      </c>
      <c r="S25" s="1557">
        <f>F25</f>
        <v>100</v>
      </c>
      <c r="T25" s="1556" t="s">
        <v>8</v>
      </c>
      <c r="U25" s="1557">
        <f>H25</f>
        <v>100</v>
      </c>
      <c r="V25" s="1556" t="s">
        <v>8</v>
      </c>
      <c r="W25" s="1557">
        <f>J25</f>
        <v>100</v>
      </c>
      <c r="X25" s="1550"/>
      <c r="Y25" s="3398"/>
      <c r="Z25" s="1558" t="str">
        <f>Q25</f>
        <v>区域土地利用方向</v>
      </c>
      <c r="AA25" s="1559">
        <f t="shared" si="3"/>
        <v>1</v>
      </c>
      <c r="AB25" s="1559">
        <f t="shared" si="4"/>
        <v>1</v>
      </c>
      <c r="AC25" s="1559">
        <f t="shared" si="5"/>
        <v>1</v>
      </c>
    </row>
    <row r="26" spans="1:29" ht="20.25">
      <c r="A26" s="513"/>
      <c r="B26" s="1004"/>
      <c r="C26" s="3180" t="s">
        <v>3092</v>
      </c>
      <c r="D26" s="555"/>
      <c r="E26" s="3181" t="s">
        <v>3092</v>
      </c>
      <c r="F26" s="553"/>
      <c r="G26" s="3182" t="s">
        <v>3092</v>
      </c>
      <c r="H26" s="553"/>
      <c r="I26" s="3181" t="s">
        <v>3092</v>
      </c>
      <c r="J26" s="553"/>
      <c r="K26" s="529"/>
      <c r="L26" s="2124"/>
      <c r="M26" s="2114"/>
      <c r="N26" s="2114"/>
      <c r="O26" s="2123"/>
      <c r="P26" s="3398"/>
      <c r="Q26" s="1555"/>
      <c r="R26" s="1556"/>
      <c r="S26" s="1557"/>
      <c r="T26" s="1556"/>
      <c r="U26" s="1557"/>
      <c r="V26" s="1556"/>
      <c r="W26" s="1557"/>
      <c r="X26" s="1550"/>
      <c r="Y26" s="3398"/>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398"/>
      <c r="Q27" s="1555" t="str">
        <f t="shared" si="8"/>
        <v>自然及人文环境状况</v>
      </c>
      <c r="R27" s="1556" t="s">
        <v>8</v>
      </c>
      <c r="S27" s="1557">
        <f>F27</f>
        <v>100</v>
      </c>
      <c r="T27" s="1556" t="s">
        <v>8</v>
      </c>
      <c r="U27" s="1557">
        <f>H27</f>
        <v>100</v>
      </c>
      <c r="V27" s="1556" t="s">
        <v>8</v>
      </c>
      <c r="W27" s="1557">
        <f>J27</f>
        <v>100</v>
      </c>
      <c r="X27" s="1550"/>
      <c r="Y27" s="3398"/>
      <c r="Z27" s="1558" t="str">
        <f>Q27</f>
        <v>自然及人文环境状况</v>
      </c>
      <c r="AA27" s="1559">
        <f t="shared" si="3"/>
        <v>1</v>
      </c>
      <c r="AB27" s="1559">
        <f t="shared" si="4"/>
        <v>1</v>
      </c>
      <c r="AC27" s="1559">
        <f t="shared" si="5"/>
        <v>1</v>
      </c>
    </row>
    <row r="28" spans="1:29" ht="20.25">
      <c r="A28" s="513"/>
      <c r="B28" s="564"/>
      <c r="C28" s="3180" t="s">
        <v>3118</v>
      </c>
      <c r="D28" s="555"/>
      <c r="E28" s="3183" t="s">
        <v>3118</v>
      </c>
      <c r="F28" s="553"/>
      <c r="G28" s="3180" t="s">
        <v>3089</v>
      </c>
      <c r="H28" s="553"/>
      <c r="I28" s="3183" t="s">
        <v>3089</v>
      </c>
      <c r="J28" s="553"/>
      <c r="K28" s="529"/>
      <c r="L28" s="2124"/>
      <c r="M28" s="2114"/>
      <c r="N28" s="2114"/>
      <c r="O28" s="2123"/>
      <c r="P28" s="3398"/>
      <c r="Q28" s="1555"/>
      <c r="R28" s="1556"/>
      <c r="S28" s="1557"/>
      <c r="T28" s="1556"/>
      <c r="U28" s="1557"/>
      <c r="V28" s="1556"/>
      <c r="W28" s="1557"/>
      <c r="X28" s="1550"/>
      <c r="Y28" s="3398"/>
      <c r="Z28" s="1558"/>
      <c r="AA28" s="1559">
        <v>1</v>
      </c>
      <c r="AB28" s="1559">
        <v>1</v>
      </c>
      <c r="AC28" s="1559">
        <v>1</v>
      </c>
    </row>
    <row r="29" spans="1:29" s="1213" customFormat="1" ht="42.75">
      <c r="A29" s="575"/>
      <c r="B29" s="2552" t="s">
        <v>2545</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5</v>
      </c>
      <c r="L29" s="2117"/>
      <c r="M29" s="2114"/>
      <c r="N29" s="2114"/>
      <c r="O29" s="2119"/>
      <c r="P29" s="3398"/>
      <c r="Q29" s="1144" t="str">
        <f t="shared" si="8"/>
        <v>公共配套设施</v>
      </c>
      <c r="R29" s="1551" t="s">
        <v>8</v>
      </c>
      <c r="S29" s="1552">
        <f>F29</f>
        <v>100</v>
      </c>
      <c r="T29" s="1551" t="s">
        <v>8</v>
      </c>
      <c r="U29" s="1552">
        <f>H29</f>
        <v>100</v>
      </c>
      <c r="V29" s="1551" t="s">
        <v>8</v>
      </c>
      <c r="W29" s="1552">
        <f>J29</f>
        <v>100</v>
      </c>
      <c r="X29" s="1553"/>
      <c r="Y29" s="3398"/>
      <c r="Z29" s="1143" t="str">
        <f>Q29</f>
        <v>公共配套设施</v>
      </c>
      <c r="AA29" s="1559">
        <f>D29/F29</f>
        <v>1</v>
      </c>
      <c r="AB29" s="1559">
        <f>D29/H29</f>
        <v>1</v>
      </c>
      <c r="AC29" s="1559">
        <f>D29/J29</f>
        <v>1</v>
      </c>
    </row>
    <row r="30" spans="1:29" s="1213" customFormat="1" ht="20.25">
      <c r="A30" s="575"/>
      <c r="B30" s="564"/>
      <c r="C30" s="3184" t="s">
        <v>3119</v>
      </c>
      <c r="D30" s="555"/>
      <c r="E30" s="3183" t="s">
        <v>3093</v>
      </c>
      <c r="F30" s="553"/>
      <c r="G30" s="3180" t="s">
        <v>3092</v>
      </c>
      <c r="H30" s="553"/>
      <c r="I30" s="3183" t="s">
        <v>3093</v>
      </c>
      <c r="J30" s="553"/>
      <c r="K30" s="529"/>
      <c r="L30" s="2117"/>
      <c r="M30" s="2114"/>
      <c r="N30" s="2114"/>
      <c r="O30" s="2119"/>
      <c r="P30" s="3398"/>
      <c r="Q30" s="1144"/>
      <c r="R30" s="1551"/>
      <c r="S30" s="1552"/>
      <c r="T30" s="1551"/>
      <c r="U30" s="1552"/>
      <c r="V30" s="1551"/>
      <c r="W30" s="1552"/>
      <c r="X30" s="1553"/>
      <c r="Y30" s="3398"/>
      <c r="Z30" s="1143"/>
      <c r="AA30" s="1559">
        <v>1</v>
      </c>
      <c r="AB30" s="1559">
        <v>1</v>
      </c>
      <c r="AC30" s="1559">
        <v>1</v>
      </c>
    </row>
    <row r="31" spans="1:29" s="1213" customFormat="1" ht="28.5">
      <c r="A31" s="575"/>
      <c r="B31" s="2552"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7"/>
      <c r="M31" s="2114"/>
      <c r="N31" s="2114"/>
      <c r="O31" s="2119"/>
      <c r="P31" s="3398"/>
      <c r="Q31" s="2539" t="str">
        <f>B31</f>
        <v>基础设施水平</v>
      </c>
      <c r="R31" s="1551" t="s">
        <v>8</v>
      </c>
      <c r="S31" s="1552">
        <f>F31</f>
        <v>100</v>
      </c>
      <c r="T31" s="1551" t="s">
        <v>8</v>
      </c>
      <c r="U31" s="1552">
        <f>H31</f>
        <v>100</v>
      </c>
      <c r="V31" s="1551" t="s">
        <v>8</v>
      </c>
      <c r="W31" s="1552">
        <f>J31</f>
        <v>100</v>
      </c>
      <c r="X31" s="1553"/>
      <c r="Y31" s="3398"/>
      <c r="Z31" s="2536" t="str">
        <f>Q31</f>
        <v>基础设施水平</v>
      </c>
      <c r="AA31" s="1559">
        <f>D31/F31</f>
        <v>1</v>
      </c>
      <c r="AB31" s="1559">
        <f>D31/H31</f>
        <v>1</v>
      </c>
      <c r="AC31" s="1559">
        <f>D31/J31</f>
        <v>1</v>
      </c>
    </row>
    <row r="32" spans="1:29" s="1213" customFormat="1" ht="20.25">
      <c r="A32" s="575"/>
      <c r="B32" s="564"/>
      <c r="C32" s="3184" t="s">
        <v>3158</v>
      </c>
      <c r="D32" s="555"/>
      <c r="E32" s="3185" t="s">
        <v>3158</v>
      </c>
      <c r="F32" s="553"/>
      <c r="G32" s="3184" t="s">
        <v>3158</v>
      </c>
      <c r="H32" s="553"/>
      <c r="I32" s="3184" t="s">
        <v>3158</v>
      </c>
      <c r="J32" s="553"/>
      <c r="K32" s="529"/>
      <c r="L32" s="2117"/>
      <c r="M32" s="2114"/>
      <c r="N32" s="2114"/>
      <c r="O32" s="2119"/>
      <c r="P32" s="3398"/>
      <c r="Q32" s="2539"/>
      <c r="R32" s="1551"/>
      <c r="S32" s="1552"/>
      <c r="T32" s="1551"/>
      <c r="U32" s="1552"/>
      <c r="V32" s="1551"/>
      <c r="W32" s="1552"/>
      <c r="X32" s="1553"/>
      <c r="Y32" s="3398"/>
      <c r="Z32" s="2536"/>
      <c r="AA32" s="1559">
        <v>1</v>
      </c>
      <c r="AB32" s="1559">
        <v>1</v>
      </c>
      <c r="AC32" s="1559">
        <v>1</v>
      </c>
    </row>
    <row r="33" spans="1:29" ht="20.25">
      <c r="A33" s="530"/>
      <c r="B33" s="564" t="s">
        <v>547</v>
      </c>
      <c r="C33" s="578" t="s">
        <v>3160</v>
      </c>
      <c r="D33" s="573">
        <v>100</v>
      </c>
      <c r="E33" s="581" t="s">
        <v>3160</v>
      </c>
      <c r="F33" s="538">
        <f>SUMIF(106:106,E33,107:107)-SUMIF(106:106,C33,107:107)+100</f>
        <v>100</v>
      </c>
      <c r="G33" s="578" t="s">
        <v>3160</v>
      </c>
      <c r="H33" s="538">
        <f>SUMIF(106:106,G33,107:107)-SUMIF(106:106,C33,107:107)+100</f>
        <v>100</v>
      </c>
      <c r="I33" s="578" t="s">
        <v>3160</v>
      </c>
      <c r="J33" s="538">
        <f>SUMIF(106:106,I33,107:107)-SUMIF(106:106,C33,107:107)+100</f>
        <v>100</v>
      </c>
      <c r="K33" s="533"/>
      <c r="L33" s="2124"/>
      <c r="M33" s="2114"/>
      <c r="N33" s="2114"/>
      <c r="O33" s="2123"/>
      <c r="P33" s="3398"/>
      <c r="Q33" s="1555" t="str">
        <f t="shared" si="8"/>
        <v>临街状况</v>
      </c>
      <c r="R33" s="1556" t="s">
        <v>8</v>
      </c>
      <c r="S33" s="1557">
        <f t="shared" ref="S33:S47" si="9">F33</f>
        <v>100</v>
      </c>
      <c r="T33" s="1556" t="s">
        <v>8</v>
      </c>
      <c r="U33" s="1557">
        <f t="shared" ref="U33:U47" si="10">H33</f>
        <v>100</v>
      </c>
      <c r="V33" s="1556" t="s">
        <v>8</v>
      </c>
      <c r="W33" s="1557">
        <f t="shared" ref="W33:W47" si="11">J33</f>
        <v>100</v>
      </c>
      <c r="X33" s="1550"/>
      <c r="Y33" s="3398"/>
      <c r="Z33" s="1558" t="str">
        <f t="shared" ref="Z33:Z47" si="12">Q33</f>
        <v>临街状况</v>
      </c>
      <c r="AA33" s="1559">
        <f t="shared" si="3"/>
        <v>1</v>
      </c>
      <c r="AB33" s="1559">
        <f t="shared" si="4"/>
        <v>1</v>
      </c>
      <c r="AC33" s="1559">
        <f t="shared" si="5"/>
        <v>1</v>
      </c>
    </row>
    <row r="34" spans="1:29" ht="27">
      <c r="A34" s="530"/>
      <c r="B34" s="576" t="s">
        <v>548</v>
      </c>
      <c r="C34" s="3209" t="s">
        <v>3161</v>
      </c>
      <c r="D34" s="561">
        <v>100</v>
      </c>
      <c r="E34" s="3210" t="s">
        <v>3170</v>
      </c>
      <c r="F34" s="557">
        <f>SUMIF(108:108,E35,109:109)-SUMIF(108:108,C35,109:109)+100</f>
        <v>100</v>
      </c>
      <c r="G34" s="3209" t="s">
        <v>3163</v>
      </c>
      <c r="H34" s="557">
        <f>SUMIF(108:108,G35,109:109)-SUMIF(108:108,C35,109:109)+100</f>
        <v>100</v>
      </c>
      <c r="I34" s="3210" t="s">
        <v>3162</v>
      </c>
      <c r="J34" s="557">
        <f>SUMIF(108:108,I35,109:109)-SUMIF(108:108,C35,109:109)+100</f>
        <v>100</v>
      </c>
      <c r="K34" s="533">
        <v>1</v>
      </c>
      <c r="L34" s="2124"/>
      <c r="M34" s="2114"/>
      <c r="N34" s="2114"/>
      <c r="O34" s="2123"/>
      <c r="P34" s="3398"/>
      <c r="Q34" s="1555" t="str">
        <f t="shared" si="8"/>
        <v>毗邻道路的类型与等级</v>
      </c>
      <c r="R34" s="1556" t="s">
        <v>8</v>
      </c>
      <c r="S34" s="1557">
        <f t="shared" si="9"/>
        <v>100</v>
      </c>
      <c r="T34" s="1556" t="s">
        <v>8</v>
      </c>
      <c r="U34" s="1557">
        <f t="shared" si="10"/>
        <v>100</v>
      </c>
      <c r="V34" s="1556" t="s">
        <v>8</v>
      </c>
      <c r="W34" s="1557">
        <f t="shared" si="11"/>
        <v>100</v>
      </c>
      <c r="X34" s="1550"/>
      <c r="Y34" s="3398"/>
      <c r="Z34" s="1558" t="str">
        <f t="shared" si="12"/>
        <v>毗邻道路的类型与等级</v>
      </c>
      <c r="AA34" s="1559">
        <f t="shared" si="3"/>
        <v>1</v>
      </c>
      <c r="AB34" s="1559">
        <f t="shared" si="4"/>
        <v>1</v>
      </c>
      <c r="AC34" s="1559">
        <f t="shared" si="5"/>
        <v>1</v>
      </c>
    </row>
    <row r="35" spans="1:29" ht="20.25">
      <c r="A35" s="530"/>
      <c r="B35" s="564"/>
      <c r="C35" s="552" t="s">
        <v>3167</v>
      </c>
      <c r="D35" s="555"/>
      <c r="E35" s="574" t="s">
        <v>3167</v>
      </c>
      <c r="F35" s="553"/>
      <c r="G35" s="552" t="s">
        <v>3167</v>
      </c>
      <c r="H35" s="553"/>
      <c r="I35" s="574" t="s">
        <v>3167</v>
      </c>
      <c r="J35" s="553"/>
      <c r="K35" s="579"/>
      <c r="L35" s="2124"/>
      <c r="M35" s="2114"/>
      <c r="N35" s="2114"/>
      <c r="O35" s="2123"/>
      <c r="P35" s="3398"/>
      <c r="Q35" s="1555"/>
      <c r="R35" s="1556"/>
      <c r="S35" s="1557"/>
      <c r="T35" s="1556"/>
      <c r="U35" s="1557"/>
      <c r="V35" s="1556"/>
      <c r="W35" s="1557"/>
      <c r="X35" s="1550"/>
      <c r="Y35" s="3398"/>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398"/>
      <c r="Q36" s="1555" t="str">
        <f t="shared" si="8"/>
        <v>土地级别</v>
      </c>
      <c r="R36" s="1556" t="s">
        <v>8</v>
      </c>
      <c r="S36" s="1557">
        <f t="shared" si="9"/>
        <v>100</v>
      </c>
      <c r="T36" s="1556" t="s">
        <v>8</v>
      </c>
      <c r="U36" s="1557">
        <f t="shared" si="10"/>
        <v>100</v>
      </c>
      <c r="V36" s="1556" t="s">
        <v>8</v>
      </c>
      <c r="W36" s="1557">
        <f t="shared" si="11"/>
        <v>100</v>
      </c>
      <c r="X36" s="1550"/>
      <c r="Y36" s="3398"/>
      <c r="Z36" s="1558" t="str">
        <f t="shared" si="12"/>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398"/>
      <c r="Q37" s="1555">
        <f t="shared" si="8"/>
        <v>111</v>
      </c>
      <c r="R37" s="1556" t="s">
        <v>8</v>
      </c>
      <c r="S37" s="1557">
        <f t="shared" si="9"/>
        <v>100</v>
      </c>
      <c r="T37" s="1556" t="s">
        <v>8</v>
      </c>
      <c r="U37" s="1557">
        <f t="shared" si="10"/>
        <v>100</v>
      </c>
      <c r="V37" s="1556" t="s">
        <v>8</v>
      </c>
      <c r="W37" s="1557">
        <f t="shared" si="11"/>
        <v>100</v>
      </c>
      <c r="X37" s="1550"/>
      <c r="Y37" s="3398"/>
      <c r="Z37" s="1558">
        <f t="shared" si="12"/>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399" t="s">
        <v>550</v>
      </c>
      <c r="Q38" s="1555">
        <f t="shared" si="8"/>
        <v>111</v>
      </c>
      <c r="R38" s="1556" t="s">
        <v>8</v>
      </c>
      <c r="S38" s="1557">
        <f t="shared" si="9"/>
        <v>100</v>
      </c>
      <c r="T38" s="1556" t="s">
        <v>8</v>
      </c>
      <c r="U38" s="1557">
        <f t="shared" si="10"/>
        <v>100</v>
      </c>
      <c r="V38" s="1556" t="s">
        <v>8</v>
      </c>
      <c r="W38" s="1557">
        <f t="shared" si="11"/>
        <v>100</v>
      </c>
      <c r="X38" s="1550"/>
      <c r="Y38" s="3400" t="s">
        <v>550</v>
      </c>
      <c r="Z38" s="1558">
        <f t="shared" si="12"/>
        <v>111</v>
      </c>
      <c r="AA38" s="1559">
        <f t="shared" si="3"/>
        <v>1</v>
      </c>
      <c r="AB38" s="1559">
        <f t="shared" si="4"/>
        <v>1</v>
      </c>
      <c r="AC38" s="1559">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00"/>
      <c r="Q39" s="1555">
        <f t="shared" si="8"/>
        <v>111</v>
      </c>
      <c r="R39" s="1560" t="s">
        <v>8</v>
      </c>
      <c r="S39" s="1561">
        <f t="shared" si="9"/>
        <v>100</v>
      </c>
      <c r="T39" s="1560" t="s">
        <v>8</v>
      </c>
      <c r="U39" s="1561">
        <f t="shared" si="10"/>
        <v>100</v>
      </c>
      <c r="V39" s="1560" t="s">
        <v>8</v>
      </c>
      <c r="W39" s="1561">
        <f t="shared" si="11"/>
        <v>100</v>
      </c>
      <c r="X39" s="1562"/>
      <c r="Y39" s="3400"/>
      <c r="Z39" s="1563">
        <f t="shared" si="12"/>
        <v>111</v>
      </c>
      <c r="AA39" s="1559">
        <f t="shared" si="3"/>
        <v>1</v>
      </c>
      <c r="AB39" s="1559">
        <f t="shared" si="4"/>
        <v>1</v>
      </c>
      <c r="AC39" s="1559">
        <f t="shared" si="5"/>
        <v>1</v>
      </c>
    </row>
    <row r="40" spans="1:29" ht="20.25">
      <c r="A40" s="2859" t="s">
        <v>2751</v>
      </c>
      <c r="B40" s="593" t="s">
        <v>552</v>
      </c>
      <c r="C40" s="594">
        <f>'数据-基础表'!A3</f>
        <v>42071.89</v>
      </c>
      <c r="D40" s="595">
        <v>100</v>
      </c>
      <c r="E40" s="594">
        <f>土地案例!$D$5</f>
        <v>68331.600000000006</v>
      </c>
      <c r="F40" s="595">
        <f>LOOKUP(E40,119:119,120:120)-LOOKUP(C40,119:119,120:120)+100</f>
        <v>101</v>
      </c>
      <c r="G40" s="594">
        <f>土地案例!$D$3</f>
        <v>37300.6</v>
      </c>
      <c r="H40" s="595">
        <f>LOOKUP(G40,119:119,120:120)-LOOKUP(C40,119:119,120:120)+100</f>
        <v>99</v>
      </c>
      <c r="I40" s="596">
        <f>土地案例!$D$4</f>
        <v>34200.300000000003</v>
      </c>
      <c r="J40" s="595">
        <f>LOOKUP(I40,119:119,120:120)-LOOKUP(C40,119:119,120:120)+100</f>
        <v>99</v>
      </c>
      <c r="K40" s="579"/>
      <c r="L40" s="2124"/>
      <c r="M40" s="2114"/>
      <c r="N40" s="2114"/>
      <c r="O40" s="2123"/>
      <c r="P40" s="3400"/>
      <c r="Q40" s="1555" t="str">
        <f>B40</f>
        <v>宗地面积</v>
      </c>
      <c r="R40" s="1556" t="s">
        <v>8</v>
      </c>
      <c r="S40" s="1557">
        <f t="shared" si="9"/>
        <v>101</v>
      </c>
      <c r="T40" s="1556" t="s">
        <v>8</v>
      </c>
      <c r="U40" s="1557">
        <f t="shared" si="10"/>
        <v>99</v>
      </c>
      <c r="V40" s="1556" t="s">
        <v>8</v>
      </c>
      <c r="W40" s="1557">
        <f t="shared" si="11"/>
        <v>99</v>
      </c>
      <c r="X40" s="1550"/>
      <c r="Y40" s="3400"/>
      <c r="Z40" s="1558" t="str">
        <f t="shared" si="12"/>
        <v>宗地面积</v>
      </c>
      <c r="AA40" s="1559">
        <f t="shared" si="3"/>
        <v>0.99009900990099009</v>
      </c>
      <c r="AB40" s="1559">
        <f t="shared" si="4"/>
        <v>1.0101010101010102</v>
      </c>
      <c r="AC40" s="1559">
        <f t="shared" si="5"/>
        <v>1.0101010101010102</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4"/>
      <c r="M41" s="2114"/>
      <c r="N41" s="2114"/>
      <c r="O41" s="2123"/>
      <c r="P41" s="3400"/>
      <c r="Q41" s="1555" t="str">
        <f t="shared" ref="Q41:Q47" si="13">B41</f>
        <v>宗地形状</v>
      </c>
      <c r="R41" s="1556" t="s">
        <v>8</v>
      </c>
      <c r="S41" s="1557">
        <f t="shared" si="9"/>
        <v>100</v>
      </c>
      <c r="T41" s="1556" t="s">
        <v>8</v>
      </c>
      <c r="U41" s="1557">
        <f t="shared" si="10"/>
        <v>100</v>
      </c>
      <c r="V41" s="1556" t="s">
        <v>8</v>
      </c>
      <c r="W41" s="1557">
        <f t="shared" si="11"/>
        <v>100</v>
      </c>
      <c r="X41" s="1550"/>
      <c r="Y41" s="3400"/>
      <c r="Z41" s="1558" t="str">
        <f t="shared" si="12"/>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00"/>
      <c r="Q42" s="1555" t="str">
        <f t="shared" si="13"/>
        <v>临街宽度及深度</v>
      </c>
      <c r="R42" s="1556" t="s">
        <v>8</v>
      </c>
      <c r="S42" s="1557">
        <f t="shared" si="9"/>
        <v>100</v>
      </c>
      <c r="T42" s="1556" t="s">
        <v>8</v>
      </c>
      <c r="U42" s="1557">
        <f t="shared" si="10"/>
        <v>100</v>
      </c>
      <c r="V42" s="1556" t="s">
        <v>8</v>
      </c>
      <c r="W42" s="1557">
        <f t="shared" si="11"/>
        <v>100</v>
      </c>
      <c r="X42" s="1550"/>
      <c r="Y42" s="3400"/>
      <c r="Z42" s="1558" t="str">
        <f t="shared" si="12"/>
        <v>临街宽度及深度</v>
      </c>
      <c r="AA42" s="1559">
        <f t="shared" si="3"/>
        <v>1</v>
      </c>
      <c r="AB42" s="1559">
        <f t="shared" si="4"/>
        <v>1</v>
      </c>
      <c r="AC42" s="1559">
        <f t="shared" si="5"/>
        <v>1</v>
      </c>
    </row>
    <row r="43" spans="1:29" s="1213" customFormat="1" ht="20.25">
      <c r="A43" s="598"/>
      <c r="B43" s="1877" t="s">
        <v>2421</v>
      </c>
      <c r="C43" s="599" t="s">
        <v>3159</v>
      </c>
      <c r="D43" s="253">
        <v>100</v>
      </c>
      <c r="E43" s="599" t="s">
        <v>3158</v>
      </c>
      <c r="F43" s="538">
        <f>SUMIF(125:125,E43,126:126)-SUMIF(125:125,C43,126:126)+100</f>
        <v>102</v>
      </c>
      <c r="G43" s="599" t="s">
        <v>3159</v>
      </c>
      <c r="H43" s="538">
        <f>SUMIF(125:125,G43,126:126)-SUMIF(125:125,C43,126:126)+100</f>
        <v>100</v>
      </c>
      <c r="I43" s="599" t="s">
        <v>3158</v>
      </c>
      <c r="J43" s="538">
        <f>SUMIF(125:125,I43,126:126)-SUMIF(125:125,C43,126:126)+100</f>
        <v>102</v>
      </c>
      <c r="K43" s="582">
        <v>1</v>
      </c>
      <c r="L43" s="2117"/>
      <c r="M43" s="2114"/>
      <c r="N43" s="2114"/>
      <c r="O43" s="2119"/>
      <c r="P43" s="3400"/>
      <c r="Q43" s="1555" t="str">
        <f t="shared" si="13"/>
        <v>宗地开发程度</v>
      </c>
      <c r="R43" s="1551" t="s">
        <v>8</v>
      </c>
      <c r="S43" s="1552">
        <f t="shared" si="9"/>
        <v>102</v>
      </c>
      <c r="T43" s="1551" t="s">
        <v>8</v>
      </c>
      <c r="U43" s="1552">
        <f t="shared" si="10"/>
        <v>100</v>
      </c>
      <c r="V43" s="1551" t="s">
        <v>8</v>
      </c>
      <c r="W43" s="1552">
        <f t="shared" si="11"/>
        <v>102</v>
      </c>
      <c r="X43" s="1553"/>
      <c r="Y43" s="3400"/>
      <c r="Z43" s="1143" t="str">
        <f t="shared" si="12"/>
        <v>宗地开发程度</v>
      </c>
      <c r="AA43" s="1554">
        <f t="shared" si="3"/>
        <v>0.98039215686274506</v>
      </c>
      <c r="AB43" s="1554">
        <f t="shared" si="4"/>
        <v>1</v>
      </c>
      <c r="AC43" s="1554">
        <f t="shared" si="5"/>
        <v>0.98039215686274506</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4"/>
      <c r="M44" s="2114"/>
      <c r="N44" s="2114"/>
      <c r="O44" s="2123"/>
      <c r="P44" s="3400" t="s">
        <v>550</v>
      </c>
      <c r="Q44" s="1555" t="str">
        <f t="shared" si="13"/>
        <v>工程地质条件</v>
      </c>
      <c r="R44" s="1556" t="s">
        <v>8</v>
      </c>
      <c r="S44" s="1557">
        <f t="shared" si="9"/>
        <v>100</v>
      </c>
      <c r="T44" s="1556" t="s">
        <v>8</v>
      </c>
      <c r="U44" s="1557">
        <f t="shared" si="10"/>
        <v>100</v>
      </c>
      <c r="V44" s="1556" t="s">
        <v>8</v>
      </c>
      <c r="W44" s="1557">
        <f t="shared" si="11"/>
        <v>100</v>
      </c>
      <c r="X44" s="1550"/>
      <c r="Y44" s="3400" t="s">
        <v>550</v>
      </c>
      <c r="Z44" s="1558" t="str">
        <f t="shared" si="12"/>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00"/>
      <c r="Q45" s="1555">
        <f t="shared" si="13"/>
        <v>111</v>
      </c>
      <c r="R45" s="1556" t="s">
        <v>8</v>
      </c>
      <c r="S45" s="1557">
        <f t="shared" si="9"/>
        <v>100</v>
      </c>
      <c r="T45" s="1556" t="s">
        <v>8</v>
      </c>
      <c r="U45" s="1557">
        <f t="shared" si="10"/>
        <v>100</v>
      </c>
      <c r="V45" s="1556" t="s">
        <v>8</v>
      </c>
      <c r="W45" s="1557">
        <f t="shared" si="11"/>
        <v>100</v>
      </c>
      <c r="X45" s="1550"/>
      <c r="Y45" s="3400"/>
      <c r="Z45" s="1558">
        <f t="shared" si="12"/>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00"/>
      <c r="Q46" s="1555">
        <f t="shared" si="13"/>
        <v>111</v>
      </c>
      <c r="R46" s="1556" t="s">
        <v>8</v>
      </c>
      <c r="S46" s="1557">
        <f t="shared" si="9"/>
        <v>100</v>
      </c>
      <c r="T46" s="1556" t="s">
        <v>8</v>
      </c>
      <c r="U46" s="1557">
        <f t="shared" si="10"/>
        <v>100</v>
      </c>
      <c r="V46" s="1556" t="s">
        <v>8</v>
      </c>
      <c r="W46" s="1557">
        <f t="shared" si="11"/>
        <v>100</v>
      </c>
      <c r="X46" s="1550"/>
      <c r="Y46" s="3400"/>
      <c r="Z46" s="1558">
        <f t="shared" si="12"/>
        <v>111</v>
      </c>
      <c r="AA46" s="1559">
        <f t="shared" si="3"/>
        <v>1</v>
      </c>
      <c r="AB46" s="1559">
        <f t="shared" si="4"/>
        <v>1</v>
      </c>
      <c r="AC46" s="1559">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00"/>
      <c r="Q47" s="1555">
        <f t="shared" si="13"/>
        <v>111</v>
      </c>
      <c r="R47" s="1560" t="s">
        <v>8</v>
      </c>
      <c r="S47" s="1561">
        <f t="shared" si="9"/>
        <v>100</v>
      </c>
      <c r="T47" s="1560" t="s">
        <v>8</v>
      </c>
      <c r="U47" s="1561">
        <f t="shared" si="10"/>
        <v>100</v>
      </c>
      <c r="V47" s="1560" t="s">
        <v>8</v>
      </c>
      <c r="W47" s="1561">
        <f t="shared" si="11"/>
        <v>100</v>
      </c>
      <c r="X47" s="1562"/>
      <c r="Y47" s="3400"/>
      <c r="Z47" s="1563">
        <f t="shared" si="12"/>
        <v>111</v>
      </c>
      <c r="AA47" s="1559">
        <f t="shared" si="3"/>
        <v>1</v>
      </c>
      <c r="AB47" s="1559">
        <f t="shared" si="4"/>
        <v>1</v>
      </c>
      <c r="AC47" s="1559">
        <f t="shared" si="5"/>
        <v>1</v>
      </c>
    </row>
    <row r="48" spans="1:29" ht="20.25">
      <c r="A48" s="605" t="s">
        <v>556</v>
      </c>
      <c r="B48" s="606" t="s">
        <v>3090</v>
      </c>
      <c r="C48" s="607" t="s">
        <v>1</v>
      </c>
      <c r="D48" s="608"/>
      <c r="E48" s="609">
        <f>ROUND(土地案例!$M$5,0)</f>
        <v>1350</v>
      </c>
      <c r="F48" s="610"/>
      <c r="G48" s="611">
        <f>ROUND(土地案例!$M$3,0)</f>
        <v>1159</v>
      </c>
      <c r="H48" s="612"/>
      <c r="I48" s="609">
        <f>ROUND(土地案例!$M$4,0)</f>
        <v>1275</v>
      </c>
      <c r="J48" s="612"/>
      <c r="K48" s="1333"/>
      <c r="L48" s="2126"/>
      <c r="M48" s="2114"/>
      <c r="N48" s="2114"/>
      <c r="O48" s="2127"/>
      <c r="P48" s="3395" t="str">
        <f>A48</f>
        <v>成交单价</v>
      </c>
      <c r="Q48" s="3395"/>
      <c r="R48" s="3409">
        <f>E48</f>
        <v>1350</v>
      </c>
      <c r="S48" s="3409"/>
      <c r="T48" s="3409">
        <f>G48</f>
        <v>1159</v>
      </c>
      <c r="U48" s="3409"/>
      <c r="V48" s="3409">
        <f>I48</f>
        <v>1275</v>
      </c>
      <c r="W48" s="3409"/>
      <c r="X48" s="1542"/>
      <c r="Y48" s="1564"/>
      <c r="Z48" s="1542"/>
      <c r="AA48" s="1542"/>
      <c r="AB48" s="1542"/>
      <c r="AC48" s="1542"/>
    </row>
    <row r="49" spans="1:29" ht="21" thickBot="1">
      <c r="A49" s="613" t="s">
        <v>2689</v>
      </c>
      <c r="B49" s="614"/>
      <c r="C49" s="615">
        <f>R50</f>
        <v>1195</v>
      </c>
      <c r="D49" s="616"/>
      <c r="E49" s="615">
        <f>R49</f>
        <v>1236</v>
      </c>
      <c r="F49" s="617"/>
      <c r="G49" s="618">
        <f>T49</f>
        <v>1159</v>
      </c>
      <c r="H49" s="616"/>
      <c r="I49" s="615">
        <f>V49</f>
        <v>1191</v>
      </c>
      <c r="J49" s="616"/>
      <c r="K49" s="1334"/>
      <c r="L49" s="2126"/>
      <c r="M49" s="2114"/>
      <c r="N49" s="2114"/>
      <c r="O49" s="2127"/>
      <c r="P49" s="3395" t="str">
        <f>A49</f>
        <v>比较价格（元/平方米）</v>
      </c>
      <c r="Q49" s="3395"/>
      <c r="R49" s="3419">
        <f>ROUND(PRODUCT(R48,AA9:AA47),0)</f>
        <v>1236</v>
      </c>
      <c r="S49" s="3419"/>
      <c r="T49" s="3419">
        <f>ROUND(PRODUCT(T48,AB9:AB47),0)</f>
        <v>1159</v>
      </c>
      <c r="U49" s="3419"/>
      <c r="V49" s="3419">
        <f>ROUND(PRODUCT(V48,AC9:AC47),0)</f>
        <v>1191</v>
      </c>
      <c r="W49" s="3419"/>
      <c r="X49" s="1542"/>
      <c r="Y49" s="1542"/>
      <c r="Z49" s="1542"/>
      <c r="AA49" s="1542"/>
      <c r="AB49" s="1542"/>
      <c r="AC49" s="1542"/>
    </row>
    <row r="50" spans="1:29" ht="21" thickBot="1">
      <c r="A50" s="619" t="s">
        <v>2933</v>
      </c>
      <c r="B50" s="620"/>
      <c r="C50" s="621">
        <f>R50</f>
        <v>1195</v>
      </c>
      <c r="D50" s="621"/>
      <c r="E50" s="621"/>
      <c r="F50" s="621"/>
      <c r="G50" s="621"/>
      <c r="H50" s="621"/>
      <c r="I50" s="621"/>
      <c r="J50" s="621"/>
      <c r="K50" s="1335"/>
      <c r="L50" s="2126"/>
      <c r="M50" s="2114"/>
      <c r="N50" s="2114"/>
      <c r="O50" s="2127"/>
      <c r="P50" s="3416" t="str">
        <f>A50</f>
        <v>估价对象XX用房的比较价格（楼面单价，元/平方米）</v>
      </c>
      <c r="Q50" s="3417"/>
      <c r="R50" s="3418">
        <f>ROUND(AVERAGE(R49:V49),0)</f>
        <v>1195</v>
      </c>
      <c r="S50" s="3418"/>
      <c r="T50" s="3418"/>
      <c r="U50" s="3418"/>
      <c r="V50" s="3418"/>
      <c r="W50" s="3418"/>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9.2233009708737823E-2</v>
      </c>
      <c r="F53" s="625" t="str">
        <f>IF(OR(E53&gt;=0.3,E53&lt;=-0.3),"超过30%","")</f>
        <v/>
      </c>
      <c r="G53" s="624">
        <f>IF(G48&lt;G49,G49/G48-1,G48/G49-1)</f>
        <v>0</v>
      </c>
      <c r="H53" s="625" t="str">
        <f>IF(OR(G53&gt;=0.3,G53&lt;=-0.3),"超过30%","")</f>
        <v/>
      </c>
      <c r="I53" s="624">
        <f>IF(I48&lt;I49,I49/I48-1,I48/I49-1)</f>
        <v>7.0528967254408048E-2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6.6436583261432203E-2</v>
      </c>
      <c r="F54" s="625" t="str">
        <f>IF(OR(E54&gt;=0.2,E54&lt;=-0.2),"超过20%","")</f>
        <v/>
      </c>
      <c r="G54" s="624">
        <f>IF(G49&lt;I49,I49/G49-1,G49/I49-1)</f>
        <v>2.761000862812768E-2</v>
      </c>
      <c r="H54" s="625" t="str">
        <f>IF(OR(G54&gt;=0.2,G54&lt;=-0.2),"超过20%","")</f>
        <v/>
      </c>
      <c r="I54" s="624">
        <f>IF(I49&lt;E49,E49/I49-1,I49/E49-1)</f>
        <v>3.7783375314861534E-2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0.16479723899913723</v>
      </c>
      <c r="F55" s="625" t="str">
        <f>IF(OR(E55&gt;=0.3,E55&lt;=-0.3),"超过30%","")</f>
        <v/>
      </c>
      <c r="G55" s="624">
        <f>IF(G48&lt;I48,I48/G48-1,G48/I48-1)</f>
        <v>0.10008628127696295</v>
      </c>
      <c r="H55" s="625" t="str">
        <f>IF(OR(G55&gt;=0.3,G55&lt;=-0.3),"超过30%","")</f>
        <v/>
      </c>
      <c r="I55" s="624">
        <f>IF(I48&lt;E48,E48/I48-1,I48/E48-1)</f>
        <v>5.8823529411764719E-2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379" t="s">
        <v>2278</v>
      </c>
      <c r="H57" s="3380"/>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1195</v>
      </c>
      <c r="C58" s="633">
        <v>1</v>
      </c>
      <c r="D58" s="2210">
        <v>1</v>
      </c>
      <c r="E58" s="633">
        <f>'数据-汇总表'!E8+'数据-汇总表'!E9</f>
        <v>84143.78</v>
      </c>
      <c r="F58" s="634">
        <f t="shared" ref="F58:F67" si="14">ROUND(B58*E58/10000,0)</f>
        <v>10055</v>
      </c>
      <c r="G58" s="3381"/>
      <c r="H58" s="338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5">IF($C$57="北京市系数",I59,J59)</f>
        <v>0</v>
      </c>
      <c r="D59" s="2211">
        <v>0.25</v>
      </c>
      <c r="E59" s="637">
        <v>0</v>
      </c>
      <c r="F59" s="634">
        <f t="shared" si="14"/>
        <v>0</v>
      </c>
      <c r="G59" s="3383"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6">ROUND($C$50*C60*D60,0)</f>
        <v>0</v>
      </c>
      <c r="C60" s="376">
        <f t="shared" si="15"/>
        <v>0</v>
      </c>
      <c r="D60" s="2211">
        <v>0.25</v>
      </c>
      <c r="E60" s="637">
        <v>0</v>
      </c>
      <c r="F60" s="634">
        <f t="shared" si="14"/>
        <v>0</v>
      </c>
      <c r="G60" s="3383"/>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6"/>
        <v>0</v>
      </c>
      <c r="C61" s="376">
        <f t="shared" si="15"/>
        <v>0</v>
      </c>
      <c r="D61" s="2211">
        <v>0.25</v>
      </c>
      <c r="E61" s="637">
        <v>0</v>
      </c>
      <c r="F61" s="634">
        <f t="shared" si="14"/>
        <v>0</v>
      </c>
      <c r="G61" s="3383"/>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6"/>
        <v>0</v>
      </c>
      <c r="C62" s="376">
        <f t="shared" si="15"/>
        <v>0</v>
      </c>
      <c r="D62" s="2211">
        <v>0.25</v>
      </c>
      <c r="E62" s="637">
        <v>0</v>
      </c>
      <c r="F62" s="634">
        <f t="shared" si="14"/>
        <v>0</v>
      </c>
      <c r="G62" s="3383"/>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6"/>
        <v>0</v>
      </c>
      <c r="C63" s="376">
        <f t="shared" si="15"/>
        <v>0</v>
      </c>
      <c r="D63" s="2211">
        <v>0.25</v>
      </c>
      <c r="E63" s="639">
        <f>'数据-汇总表'!E11</f>
        <v>0</v>
      </c>
      <c r="F63" s="634">
        <f t="shared" si="14"/>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6"/>
        <v>0</v>
      </c>
      <c r="C64" s="376">
        <f t="shared" si="15"/>
        <v>0</v>
      </c>
      <c r="D64" s="2211">
        <v>0.25</v>
      </c>
      <c r="E64" s="639">
        <f>'数据-汇总表'!E12</f>
        <v>0</v>
      </c>
      <c r="F64" s="634">
        <f t="shared" si="14"/>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6"/>
        <v>0</v>
      </c>
      <c r="C65" s="376">
        <f t="shared" si="15"/>
        <v>0</v>
      </c>
      <c r="D65" s="2211">
        <v>0.25</v>
      </c>
      <c r="E65" s="639">
        <f>'数据-汇总表'!E13</f>
        <v>0</v>
      </c>
      <c r="F65" s="634">
        <f t="shared" si="14"/>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6"/>
        <v>0</v>
      </c>
      <c r="C66" s="376">
        <f t="shared" si="15"/>
        <v>0</v>
      </c>
      <c r="D66" s="2211">
        <v>0.25</v>
      </c>
      <c r="E66" s="639">
        <f>'数据-汇总表'!E14</f>
        <v>0</v>
      </c>
      <c r="F66" s="634">
        <f t="shared" si="14"/>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6"/>
        <v>0</v>
      </c>
      <c r="C67" s="376">
        <f t="shared" si="15"/>
        <v>0</v>
      </c>
      <c r="D67" s="2211">
        <v>0.25</v>
      </c>
      <c r="E67" s="639">
        <f>'数据-汇总表'!E15</f>
        <v>0</v>
      </c>
      <c r="F67" s="634">
        <f t="shared" si="14"/>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84143.78</v>
      </c>
      <c r="F68" s="642">
        <f>IF(B48="楼面地价",SUM(F58:F67),ROUND(C50*E68/10000,0))</f>
        <v>10055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2020-7-1</v>
      </c>
      <c r="D70" s="2751">
        <f>EDATE(C70,-3)</f>
        <v>43922</v>
      </c>
      <c r="E70" s="2751">
        <f t="shared" ref="E70:N70" si="17">EDATE(D70,-3)</f>
        <v>43831</v>
      </c>
      <c r="F70" s="2751">
        <f t="shared" si="17"/>
        <v>43739</v>
      </c>
      <c r="G70" s="2751">
        <f t="shared" si="17"/>
        <v>43647</v>
      </c>
      <c r="H70" s="2751">
        <f t="shared" si="17"/>
        <v>43556</v>
      </c>
      <c r="I70" s="2751">
        <f t="shared" si="17"/>
        <v>43466</v>
      </c>
      <c r="J70" s="2751">
        <f t="shared" si="17"/>
        <v>43374</v>
      </c>
      <c r="K70" s="2751">
        <f t="shared" si="17"/>
        <v>43282</v>
      </c>
      <c r="L70" s="2751">
        <f t="shared" si="17"/>
        <v>43191</v>
      </c>
      <c r="M70" s="2751">
        <f t="shared" si="17"/>
        <v>43101</v>
      </c>
      <c r="N70" s="2751">
        <f t="shared" si="17"/>
        <v>43009</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7" t="str">
        <f>YEAR(C70)&amp;"-"&amp;ROUNDUP(MONTH(C70)/3,0)</f>
        <v>2020-3</v>
      </c>
      <c r="D72" s="2753" t="str">
        <f>YEAR(D70)&amp;"-"&amp;ROUNDUP(MONTH(D70)/3,0)</f>
        <v>2020-2</v>
      </c>
      <c r="E72" s="2753" t="str">
        <f t="shared" ref="E72:N72" si="18">YEAR(E70)&amp;"-"&amp;ROUNDUP(MONTH(E70)/3,0)</f>
        <v>2020-1</v>
      </c>
      <c r="F72" s="2753" t="str">
        <f t="shared" si="18"/>
        <v>2019-4</v>
      </c>
      <c r="G72" s="2753" t="str">
        <f t="shared" si="18"/>
        <v>2019-3</v>
      </c>
      <c r="H72" s="2753" t="str">
        <f t="shared" si="18"/>
        <v>2019-2</v>
      </c>
      <c r="I72" s="2753" t="str">
        <f t="shared" si="18"/>
        <v>2019-1</v>
      </c>
      <c r="J72" s="2753" t="str">
        <f t="shared" si="18"/>
        <v>2018-4</v>
      </c>
      <c r="K72" s="2753" t="str">
        <f t="shared" si="18"/>
        <v>2018-3</v>
      </c>
      <c r="L72" s="2753" t="str">
        <f t="shared" si="18"/>
        <v>2018-2</v>
      </c>
      <c r="M72" s="2753" t="str">
        <f t="shared" si="18"/>
        <v>2018-1</v>
      </c>
      <c r="N72" s="2753" t="str">
        <f t="shared" si="18"/>
        <v>2017-4</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2643</v>
      </c>
      <c r="B73" s="477" t="str">
        <f>"北京市平均增长率"&amp;TEXT(SUMIF(基准地价!N21:N25,A73,基准地价!P21:P25),"0.00%")</f>
        <v>北京市平均增长率0.00%</v>
      </c>
      <c r="C73" s="891">
        <v>100</v>
      </c>
      <c r="D73" s="728">
        <v>99.5</v>
      </c>
      <c r="E73" s="728">
        <v>99</v>
      </c>
      <c r="F73" s="728">
        <v>98.5</v>
      </c>
      <c r="G73" s="728">
        <v>98</v>
      </c>
      <c r="H73" s="728">
        <v>97.5</v>
      </c>
      <c r="I73" s="728">
        <v>97</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v>
      </c>
      <c r="I81" s="680" t="str">
        <f t="shared" si="19"/>
        <v>（含）-</v>
      </c>
      <c r="J81" s="680" t="str">
        <f t="shared" si="19"/>
        <v>（含）-</v>
      </c>
      <c r="K81" s="680" t="str">
        <f t="shared" si="19"/>
        <v>（含）-</v>
      </c>
      <c r="L81" s="680" t="str">
        <f t="shared" si="19"/>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211" t="s">
        <v>3164</v>
      </c>
      <c r="D108" s="3211" t="s">
        <v>3165</v>
      </c>
      <c r="E108" s="3211" t="s">
        <v>3166</v>
      </c>
      <c r="F108" s="3211" t="s">
        <v>3168</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2">D109-$K34</f>
        <v>98</v>
      </c>
      <c r="F109" s="677">
        <f t="shared" si="22"/>
        <v>97</v>
      </c>
      <c r="G109" s="677">
        <f t="shared" si="22"/>
        <v>96</v>
      </c>
      <c r="H109" s="677">
        <f t="shared" si="22"/>
        <v>95</v>
      </c>
      <c r="I109" s="677">
        <f t="shared" si="22"/>
        <v>94</v>
      </c>
      <c r="J109" s="677">
        <f t="shared" si="22"/>
        <v>93</v>
      </c>
      <c r="K109" s="677">
        <f t="shared" si="22"/>
        <v>92</v>
      </c>
      <c r="L109" s="677">
        <f t="shared" si="22"/>
        <v>91</v>
      </c>
      <c r="M109" s="677">
        <f t="shared" si="22"/>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4">C119&amp;"(含)"&amp;"-"&amp;D119</f>
        <v>0(含)-10000</v>
      </c>
      <c r="D118" s="702" t="str">
        <f t="shared" si="24"/>
        <v>10000(含)-20000</v>
      </c>
      <c r="E118" s="702" t="str">
        <f t="shared" si="24"/>
        <v>20000(含)-30000</v>
      </c>
      <c r="F118" s="702" t="str">
        <f t="shared" si="24"/>
        <v>30000(含)-40000</v>
      </c>
      <c r="G118" s="702" t="str">
        <f t="shared" si="24"/>
        <v>40000(含)-50000</v>
      </c>
      <c r="H118" s="702" t="str">
        <f t="shared" si="24"/>
        <v>50000(含)-</v>
      </c>
      <c r="I118" s="702" t="str">
        <f t="shared" si="24"/>
        <v>(含)-</v>
      </c>
      <c r="J118" s="3038" t="str">
        <f t="shared" si="24"/>
        <v>(含)-</v>
      </c>
      <c r="K118" s="3038" t="str">
        <f t="shared" si="24"/>
        <v>(含)-</v>
      </c>
      <c r="L118" s="3039" t="str">
        <f t="shared" si="24"/>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v>
      </c>
      <c r="E119" s="728">
        <v>20000</v>
      </c>
      <c r="F119" s="728">
        <v>30000</v>
      </c>
      <c r="G119" s="728">
        <v>40000</v>
      </c>
      <c r="H119" s="728">
        <v>50000</v>
      </c>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v>105</v>
      </c>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5">C122-$K41</f>
        <v>100</v>
      </c>
      <c r="E122" s="677">
        <f t="shared" si="25"/>
        <v>100</v>
      </c>
      <c r="F122" s="677">
        <f t="shared" si="25"/>
        <v>100</v>
      </c>
      <c r="G122" s="677">
        <f t="shared" si="25"/>
        <v>100</v>
      </c>
      <c r="H122" s="677">
        <f t="shared" si="25"/>
        <v>100</v>
      </c>
      <c r="I122" s="677">
        <f t="shared" si="25"/>
        <v>100</v>
      </c>
      <c r="J122" s="677">
        <f t="shared" si="25"/>
        <v>100</v>
      </c>
      <c r="K122" s="677">
        <f t="shared" si="25"/>
        <v>100</v>
      </c>
      <c r="L122" s="677">
        <f t="shared" si="25"/>
        <v>100</v>
      </c>
      <c r="M122" s="678">
        <f t="shared" si="25"/>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6">C124-$K42</f>
        <v>100</v>
      </c>
      <c r="E124" s="677">
        <f t="shared" si="26"/>
        <v>100</v>
      </c>
      <c r="F124" s="677">
        <f t="shared" si="26"/>
        <v>100</v>
      </c>
      <c r="G124" s="677">
        <f t="shared" si="26"/>
        <v>100</v>
      </c>
      <c r="H124" s="677">
        <f t="shared" si="26"/>
        <v>100</v>
      </c>
      <c r="I124" s="677">
        <f t="shared" si="26"/>
        <v>100</v>
      </c>
      <c r="J124" s="677">
        <f t="shared" si="26"/>
        <v>100</v>
      </c>
      <c r="K124" s="677">
        <f t="shared" si="26"/>
        <v>100</v>
      </c>
      <c r="L124" s="677">
        <f t="shared" si="26"/>
        <v>100</v>
      </c>
      <c r="M124" s="678">
        <f t="shared" si="26"/>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3094</v>
      </c>
      <c r="D125" s="1369" t="s">
        <v>3095</v>
      </c>
      <c r="E125" s="1369" t="s">
        <v>3096</v>
      </c>
      <c r="F125" s="1369" t="s">
        <v>3098</v>
      </c>
      <c r="G125" s="1369" t="s">
        <v>3097</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v>
      </c>
      <c r="E126" s="677">
        <f t="shared" ref="E126:M126" si="27">D126-$K43</f>
        <v>98</v>
      </c>
      <c r="F126" s="677">
        <f t="shared" si="27"/>
        <v>97</v>
      </c>
      <c r="G126" s="677">
        <f t="shared" si="27"/>
        <v>96</v>
      </c>
      <c r="H126" s="677">
        <f t="shared" si="27"/>
        <v>95</v>
      </c>
      <c r="I126" s="677">
        <f t="shared" si="27"/>
        <v>94</v>
      </c>
      <c r="J126" s="677">
        <f t="shared" si="27"/>
        <v>93</v>
      </c>
      <c r="K126" s="677">
        <f t="shared" si="27"/>
        <v>92</v>
      </c>
      <c r="L126" s="677">
        <f t="shared" si="27"/>
        <v>91</v>
      </c>
      <c r="M126" s="678">
        <f t="shared" si="27"/>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8">C128-$K44</f>
        <v>100</v>
      </c>
      <c r="E128" s="677">
        <f t="shared" si="28"/>
        <v>100</v>
      </c>
      <c r="F128" s="677">
        <f t="shared" si="28"/>
        <v>100</v>
      </c>
      <c r="G128" s="677">
        <f t="shared" si="28"/>
        <v>100</v>
      </c>
      <c r="H128" s="677">
        <f t="shared" si="28"/>
        <v>100</v>
      </c>
      <c r="I128" s="677">
        <f t="shared" si="28"/>
        <v>100</v>
      </c>
      <c r="J128" s="677">
        <f t="shared" si="28"/>
        <v>100</v>
      </c>
      <c r="K128" s="677">
        <f t="shared" si="28"/>
        <v>100</v>
      </c>
      <c r="L128" s="677">
        <f t="shared" si="28"/>
        <v>100</v>
      </c>
      <c r="M128" s="678">
        <f t="shared" si="28"/>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E1" workbookViewId="0">
      <selection activeCell="D56" sqref="D56"/>
    </sheetView>
  </sheetViews>
  <sheetFormatPr defaultRowHeight="13.5"/>
  <cols>
    <col min="1" max="1" width="23.25" style="2890" customWidth="1"/>
    <col min="2" max="2" width="6.25" style="2890" customWidth="1"/>
    <col min="3" max="3" width="7.875" style="2890" hidden="1" customWidth="1"/>
    <col min="4" max="5" width="13.875" style="2890" customWidth="1"/>
    <col min="6" max="6" width="30.5" style="2890" customWidth="1"/>
    <col min="7" max="7" width="7.875" style="2890" customWidth="1"/>
    <col min="8" max="8" width="12.5" style="2890" customWidth="1"/>
    <col min="9" max="10" width="9" style="2890" customWidth="1"/>
    <col min="11" max="12" width="10.625" style="2890" customWidth="1"/>
    <col min="13" max="13" width="14.375" style="2890" customWidth="1"/>
    <col min="14" max="14" width="6.25" style="2890" customWidth="1"/>
    <col min="15" max="15" width="29.375" style="2890" customWidth="1"/>
    <col min="16" max="16" width="7.875" style="2890" customWidth="1"/>
    <col min="17" max="256" width="9" style="2890"/>
    <col min="257" max="257" width="40.625" style="2890" customWidth="1"/>
    <col min="258" max="258" width="6.25" style="2890" customWidth="1"/>
    <col min="259" max="259" width="7.875" style="2890" customWidth="1"/>
    <col min="260" max="261" width="13.875" style="2890" customWidth="1"/>
    <col min="262" max="262" width="26.125" style="2890" customWidth="1"/>
    <col min="263" max="263" width="7.875" style="2890" customWidth="1"/>
    <col min="264" max="264" width="29.375" style="2890" customWidth="1"/>
    <col min="265" max="266" width="9" style="2890" customWidth="1"/>
    <col min="267" max="268" width="10.625" style="2890" customWidth="1"/>
    <col min="269" max="269" width="14.375" style="2890" customWidth="1"/>
    <col min="270" max="270" width="6.25" style="2890" customWidth="1"/>
    <col min="271" max="271" width="29.375" style="2890" customWidth="1"/>
    <col min="272" max="272" width="7.875" style="2890" customWidth="1"/>
    <col min="273" max="512" width="9" style="2890"/>
    <col min="513" max="513" width="40.625" style="2890" customWidth="1"/>
    <col min="514" max="514" width="6.25" style="2890" customWidth="1"/>
    <col min="515" max="515" width="7.875" style="2890" customWidth="1"/>
    <col min="516" max="517" width="13.875" style="2890" customWidth="1"/>
    <col min="518" max="518" width="26.125" style="2890" customWidth="1"/>
    <col min="519" max="519" width="7.875" style="2890" customWidth="1"/>
    <col min="520" max="520" width="29.375" style="2890" customWidth="1"/>
    <col min="521" max="522" width="9" style="2890" customWidth="1"/>
    <col min="523" max="524" width="10.625" style="2890" customWidth="1"/>
    <col min="525" max="525" width="14.375" style="2890" customWidth="1"/>
    <col min="526" max="526" width="6.25" style="2890" customWidth="1"/>
    <col min="527" max="527" width="29.375" style="2890" customWidth="1"/>
    <col min="528" max="528" width="7.875" style="2890" customWidth="1"/>
    <col min="529" max="768" width="9" style="2890"/>
    <col min="769" max="769" width="40.625" style="2890" customWidth="1"/>
    <col min="770" max="770" width="6.25" style="2890" customWidth="1"/>
    <col min="771" max="771" width="7.875" style="2890" customWidth="1"/>
    <col min="772" max="773" width="13.875" style="2890" customWidth="1"/>
    <col min="774" max="774" width="26.125" style="2890" customWidth="1"/>
    <col min="775" max="775" width="7.875" style="2890" customWidth="1"/>
    <col min="776" max="776" width="29.375" style="2890" customWidth="1"/>
    <col min="777" max="778" width="9" style="2890" customWidth="1"/>
    <col min="779" max="780" width="10.625" style="2890" customWidth="1"/>
    <col min="781" max="781" width="14.375" style="2890" customWidth="1"/>
    <col min="782" max="782" width="6.25" style="2890" customWidth="1"/>
    <col min="783" max="783" width="29.375" style="2890" customWidth="1"/>
    <col min="784" max="784" width="7.875" style="2890" customWidth="1"/>
    <col min="785" max="1024" width="9" style="2890"/>
    <col min="1025" max="1025" width="40.625" style="2890" customWidth="1"/>
    <col min="1026" max="1026" width="6.25" style="2890" customWidth="1"/>
    <col min="1027" max="1027" width="7.875" style="2890" customWidth="1"/>
    <col min="1028" max="1029" width="13.875" style="2890" customWidth="1"/>
    <col min="1030" max="1030" width="26.125" style="2890" customWidth="1"/>
    <col min="1031" max="1031" width="7.875" style="2890" customWidth="1"/>
    <col min="1032" max="1032" width="29.375" style="2890" customWidth="1"/>
    <col min="1033" max="1034" width="9" style="2890" customWidth="1"/>
    <col min="1035" max="1036" width="10.625" style="2890" customWidth="1"/>
    <col min="1037" max="1037" width="14.375" style="2890" customWidth="1"/>
    <col min="1038" max="1038" width="6.25" style="2890" customWidth="1"/>
    <col min="1039" max="1039" width="29.375" style="2890" customWidth="1"/>
    <col min="1040" max="1040" width="7.875" style="2890" customWidth="1"/>
    <col min="1041" max="1280" width="9" style="2890"/>
    <col min="1281" max="1281" width="40.625" style="2890" customWidth="1"/>
    <col min="1282" max="1282" width="6.25" style="2890" customWidth="1"/>
    <col min="1283" max="1283" width="7.875" style="2890" customWidth="1"/>
    <col min="1284" max="1285" width="13.875" style="2890" customWidth="1"/>
    <col min="1286" max="1286" width="26.125" style="2890" customWidth="1"/>
    <col min="1287" max="1287" width="7.875" style="2890" customWidth="1"/>
    <col min="1288" max="1288" width="29.375" style="2890" customWidth="1"/>
    <col min="1289" max="1290" width="9" style="2890" customWidth="1"/>
    <col min="1291" max="1292" width="10.625" style="2890" customWidth="1"/>
    <col min="1293" max="1293" width="14.375" style="2890" customWidth="1"/>
    <col min="1294" max="1294" width="6.25" style="2890" customWidth="1"/>
    <col min="1295" max="1295" width="29.375" style="2890" customWidth="1"/>
    <col min="1296" max="1296" width="7.875" style="2890" customWidth="1"/>
    <col min="1297" max="1536" width="9" style="2890"/>
    <col min="1537" max="1537" width="40.625" style="2890" customWidth="1"/>
    <col min="1538" max="1538" width="6.25" style="2890" customWidth="1"/>
    <col min="1539" max="1539" width="7.875" style="2890" customWidth="1"/>
    <col min="1540" max="1541" width="13.875" style="2890" customWidth="1"/>
    <col min="1542" max="1542" width="26.125" style="2890" customWidth="1"/>
    <col min="1543" max="1543" width="7.875" style="2890" customWidth="1"/>
    <col min="1544" max="1544" width="29.375" style="2890" customWidth="1"/>
    <col min="1545" max="1546" width="9" style="2890" customWidth="1"/>
    <col min="1547" max="1548" width="10.625" style="2890" customWidth="1"/>
    <col min="1549" max="1549" width="14.375" style="2890" customWidth="1"/>
    <col min="1550" max="1550" width="6.25" style="2890" customWidth="1"/>
    <col min="1551" max="1551" width="29.375" style="2890" customWidth="1"/>
    <col min="1552" max="1552" width="7.875" style="2890" customWidth="1"/>
    <col min="1553" max="1792" width="9" style="2890"/>
    <col min="1793" max="1793" width="40.625" style="2890" customWidth="1"/>
    <col min="1794" max="1794" width="6.25" style="2890" customWidth="1"/>
    <col min="1795" max="1795" width="7.875" style="2890" customWidth="1"/>
    <col min="1796" max="1797" width="13.875" style="2890" customWidth="1"/>
    <col min="1798" max="1798" width="26.125" style="2890" customWidth="1"/>
    <col min="1799" max="1799" width="7.875" style="2890" customWidth="1"/>
    <col min="1800" max="1800" width="29.375" style="2890" customWidth="1"/>
    <col min="1801" max="1802" width="9" style="2890" customWidth="1"/>
    <col min="1803" max="1804" width="10.625" style="2890" customWidth="1"/>
    <col min="1805" max="1805" width="14.375" style="2890" customWidth="1"/>
    <col min="1806" max="1806" width="6.25" style="2890" customWidth="1"/>
    <col min="1807" max="1807" width="29.375" style="2890" customWidth="1"/>
    <col min="1808" max="1808" width="7.875" style="2890" customWidth="1"/>
    <col min="1809" max="2048" width="9" style="2890"/>
    <col min="2049" max="2049" width="40.625" style="2890" customWidth="1"/>
    <col min="2050" max="2050" width="6.25" style="2890" customWidth="1"/>
    <col min="2051" max="2051" width="7.875" style="2890" customWidth="1"/>
    <col min="2052" max="2053" width="13.875" style="2890" customWidth="1"/>
    <col min="2054" max="2054" width="26.125" style="2890" customWidth="1"/>
    <col min="2055" max="2055" width="7.875" style="2890" customWidth="1"/>
    <col min="2056" max="2056" width="29.375" style="2890" customWidth="1"/>
    <col min="2057" max="2058" width="9" style="2890" customWidth="1"/>
    <col min="2059" max="2060" width="10.625" style="2890" customWidth="1"/>
    <col min="2061" max="2061" width="14.375" style="2890" customWidth="1"/>
    <col min="2062" max="2062" width="6.25" style="2890" customWidth="1"/>
    <col min="2063" max="2063" width="29.375" style="2890" customWidth="1"/>
    <col min="2064" max="2064" width="7.875" style="2890" customWidth="1"/>
    <col min="2065" max="2304" width="9" style="2890"/>
    <col min="2305" max="2305" width="40.625" style="2890" customWidth="1"/>
    <col min="2306" max="2306" width="6.25" style="2890" customWidth="1"/>
    <col min="2307" max="2307" width="7.875" style="2890" customWidth="1"/>
    <col min="2308" max="2309" width="13.875" style="2890" customWidth="1"/>
    <col min="2310" max="2310" width="26.125" style="2890" customWidth="1"/>
    <col min="2311" max="2311" width="7.875" style="2890" customWidth="1"/>
    <col min="2312" max="2312" width="29.375" style="2890" customWidth="1"/>
    <col min="2313" max="2314" width="9" style="2890" customWidth="1"/>
    <col min="2315" max="2316" width="10.625" style="2890" customWidth="1"/>
    <col min="2317" max="2317" width="14.375" style="2890" customWidth="1"/>
    <col min="2318" max="2318" width="6.25" style="2890" customWidth="1"/>
    <col min="2319" max="2319" width="29.375" style="2890" customWidth="1"/>
    <col min="2320" max="2320" width="7.875" style="2890" customWidth="1"/>
    <col min="2321" max="2560" width="9" style="2890"/>
    <col min="2561" max="2561" width="40.625" style="2890" customWidth="1"/>
    <col min="2562" max="2562" width="6.25" style="2890" customWidth="1"/>
    <col min="2563" max="2563" width="7.875" style="2890" customWidth="1"/>
    <col min="2564" max="2565" width="13.875" style="2890" customWidth="1"/>
    <col min="2566" max="2566" width="26.125" style="2890" customWidth="1"/>
    <col min="2567" max="2567" width="7.875" style="2890" customWidth="1"/>
    <col min="2568" max="2568" width="29.375" style="2890" customWidth="1"/>
    <col min="2569" max="2570" width="9" style="2890" customWidth="1"/>
    <col min="2571" max="2572" width="10.625" style="2890" customWidth="1"/>
    <col min="2573" max="2573" width="14.375" style="2890" customWidth="1"/>
    <col min="2574" max="2574" width="6.25" style="2890" customWidth="1"/>
    <col min="2575" max="2575" width="29.375" style="2890" customWidth="1"/>
    <col min="2576" max="2576" width="7.875" style="2890" customWidth="1"/>
    <col min="2577" max="2816" width="9" style="2890"/>
    <col min="2817" max="2817" width="40.625" style="2890" customWidth="1"/>
    <col min="2818" max="2818" width="6.25" style="2890" customWidth="1"/>
    <col min="2819" max="2819" width="7.875" style="2890" customWidth="1"/>
    <col min="2820" max="2821" width="13.875" style="2890" customWidth="1"/>
    <col min="2822" max="2822" width="26.125" style="2890" customWidth="1"/>
    <col min="2823" max="2823" width="7.875" style="2890" customWidth="1"/>
    <col min="2824" max="2824" width="29.375" style="2890" customWidth="1"/>
    <col min="2825" max="2826" width="9" style="2890" customWidth="1"/>
    <col min="2827" max="2828" width="10.625" style="2890" customWidth="1"/>
    <col min="2829" max="2829" width="14.375" style="2890" customWidth="1"/>
    <col min="2830" max="2830" width="6.25" style="2890" customWidth="1"/>
    <col min="2831" max="2831" width="29.375" style="2890" customWidth="1"/>
    <col min="2832" max="2832" width="7.875" style="2890" customWidth="1"/>
    <col min="2833" max="3072" width="9" style="2890"/>
    <col min="3073" max="3073" width="40.625" style="2890" customWidth="1"/>
    <col min="3074" max="3074" width="6.25" style="2890" customWidth="1"/>
    <col min="3075" max="3075" width="7.875" style="2890" customWidth="1"/>
    <col min="3076" max="3077" width="13.875" style="2890" customWidth="1"/>
    <col min="3078" max="3078" width="26.125" style="2890" customWidth="1"/>
    <col min="3079" max="3079" width="7.875" style="2890" customWidth="1"/>
    <col min="3080" max="3080" width="29.375" style="2890" customWidth="1"/>
    <col min="3081" max="3082" width="9" style="2890" customWidth="1"/>
    <col min="3083" max="3084" width="10.625" style="2890" customWidth="1"/>
    <col min="3085" max="3085" width="14.375" style="2890" customWidth="1"/>
    <col min="3086" max="3086" width="6.25" style="2890" customWidth="1"/>
    <col min="3087" max="3087" width="29.375" style="2890" customWidth="1"/>
    <col min="3088" max="3088" width="7.875" style="2890" customWidth="1"/>
    <col min="3089" max="3328" width="9" style="2890"/>
    <col min="3329" max="3329" width="40.625" style="2890" customWidth="1"/>
    <col min="3330" max="3330" width="6.25" style="2890" customWidth="1"/>
    <col min="3331" max="3331" width="7.875" style="2890" customWidth="1"/>
    <col min="3332" max="3333" width="13.875" style="2890" customWidth="1"/>
    <col min="3334" max="3334" width="26.125" style="2890" customWidth="1"/>
    <col min="3335" max="3335" width="7.875" style="2890" customWidth="1"/>
    <col min="3336" max="3336" width="29.375" style="2890" customWidth="1"/>
    <col min="3337" max="3338" width="9" style="2890" customWidth="1"/>
    <col min="3339" max="3340" width="10.625" style="2890" customWidth="1"/>
    <col min="3341" max="3341" width="14.375" style="2890" customWidth="1"/>
    <col min="3342" max="3342" width="6.25" style="2890" customWidth="1"/>
    <col min="3343" max="3343" width="29.375" style="2890" customWidth="1"/>
    <col min="3344" max="3344" width="7.875" style="2890" customWidth="1"/>
    <col min="3345" max="3584" width="9" style="2890"/>
    <col min="3585" max="3585" width="40.625" style="2890" customWidth="1"/>
    <col min="3586" max="3586" width="6.25" style="2890" customWidth="1"/>
    <col min="3587" max="3587" width="7.875" style="2890" customWidth="1"/>
    <col min="3588" max="3589" width="13.875" style="2890" customWidth="1"/>
    <col min="3590" max="3590" width="26.125" style="2890" customWidth="1"/>
    <col min="3591" max="3591" width="7.875" style="2890" customWidth="1"/>
    <col min="3592" max="3592" width="29.375" style="2890" customWidth="1"/>
    <col min="3593" max="3594" width="9" style="2890" customWidth="1"/>
    <col min="3595" max="3596" width="10.625" style="2890" customWidth="1"/>
    <col min="3597" max="3597" width="14.375" style="2890" customWidth="1"/>
    <col min="3598" max="3598" width="6.25" style="2890" customWidth="1"/>
    <col min="3599" max="3599" width="29.375" style="2890" customWidth="1"/>
    <col min="3600" max="3600" width="7.875" style="2890" customWidth="1"/>
    <col min="3601" max="3840" width="9" style="2890"/>
    <col min="3841" max="3841" width="40.625" style="2890" customWidth="1"/>
    <col min="3842" max="3842" width="6.25" style="2890" customWidth="1"/>
    <col min="3843" max="3843" width="7.875" style="2890" customWidth="1"/>
    <col min="3844" max="3845" width="13.875" style="2890" customWidth="1"/>
    <col min="3846" max="3846" width="26.125" style="2890" customWidth="1"/>
    <col min="3847" max="3847" width="7.875" style="2890" customWidth="1"/>
    <col min="3848" max="3848" width="29.375" style="2890" customWidth="1"/>
    <col min="3849" max="3850" width="9" style="2890" customWidth="1"/>
    <col min="3851" max="3852" width="10.625" style="2890" customWidth="1"/>
    <col min="3853" max="3853" width="14.375" style="2890" customWidth="1"/>
    <col min="3854" max="3854" width="6.25" style="2890" customWidth="1"/>
    <col min="3855" max="3855" width="29.375" style="2890" customWidth="1"/>
    <col min="3856" max="3856" width="7.875" style="2890" customWidth="1"/>
    <col min="3857" max="4096" width="9" style="2890"/>
    <col min="4097" max="4097" width="40.625" style="2890" customWidth="1"/>
    <col min="4098" max="4098" width="6.25" style="2890" customWidth="1"/>
    <col min="4099" max="4099" width="7.875" style="2890" customWidth="1"/>
    <col min="4100" max="4101" width="13.875" style="2890" customWidth="1"/>
    <col min="4102" max="4102" width="26.125" style="2890" customWidth="1"/>
    <col min="4103" max="4103" width="7.875" style="2890" customWidth="1"/>
    <col min="4104" max="4104" width="29.375" style="2890" customWidth="1"/>
    <col min="4105" max="4106" width="9" style="2890" customWidth="1"/>
    <col min="4107" max="4108" width="10.625" style="2890" customWidth="1"/>
    <col min="4109" max="4109" width="14.375" style="2890" customWidth="1"/>
    <col min="4110" max="4110" width="6.25" style="2890" customWidth="1"/>
    <col min="4111" max="4111" width="29.375" style="2890" customWidth="1"/>
    <col min="4112" max="4112" width="7.875" style="2890" customWidth="1"/>
    <col min="4113" max="4352" width="9" style="2890"/>
    <col min="4353" max="4353" width="40.625" style="2890" customWidth="1"/>
    <col min="4354" max="4354" width="6.25" style="2890" customWidth="1"/>
    <col min="4355" max="4355" width="7.875" style="2890" customWidth="1"/>
    <col min="4356" max="4357" width="13.875" style="2890" customWidth="1"/>
    <col min="4358" max="4358" width="26.125" style="2890" customWidth="1"/>
    <col min="4359" max="4359" width="7.875" style="2890" customWidth="1"/>
    <col min="4360" max="4360" width="29.375" style="2890" customWidth="1"/>
    <col min="4361" max="4362" width="9" style="2890" customWidth="1"/>
    <col min="4363" max="4364" width="10.625" style="2890" customWidth="1"/>
    <col min="4365" max="4365" width="14.375" style="2890" customWidth="1"/>
    <col min="4366" max="4366" width="6.25" style="2890" customWidth="1"/>
    <col min="4367" max="4367" width="29.375" style="2890" customWidth="1"/>
    <col min="4368" max="4368" width="7.875" style="2890" customWidth="1"/>
    <col min="4369" max="4608" width="9" style="2890"/>
    <col min="4609" max="4609" width="40.625" style="2890" customWidth="1"/>
    <col min="4610" max="4610" width="6.25" style="2890" customWidth="1"/>
    <col min="4611" max="4611" width="7.875" style="2890" customWidth="1"/>
    <col min="4612" max="4613" width="13.875" style="2890" customWidth="1"/>
    <col min="4614" max="4614" width="26.125" style="2890" customWidth="1"/>
    <col min="4615" max="4615" width="7.875" style="2890" customWidth="1"/>
    <col min="4616" max="4616" width="29.375" style="2890" customWidth="1"/>
    <col min="4617" max="4618" width="9" style="2890" customWidth="1"/>
    <col min="4619" max="4620" width="10.625" style="2890" customWidth="1"/>
    <col min="4621" max="4621" width="14.375" style="2890" customWidth="1"/>
    <col min="4622" max="4622" width="6.25" style="2890" customWidth="1"/>
    <col min="4623" max="4623" width="29.375" style="2890" customWidth="1"/>
    <col min="4624" max="4624" width="7.875" style="2890" customWidth="1"/>
    <col min="4625" max="4864" width="9" style="2890"/>
    <col min="4865" max="4865" width="40.625" style="2890" customWidth="1"/>
    <col min="4866" max="4866" width="6.25" style="2890" customWidth="1"/>
    <col min="4867" max="4867" width="7.875" style="2890" customWidth="1"/>
    <col min="4868" max="4869" width="13.875" style="2890" customWidth="1"/>
    <col min="4870" max="4870" width="26.125" style="2890" customWidth="1"/>
    <col min="4871" max="4871" width="7.875" style="2890" customWidth="1"/>
    <col min="4872" max="4872" width="29.375" style="2890" customWidth="1"/>
    <col min="4873" max="4874" width="9" style="2890" customWidth="1"/>
    <col min="4875" max="4876" width="10.625" style="2890" customWidth="1"/>
    <col min="4877" max="4877" width="14.375" style="2890" customWidth="1"/>
    <col min="4878" max="4878" width="6.25" style="2890" customWidth="1"/>
    <col min="4879" max="4879" width="29.375" style="2890" customWidth="1"/>
    <col min="4880" max="4880" width="7.875" style="2890" customWidth="1"/>
    <col min="4881" max="5120" width="9" style="2890"/>
    <col min="5121" max="5121" width="40.625" style="2890" customWidth="1"/>
    <col min="5122" max="5122" width="6.25" style="2890" customWidth="1"/>
    <col min="5123" max="5123" width="7.875" style="2890" customWidth="1"/>
    <col min="5124" max="5125" width="13.875" style="2890" customWidth="1"/>
    <col min="5126" max="5126" width="26.125" style="2890" customWidth="1"/>
    <col min="5127" max="5127" width="7.875" style="2890" customWidth="1"/>
    <col min="5128" max="5128" width="29.375" style="2890" customWidth="1"/>
    <col min="5129" max="5130" width="9" style="2890" customWidth="1"/>
    <col min="5131" max="5132" width="10.625" style="2890" customWidth="1"/>
    <col min="5133" max="5133" width="14.375" style="2890" customWidth="1"/>
    <col min="5134" max="5134" width="6.25" style="2890" customWidth="1"/>
    <col min="5135" max="5135" width="29.375" style="2890" customWidth="1"/>
    <col min="5136" max="5136" width="7.875" style="2890" customWidth="1"/>
    <col min="5137" max="5376" width="9" style="2890"/>
    <col min="5377" max="5377" width="40.625" style="2890" customWidth="1"/>
    <col min="5378" max="5378" width="6.25" style="2890" customWidth="1"/>
    <col min="5379" max="5379" width="7.875" style="2890" customWidth="1"/>
    <col min="5380" max="5381" width="13.875" style="2890" customWidth="1"/>
    <col min="5382" max="5382" width="26.125" style="2890" customWidth="1"/>
    <col min="5383" max="5383" width="7.875" style="2890" customWidth="1"/>
    <col min="5384" max="5384" width="29.375" style="2890" customWidth="1"/>
    <col min="5385" max="5386" width="9" style="2890" customWidth="1"/>
    <col min="5387" max="5388" width="10.625" style="2890" customWidth="1"/>
    <col min="5389" max="5389" width="14.375" style="2890" customWidth="1"/>
    <col min="5390" max="5390" width="6.25" style="2890" customWidth="1"/>
    <col min="5391" max="5391" width="29.375" style="2890" customWidth="1"/>
    <col min="5392" max="5392" width="7.875" style="2890" customWidth="1"/>
    <col min="5393" max="5632" width="9" style="2890"/>
    <col min="5633" max="5633" width="40.625" style="2890" customWidth="1"/>
    <col min="5634" max="5634" width="6.25" style="2890" customWidth="1"/>
    <col min="5635" max="5635" width="7.875" style="2890" customWidth="1"/>
    <col min="5636" max="5637" width="13.875" style="2890" customWidth="1"/>
    <col min="5638" max="5638" width="26.125" style="2890" customWidth="1"/>
    <col min="5639" max="5639" width="7.875" style="2890" customWidth="1"/>
    <col min="5640" max="5640" width="29.375" style="2890" customWidth="1"/>
    <col min="5641" max="5642" width="9" style="2890" customWidth="1"/>
    <col min="5643" max="5644" width="10.625" style="2890" customWidth="1"/>
    <col min="5645" max="5645" width="14.375" style="2890" customWidth="1"/>
    <col min="5646" max="5646" width="6.25" style="2890" customWidth="1"/>
    <col min="5647" max="5647" width="29.375" style="2890" customWidth="1"/>
    <col min="5648" max="5648" width="7.875" style="2890" customWidth="1"/>
    <col min="5649" max="5888" width="9" style="2890"/>
    <col min="5889" max="5889" width="40.625" style="2890" customWidth="1"/>
    <col min="5890" max="5890" width="6.25" style="2890" customWidth="1"/>
    <col min="5891" max="5891" width="7.875" style="2890" customWidth="1"/>
    <col min="5892" max="5893" width="13.875" style="2890" customWidth="1"/>
    <col min="5894" max="5894" width="26.125" style="2890" customWidth="1"/>
    <col min="5895" max="5895" width="7.875" style="2890" customWidth="1"/>
    <col min="5896" max="5896" width="29.375" style="2890" customWidth="1"/>
    <col min="5897" max="5898" width="9" style="2890" customWidth="1"/>
    <col min="5899" max="5900" width="10.625" style="2890" customWidth="1"/>
    <col min="5901" max="5901" width="14.375" style="2890" customWidth="1"/>
    <col min="5902" max="5902" width="6.25" style="2890" customWidth="1"/>
    <col min="5903" max="5903" width="29.375" style="2890" customWidth="1"/>
    <col min="5904" max="5904" width="7.875" style="2890" customWidth="1"/>
    <col min="5905" max="6144" width="9" style="2890"/>
    <col min="6145" max="6145" width="40.625" style="2890" customWidth="1"/>
    <col min="6146" max="6146" width="6.25" style="2890" customWidth="1"/>
    <col min="6147" max="6147" width="7.875" style="2890" customWidth="1"/>
    <col min="6148" max="6149" width="13.875" style="2890" customWidth="1"/>
    <col min="6150" max="6150" width="26.125" style="2890" customWidth="1"/>
    <col min="6151" max="6151" width="7.875" style="2890" customWidth="1"/>
    <col min="6152" max="6152" width="29.375" style="2890" customWidth="1"/>
    <col min="6153" max="6154" width="9" style="2890" customWidth="1"/>
    <col min="6155" max="6156" width="10.625" style="2890" customWidth="1"/>
    <col min="6157" max="6157" width="14.375" style="2890" customWidth="1"/>
    <col min="6158" max="6158" width="6.25" style="2890" customWidth="1"/>
    <col min="6159" max="6159" width="29.375" style="2890" customWidth="1"/>
    <col min="6160" max="6160" width="7.875" style="2890" customWidth="1"/>
    <col min="6161" max="6400" width="9" style="2890"/>
    <col min="6401" max="6401" width="40.625" style="2890" customWidth="1"/>
    <col min="6402" max="6402" width="6.25" style="2890" customWidth="1"/>
    <col min="6403" max="6403" width="7.875" style="2890" customWidth="1"/>
    <col min="6404" max="6405" width="13.875" style="2890" customWidth="1"/>
    <col min="6406" max="6406" width="26.125" style="2890" customWidth="1"/>
    <col min="6407" max="6407" width="7.875" style="2890" customWidth="1"/>
    <col min="6408" max="6408" width="29.375" style="2890" customWidth="1"/>
    <col min="6409" max="6410" width="9" style="2890" customWidth="1"/>
    <col min="6411" max="6412" width="10.625" style="2890" customWidth="1"/>
    <col min="6413" max="6413" width="14.375" style="2890" customWidth="1"/>
    <col min="6414" max="6414" width="6.25" style="2890" customWidth="1"/>
    <col min="6415" max="6415" width="29.375" style="2890" customWidth="1"/>
    <col min="6416" max="6416" width="7.875" style="2890" customWidth="1"/>
    <col min="6417" max="6656" width="9" style="2890"/>
    <col min="6657" max="6657" width="40.625" style="2890" customWidth="1"/>
    <col min="6658" max="6658" width="6.25" style="2890" customWidth="1"/>
    <col min="6659" max="6659" width="7.875" style="2890" customWidth="1"/>
    <col min="6660" max="6661" width="13.875" style="2890" customWidth="1"/>
    <col min="6662" max="6662" width="26.125" style="2890" customWidth="1"/>
    <col min="6663" max="6663" width="7.875" style="2890" customWidth="1"/>
    <col min="6664" max="6664" width="29.375" style="2890" customWidth="1"/>
    <col min="6665" max="6666" width="9" style="2890" customWidth="1"/>
    <col min="6667" max="6668" width="10.625" style="2890" customWidth="1"/>
    <col min="6669" max="6669" width="14.375" style="2890" customWidth="1"/>
    <col min="6670" max="6670" width="6.25" style="2890" customWidth="1"/>
    <col min="6671" max="6671" width="29.375" style="2890" customWidth="1"/>
    <col min="6672" max="6672" width="7.875" style="2890" customWidth="1"/>
    <col min="6673" max="6912" width="9" style="2890"/>
    <col min="6913" max="6913" width="40.625" style="2890" customWidth="1"/>
    <col min="6914" max="6914" width="6.25" style="2890" customWidth="1"/>
    <col min="6915" max="6915" width="7.875" style="2890" customWidth="1"/>
    <col min="6916" max="6917" width="13.875" style="2890" customWidth="1"/>
    <col min="6918" max="6918" width="26.125" style="2890" customWidth="1"/>
    <col min="6919" max="6919" width="7.875" style="2890" customWidth="1"/>
    <col min="6920" max="6920" width="29.375" style="2890" customWidth="1"/>
    <col min="6921" max="6922" width="9" style="2890" customWidth="1"/>
    <col min="6923" max="6924" width="10.625" style="2890" customWidth="1"/>
    <col min="6925" max="6925" width="14.375" style="2890" customWidth="1"/>
    <col min="6926" max="6926" width="6.25" style="2890" customWidth="1"/>
    <col min="6927" max="6927" width="29.375" style="2890" customWidth="1"/>
    <col min="6928" max="6928" width="7.875" style="2890" customWidth="1"/>
    <col min="6929" max="7168" width="9" style="2890"/>
    <col min="7169" max="7169" width="40.625" style="2890" customWidth="1"/>
    <col min="7170" max="7170" width="6.25" style="2890" customWidth="1"/>
    <col min="7171" max="7171" width="7.875" style="2890" customWidth="1"/>
    <col min="7172" max="7173" width="13.875" style="2890" customWidth="1"/>
    <col min="7174" max="7174" width="26.125" style="2890" customWidth="1"/>
    <col min="7175" max="7175" width="7.875" style="2890" customWidth="1"/>
    <col min="7176" max="7176" width="29.375" style="2890" customWidth="1"/>
    <col min="7177" max="7178" width="9" style="2890" customWidth="1"/>
    <col min="7179" max="7180" width="10.625" style="2890" customWidth="1"/>
    <col min="7181" max="7181" width="14.375" style="2890" customWidth="1"/>
    <col min="7182" max="7182" width="6.25" style="2890" customWidth="1"/>
    <col min="7183" max="7183" width="29.375" style="2890" customWidth="1"/>
    <col min="7184" max="7184" width="7.875" style="2890" customWidth="1"/>
    <col min="7185" max="7424" width="9" style="2890"/>
    <col min="7425" max="7425" width="40.625" style="2890" customWidth="1"/>
    <col min="7426" max="7426" width="6.25" style="2890" customWidth="1"/>
    <col min="7427" max="7427" width="7.875" style="2890" customWidth="1"/>
    <col min="7428" max="7429" width="13.875" style="2890" customWidth="1"/>
    <col min="7430" max="7430" width="26.125" style="2890" customWidth="1"/>
    <col min="7431" max="7431" width="7.875" style="2890" customWidth="1"/>
    <col min="7432" max="7432" width="29.375" style="2890" customWidth="1"/>
    <col min="7433" max="7434" width="9" style="2890" customWidth="1"/>
    <col min="7435" max="7436" width="10.625" style="2890" customWidth="1"/>
    <col min="7437" max="7437" width="14.375" style="2890" customWidth="1"/>
    <col min="7438" max="7438" width="6.25" style="2890" customWidth="1"/>
    <col min="7439" max="7439" width="29.375" style="2890" customWidth="1"/>
    <col min="7440" max="7440" width="7.875" style="2890" customWidth="1"/>
    <col min="7441" max="7680" width="9" style="2890"/>
    <col min="7681" max="7681" width="40.625" style="2890" customWidth="1"/>
    <col min="7682" max="7682" width="6.25" style="2890" customWidth="1"/>
    <col min="7683" max="7683" width="7.875" style="2890" customWidth="1"/>
    <col min="7684" max="7685" width="13.875" style="2890" customWidth="1"/>
    <col min="7686" max="7686" width="26.125" style="2890" customWidth="1"/>
    <col min="7687" max="7687" width="7.875" style="2890" customWidth="1"/>
    <col min="7688" max="7688" width="29.375" style="2890" customWidth="1"/>
    <col min="7689" max="7690" width="9" style="2890" customWidth="1"/>
    <col min="7691" max="7692" width="10.625" style="2890" customWidth="1"/>
    <col min="7693" max="7693" width="14.375" style="2890" customWidth="1"/>
    <col min="7694" max="7694" width="6.25" style="2890" customWidth="1"/>
    <col min="7695" max="7695" width="29.375" style="2890" customWidth="1"/>
    <col min="7696" max="7696" width="7.875" style="2890" customWidth="1"/>
    <col min="7697" max="7936" width="9" style="2890"/>
    <col min="7937" max="7937" width="40.625" style="2890" customWidth="1"/>
    <col min="7938" max="7938" width="6.25" style="2890" customWidth="1"/>
    <col min="7939" max="7939" width="7.875" style="2890" customWidth="1"/>
    <col min="7940" max="7941" width="13.875" style="2890" customWidth="1"/>
    <col min="7942" max="7942" width="26.125" style="2890" customWidth="1"/>
    <col min="7943" max="7943" width="7.875" style="2890" customWidth="1"/>
    <col min="7944" max="7944" width="29.375" style="2890" customWidth="1"/>
    <col min="7945" max="7946" width="9" style="2890" customWidth="1"/>
    <col min="7947" max="7948" width="10.625" style="2890" customWidth="1"/>
    <col min="7949" max="7949" width="14.375" style="2890" customWidth="1"/>
    <col min="7950" max="7950" width="6.25" style="2890" customWidth="1"/>
    <col min="7951" max="7951" width="29.375" style="2890" customWidth="1"/>
    <col min="7952" max="7952" width="7.875" style="2890" customWidth="1"/>
    <col min="7953" max="8192" width="9" style="2890"/>
    <col min="8193" max="8193" width="40.625" style="2890" customWidth="1"/>
    <col min="8194" max="8194" width="6.25" style="2890" customWidth="1"/>
    <col min="8195" max="8195" width="7.875" style="2890" customWidth="1"/>
    <col min="8196" max="8197" width="13.875" style="2890" customWidth="1"/>
    <col min="8198" max="8198" width="26.125" style="2890" customWidth="1"/>
    <col min="8199" max="8199" width="7.875" style="2890" customWidth="1"/>
    <col min="8200" max="8200" width="29.375" style="2890" customWidth="1"/>
    <col min="8201" max="8202" width="9" style="2890" customWidth="1"/>
    <col min="8203" max="8204" width="10.625" style="2890" customWidth="1"/>
    <col min="8205" max="8205" width="14.375" style="2890" customWidth="1"/>
    <col min="8206" max="8206" width="6.25" style="2890" customWidth="1"/>
    <col min="8207" max="8207" width="29.375" style="2890" customWidth="1"/>
    <col min="8208" max="8208" width="7.875" style="2890" customWidth="1"/>
    <col min="8209" max="8448" width="9" style="2890"/>
    <col min="8449" max="8449" width="40.625" style="2890" customWidth="1"/>
    <col min="8450" max="8450" width="6.25" style="2890" customWidth="1"/>
    <col min="8451" max="8451" width="7.875" style="2890" customWidth="1"/>
    <col min="8452" max="8453" width="13.875" style="2890" customWidth="1"/>
    <col min="8454" max="8454" width="26.125" style="2890" customWidth="1"/>
    <col min="8455" max="8455" width="7.875" style="2890" customWidth="1"/>
    <col min="8456" max="8456" width="29.375" style="2890" customWidth="1"/>
    <col min="8457" max="8458" width="9" style="2890" customWidth="1"/>
    <col min="8459" max="8460" width="10.625" style="2890" customWidth="1"/>
    <col min="8461" max="8461" width="14.375" style="2890" customWidth="1"/>
    <col min="8462" max="8462" width="6.25" style="2890" customWidth="1"/>
    <col min="8463" max="8463" width="29.375" style="2890" customWidth="1"/>
    <col min="8464" max="8464" width="7.875" style="2890" customWidth="1"/>
    <col min="8465" max="8704" width="9" style="2890"/>
    <col min="8705" max="8705" width="40.625" style="2890" customWidth="1"/>
    <col min="8706" max="8706" width="6.25" style="2890" customWidth="1"/>
    <col min="8707" max="8707" width="7.875" style="2890" customWidth="1"/>
    <col min="8708" max="8709" width="13.875" style="2890" customWidth="1"/>
    <col min="8710" max="8710" width="26.125" style="2890" customWidth="1"/>
    <col min="8711" max="8711" width="7.875" style="2890" customWidth="1"/>
    <col min="8712" max="8712" width="29.375" style="2890" customWidth="1"/>
    <col min="8713" max="8714" width="9" style="2890" customWidth="1"/>
    <col min="8715" max="8716" width="10.625" style="2890" customWidth="1"/>
    <col min="8717" max="8717" width="14.375" style="2890" customWidth="1"/>
    <col min="8718" max="8718" width="6.25" style="2890" customWidth="1"/>
    <col min="8719" max="8719" width="29.375" style="2890" customWidth="1"/>
    <col min="8720" max="8720" width="7.875" style="2890" customWidth="1"/>
    <col min="8721" max="8960" width="9" style="2890"/>
    <col min="8961" max="8961" width="40.625" style="2890" customWidth="1"/>
    <col min="8962" max="8962" width="6.25" style="2890" customWidth="1"/>
    <col min="8963" max="8963" width="7.875" style="2890" customWidth="1"/>
    <col min="8964" max="8965" width="13.875" style="2890" customWidth="1"/>
    <col min="8966" max="8966" width="26.125" style="2890" customWidth="1"/>
    <col min="8967" max="8967" width="7.875" style="2890" customWidth="1"/>
    <col min="8968" max="8968" width="29.375" style="2890" customWidth="1"/>
    <col min="8969" max="8970" width="9" style="2890" customWidth="1"/>
    <col min="8971" max="8972" width="10.625" style="2890" customWidth="1"/>
    <col min="8973" max="8973" width="14.375" style="2890" customWidth="1"/>
    <col min="8974" max="8974" width="6.25" style="2890" customWidth="1"/>
    <col min="8975" max="8975" width="29.375" style="2890" customWidth="1"/>
    <col min="8976" max="8976" width="7.875" style="2890" customWidth="1"/>
    <col min="8977" max="9216" width="9" style="2890"/>
    <col min="9217" max="9217" width="40.625" style="2890" customWidth="1"/>
    <col min="9218" max="9218" width="6.25" style="2890" customWidth="1"/>
    <col min="9219" max="9219" width="7.875" style="2890" customWidth="1"/>
    <col min="9220" max="9221" width="13.875" style="2890" customWidth="1"/>
    <col min="9222" max="9222" width="26.125" style="2890" customWidth="1"/>
    <col min="9223" max="9223" width="7.875" style="2890" customWidth="1"/>
    <col min="9224" max="9224" width="29.375" style="2890" customWidth="1"/>
    <col min="9225" max="9226" width="9" style="2890" customWidth="1"/>
    <col min="9227" max="9228" width="10.625" style="2890" customWidth="1"/>
    <col min="9229" max="9229" width="14.375" style="2890" customWidth="1"/>
    <col min="9230" max="9230" width="6.25" style="2890" customWidth="1"/>
    <col min="9231" max="9231" width="29.375" style="2890" customWidth="1"/>
    <col min="9232" max="9232" width="7.875" style="2890" customWidth="1"/>
    <col min="9233" max="9472" width="9" style="2890"/>
    <col min="9473" max="9473" width="40.625" style="2890" customWidth="1"/>
    <col min="9474" max="9474" width="6.25" style="2890" customWidth="1"/>
    <col min="9475" max="9475" width="7.875" style="2890" customWidth="1"/>
    <col min="9476" max="9477" width="13.875" style="2890" customWidth="1"/>
    <col min="9478" max="9478" width="26.125" style="2890" customWidth="1"/>
    <col min="9479" max="9479" width="7.875" style="2890" customWidth="1"/>
    <col min="9480" max="9480" width="29.375" style="2890" customWidth="1"/>
    <col min="9481" max="9482" width="9" style="2890" customWidth="1"/>
    <col min="9483" max="9484" width="10.625" style="2890" customWidth="1"/>
    <col min="9485" max="9485" width="14.375" style="2890" customWidth="1"/>
    <col min="9486" max="9486" width="6.25" style="2890" customWidth="1"/>
    <col min="9487" max="9487" width="29.375" style="2890" customWidth="1"/>
    <col min="9488" max="9488" width="7.875" style="2890" customWidth="1"/>
    <col min="9489" max="9728" width="9" style="2890"/>
    <col min="9729" max="9729" width="40.625" style="2890" customWidth="1"/>
    <col min="9730" max="9730" width="6.25" style="2890" customWidth="1"/>
    <col min="9731" max="9731" width="7.875" style="2890" customWidth="1"/>
    <col min="9732" max="9733" width="13.875" style="2890" customWidth="1"/>
    <col min="9734" max="9734" width="26.125" style="2890" customWidth="1"/>
    <col min="9735" max="9735" width="7.875" style="2890" customWidth="1"/>
    <col min="9736" max="9736" width="29.375" style="2890" customWidth="1"/>
    <col min="9737" max="9738" width="9" style="2890" customWidth="1"/>
    <col min="9739" max="9740" width="10.625" style="2890" customWidth="1"/>
    <col min="9741" max="9741" width="14.375" style="2890" customWidth="1"/>
    <col min="9742" max="9742" width="6.25" style="2890" customWidth="1"/>
    <col min="9743" max="9743" width="29.375" style="2890" customWidth="1"/>
    <col min="9744" max="9744" width="7.875" style="2890" customWidth="1"/>
    <col min="9745" max="9984" width="9" style="2890"/>
    <col min="9985" max="9985" width="40.625" style="2890" customWidth="1"/>
    <col min="9986" max="9986" width="6.25" style="2890" customWidth="1"/>
    <col min="9987" max="9987" width="7.875" style="2890" customWidth="1"/>
    <col min="9988" max="9989" width="13.875" style="2890" customWidth="1"/>
    <col min="9990" max="9990" width="26.125" style="2890" customWidth="1"/>
    <col min="9991" max="9991" width="7.875" style="2890" customWidth="1"/>
    <col min="9992" max="9992" width="29.375" style="2890" customWidth="1"/>
    <col min="9993" max="9994" width="9" style="2890" customWidth="1"/>
    <col min="9995" max="9996" width="10.625" style="2890" customWidth="1"/>
    <col min="9997" max="9997" width="14.375" style="2890" customWidth="1"/>
    <col min="9998" max="9998" width="6.25" style="2890" customWidth="1"/>
    <col min="9999" max="9999" width="29.375" style="2890" customWidth="1"/>
    <col min="10000" max="10000" width="7.875" style="2890" customWidth="1"/>
    <col min="10001" max="10240" width="9" style="2890"/>
    <col min="10241" max="10241" width="40.625" style="2890" customWidth="1"/>
    <col min="10242" max="10242" width="6.25" style="2890" customWidth="1"/>
    <col min="10243" max="10243" width="7.875" style="2890" customWidth="1"/>
    <col min="10244" max="10245" width="13.875" style="2890" customWidth="1"/>
    <col min="10246" max="10246" width="26.125" style="2890" customWidth="1"/>
    <col min="10247" max="10247" width="7.875" style="2890" customWidth="1"/>
    <col min="10248" max="10248" width="29.375" style="2890" customWidth="1"/>
    <col min="10249" max="10250" width="9" style="2890" customWidth="1"/>
    <col min="10251" max="10252" width="10.625" style="2890" customWidth="1"/>
    <col min="10253" max="10253" width="14.375" style="2890" customWidth="1"/>
    <col min="10254" max="10254" width="6.25" style="2890" customWidth="1"/>
    <col min="10255" max="10255" width="29.375" style="2890" customWidth="1"/>
    <col min="10256" max="10256" width="7.875" style="2890" customWidth="1"/>
    <col min="10257" max="10496" width="9" style="2890"/>
    <col min="10497" max="10497" width="40.625" style="2890" customWidth="1"/>
    <col min="10498" max="10498" width="6.25" style="2890" customWidth="1"/>
    <col min="10499" max="10499" width="7.875" style="2890" customWidth="1"/>
    <col min="10500" max="10501" width="13.875" style="2890" customWidth="1"/>
    <col min="10502" max="10502" width="26.125" style="2890" customWidth="1"/>
    <col min="10503" max="10503" width="7.875" style="2890" customWidth="1"/>
    <col min="10504" max="10504" width="29.375" style="2890" customWidth="1"/>
    <col min="10505" max="10506" width="9" style="2890" customWidth="1"/>
    <col min="10507" max="10508" width="10.625" style="2890" customWidth="1"/>
    <col min="10509" max="10509" width="14.375" style="2890" customWidth="1"/>
    <col min="10510" max="10510" width="6.25" style="2890" customWidth="1"/>
    <col min="10511" max="10511" width="29.375" style="2890" customWidth="1"/>
    <col min="10512" max="10512" width="7.875" style="2890" customWidth="1"/>
    <col min="10513" max="10752" width="9" style="2890"/>
    <col min="10753" max="10753" width="40.625" style="2890" customWidth="1"/>
    <col min="10754" max="10754" width="6.25" style="2890" customWidth="1"/>
    <col min="10755" max="10755" width="7.875" style="2890" customWidth="1"/>
    <col min="10756" max="10757" width="13.875" style="2890" customWidth="1"/>
    <col min="10758" max="10758" width="26.125" style="2890" customWidth="1"/>
    <col min="10759" max="10759" width="7.875" style="2890" customWidth="1"/>
    <col min="10760" max="10760" width="29.375" style="2890" customWidth="1"/>
    <col min="10761" max="10762" width="9" style="2890" customWidth="1"/>
    <col min="10763" max="10764" width="10.625" style="2890" customWidth="1"/>
    <col min="10765" max="10765" width="14.375" style="2890" customWidth="1"/>
    <col min="10766" max="10766" width="6.25" style="2890" customWidth="1"/>
    <col min="10767" max="10767" width="29.375" style="2890" customWidth="1"/>
    <col min="10768" max="10768" width="7.875" style="2890" customWidth="1"/>
    <col min="10769" max="11008" width="9" style="2890"/>
    <col min="11009" max="11009" width="40.625" style="2890" customWidth="1"/>
    <col min="11010" max="11010" width="6.25" style="2890" customWidth="1"/>
    <col min="11011" max="11011" width="7.875" style="2890" customWidth="1"/>
    <col min="11012" max="11013" width="13.875" style="2890" customWidth="1"/>
    <col min="11014" max="11014" width="26.125" style="2890" customWidth="1"/>
    <col min="11015" max="11015" width="7.875" style="2890" customWidth="1"/>
    <col min="11016" max="11016" width="29.375" style="2890" customWidth="1"/>
    <col min="11017" max="11018" width="9" style="2890" customWidth="1"/>
    <col min="11019" max="11020" width="10.625" style="2890" customWidth="1"/>
    <col min="11021" max="11021" width="14.375" style="2890" customWidth="1"/>
    <col min="11022" max="11022" width="6.25" style="2890" customWidth="1"/>
    <col min="11023" max="11023" width="29.375" style="2890" customWidth="1"/>
    <col min="11024" max="11024" width="7.875" style="2890" customWidth="1"/>
    <col min="11025" max="11264" width="9" style="2890"/>
    <col min="11265" max="11265" width="40.625" style="2890" customWidth="1"/>
    <col min="11266" max="11266" width="6.25" style="2890" customWidth="1"/>
    <col min="11267" max="11267" width="7.875" style="2890" customWidth="1"/>
    <col min="11268" max="11269" width="13.875" style="2890" customWidth="1"/>
    <col min="11270" max="11270" width="26.125" style="2890" customWidth="1"/>
    <col min="11271" max="11271" width="7.875" style="2890" customWidth="1"/>
    <col min="11272" max="11272" width="29.375" style="2890" customWidth="1"/>
    <col min="11273" max="11274" width="9" style="2890" customWidth="1"/>
    <col min="11275" max="11276" width="10.625" style="2890" customWidth="1"/>
    <col min="11277" max="11277" width="14.375" style="2890" customWidth="1"/>
    <col min="11278" max="11278" width="6.25" style="2890" customWidth="1"/>
    <col min="11279" max="11279" width="29.375" style="2890" customWidth="1"/>
    <col min="11280" max="11280" width="7.875" style="2890" customWidth="1"/>
    <col min="11281" max="11520" width="9" style="2890"/>
    <col min="11521" max="11521" width="40.625" style="2890" customWidth="1"/>
    <col min="11522" max="11522" width="6.25" style="2890" customWidth="1"/>
    <col min="11523" max="11523" width="7.875" style="2890" customWidth="1"/>
    <col min="11524" max="11525" width="13.875" style="2890" customWidth="1"/>
    <col min="11526" max="11526" width="26.125" style="2890" customWidth="1"/>
    <col min="11527" max="11527" width="7.875" style="2890" customWidth="1"/>
    <col min="11528" max="11528" width="29.375" style="2890" customWidth="1"/>
    <col min="11529" max="11530" width="9" style="2890" customWidth="1"/>
    <col min="11531" max="11532" width="10.625" style="2890" customWidth="1"/>
    <col min="11533" max="11533" width="14.375" style="2890" customWidth="1"/>
    <col min="11534" max="11534" width="6.25" style="2890" customWidth="1"/>
    <col min="11535" max="11535" width="29.375" style="2890" customWidth="1"/>
    <col min="11536" max="11536" width="7.875" style="2890" customWidth="1"/>
    <col min="11537" max="11776" width="9" style="2890"/>
    <col min="11777" max="11777" width="40.625" style="2890" customWidth="1"/>
    <col min="11778" max="11778" width="6.25" style="2890" customWidth="1"/>
    <col min="11779" max="11779" width="7.875" style="2890" customWidth="1"/>
    <col min="11780" max="11781" width="13.875" style="2890" customWidth="1"/>
    <col min="11782" max="11782" width="26.125" style="2890" customWidth="1"/>
    <col min="11783" max="11783" width="7.875" style="2890" customWidth="1"/>
    <col min="11784" max="11784" width="29.375" style="2890" customWidth="1"/>
    <col min="11785" max="11786" width="9" style="2890" customWidth="1"/>
    <col min="11787" max="11788" width="10.625" style="2890" customWidth="1"/>
    <col min="11789" max="11789" width="14.375" style="2890" customWidth="1"/>
    <col min="11790" max="11790" width="6.25" style="2890" customWidth="1"/>
    <col min="11791" max="11791" width="29.375" style="2890" customWidth="1"/>
    <col min="11792" max="11792" width="7.875" style="2890" customWidth="1"/>
    <col min="11793" max="12032" width="9" style="2890"/>
    <col min="12033" max="12033" width="40.625" style="2890" customWidth="1"/>
    <col min="12034" max="12034" width="6.25" style="2890" customWidth="1"/>
    <col min="12035" max="12035" width="7.875" style="2890" customWidth="1"/>
    <col min="12036" max="12037" width="13.875" style="2890" customWidth="1"/>
    <col min="12038" max="12038" width="26.125" style="2890" customWidth="1"/>
    <col min="12039" max="12039" width="7.875" style="2890" customWidth="1"/>
    <col min="12040" max="12040" width="29.375" style="2890" customWidth="1"/>
    <col min="12041" max="12042" width="9" style="2890" customWidth="1"/>
    <col min="12043" max="12044" width="10.625" style="2890" customWidth="1"/>
    <col min="12045" max="12045" width="14.375" style="2890" customWidth="1"/>
    <col min="12046" max="12046" width="6.25" style="2890" customWidth="1"/>
    <col min="12047" max="12047" width="29.375" style="2890" customWidth="1"/>
    <col min="12048" max="12048" width="7.875" style="2890" customWidth="1"/>
    <col min="12049" max="12288" width="9" style="2890"/>
    <col min="12289" max="12289" width="40.625" style="2890" customWidth="1"/>
    <col min="12290" max="12290" width="6.25" style="2890" customWidth="1"/>
    <col min="12291" max="12291" width="7.875" style="2890" customWidth="1"/>
    <col min="12292" max="12293" width="13.875" style="2890" customWidth="1"/>
    <col min="12294" max="12294" width="26.125" style="2890" customWidth="1"/>
    <col min="12295" max="12295" width="7.875" style="2890" customWidth="1"/>
    <col min="12296" max="12296" width="29.375" style="2890" customWidth="1"/>
    <col min="12297" max="12298" width="9" style="2890" customWidth="1"/>
    <col min="12299" max="12300" width="10.625" style="2890" customWidth="1"/>
    <col min="12301" max="12301" width="14.375" style="2890" customWidth="1"/>
    <col min="12302" max="12302" width="6.25" style="2890" customWidth="1"/>
    <col min="12303" max="12303" width="29.375" style="2890" customWidth="1"/>
    <col min="12304" max="12304" width="7.875" style="2890" customWidth="1"/>
    <col min="12305" max="12544" width="9" style="2890"/>
    <col min="12545" max="12545" width="40.625" style="2890" customWidth="1"/>
    <col min="12546" max="12546" width="6.25" style="2890" customWidth="1"/>
    <col min="12547" max="12547" width="7.875" style="2890" customWidth="1"/>
    <col min="12548" max="12549" width="13.875" style="2890" customWidth="1"/>
    <col min="12550" max="12550" width="26.125" style="2890" customWidth="1"/>
    <col min="12551" max="12551" width="7.875" style="2890" customWidth="1"/>
    <col min="12552" max="12552" width="29.375" style="2890" customWidth="1"/>
    <col min="12553" max="12554" width="9" style="2890" customWidth="1"/>
    <col min="12555" max="12556" width="10.625" style="2890" customWidth="1"/>
    <col min="12557" max="12557" width="14.375" style="2890" customWidth="1"/>
    <col min="12558" max="12558" width="6.25" style="2890" customWidth="1"/>
    <col min="12559" max="12559" width="29.375" style="2890" customWidth="1"/>
    <col min="12560" max="12560" width="7.875" style="2890" customWidth="1"/>
    <col min="12561" max="12800" width="9" style="2890"/>
    <col min="12801" max="12801" width="40.625" style="2890" customWidth="1"/>
    <col min="12802" max="12802" width="6.25" style="2890" customWidth="1"/>
    <col min="12803" max="12803" width="7.875" style="2890" customWidth="1"/>
    <col min="12804" max="12805" width="13.875" style="2890" customWidth="1"/>
    <col min="12806" max="12806" width="26.125" style="2890" customWidth="1"/>
    <col min="12807" max="12807" width="7.875" style="2890" customWidth="1"/>
    <col min="12808" max="12808" width="29.375" style="2890" customWidth="1"/>
    <col min="12809" max="12810" width="9" style="2890" customWidth="1"/>
    <col min="12811" max="12812" width="10.625" style="2890" customWidth="1"/>
    <col min="12813" max="12813" width="14.375" style="2890" customWidth="1"/>
    <col min="12814" max="12814" width="6.25" style="2890" customWidth="1"/>
    <col min="12815" max="12815" width="29.375" style="2890" customWidth="1"/>
    <col min="12816" max="12816" width="7.875" style="2890" customWidth="1"/>
    <col min="12817" max="13056" width="9" style="2890"/>
    <col min="13057" max="13057" width="40.625" style="2890" customWidth="1"/>
    <col min="13058" max="13058" width="6.25" style="2890" customWidth="1"/>
    <col min="13059" max="13059" width="7.875" style="2890" customWidth="1"/>
    <col min="13060" max="13061" width="13.875" style="2890" customWidth="1"/>
    <col min="13062" max="13062" width="26.125" style="2890" customWidth="1"/>
    <col min="13063" max="13063" width="7.875" style="2890" customWidth="1"/>
    <col min="13064" max="13064" width="29.375" style="2890" customWidth="1"/>
    <col min="13065" max="13066" width="9" style="2890" customWidth="1"/>
    <col min="13067" max="13068" width="10.625" style="2890" customWidth="1"/>
    <col min="13069" max="13069" width="14.375" style="2890" customWidth="1"/>
    <col min="13070" max="13070" width="6.25" style="2890" customWidth="1"/>
    <col min="13071" max="13071" width="29.375" style="2890" customWidth="1"/>
    <col min="13072" max="13072" width="7.875" style="2890" customWidth="1"/>
    <col min="13073" max="13312" width="9" style="2890"/>
    <col min="13313" max="13313" width="40.625" style="2890" customWidth="1"/>
    <col min="13314" max="13314" width="6.25" style="2890" customWidth="1"/>
    <col min="13315" max="13315" width="7.875" style="2890" customWidth="1"/>
    <col min="13316" max="13317" width="13.875" style="2890" customWidth="1"/>
    <col min="13318" max="13318" width="26.125" style="2890" customWidth="1"/>
    <col min="13319" max="13319" width="7.875" style="2890" customWidth="1"/>
    <col min="13320" max="13320" width="29.375" style="2890" customWidth="1"/>
    <col min="13321" max="13322" width="9" style="2890" customWidth="1"/>
    <col min="13323" max="13324" width="10.625" style="2890" customWidth="1"/>
    <col min="13325" max="13325" width="14.375" style="2890" customWidth="1"/>
    <col min="13326" max="13326" width="6.25" style="2890" customWidth="1"/>
    <col min="13327" max="13327" width="29.375" style="2890" customWidth="1"/>
    <col min="13328" max="13328" width="7.875" style="2890" customWidth="1"/>
    <col min="13329" max="13568" width="9" style="2890"/>
    <col min="13569" max="13569" width="40.625" style="2890" customWidth="1"/>
    <col min="13570" max="13570" width="6.25" style="2890" customWidth="1"/>
    <col min="13571" max="13571" width="7.875" style="2890" customWidth="1"/>
    <col min="13572" max="13573" width="13.875" style="2890" customWidth="1"/>
    <col min="13574" max="13574" width="26.125" style="2890" customWidth="1"/>
    <col min="13575" max="13575" width="7.875" style="2890" customWidth="1"/>
    <col min="13576" max="13576" width="29.375" style="2890" customWidth="1"/>
    <col min="13577" max="13578" width="9" style="2890" customWidth="1"/>
    <col min="13579" max="13580" width="10.625" style="2890" customWidth="1"/>
    <col min="13581" max="13581" width="14.375" style="2890" customWidth="1"/>
    <col min="13582" max="13582" width="6.25" style="2890" customWidth="1"/>
    <col min="13583" max="13583" width="29.375" style="2890" customWidth="1"/>
    <col min="13584" max="13584" width="7.875" style="2890" customWidth="1"/>
    <col min="13585" max="13824" width="9" style="2890"/>
    <col min="13825" max="13825" width="40.625" style="2890" customWidth="1"/>
    <col min="13826" max="13826" width="6.25" style="2890" customWidth="1"/>
    <col min="13827" max="13827" width="7.875" style="2890" customWidth="1"/>
    <col min="13828" max="13829" width="13.875" style="2890" customWidth="1"/>
    <col min="13830" max="13830" width="26.125" style="2890" customWidth="1"/>
    <col min="13831" max="13831" width="7.875" style="2890" customWidth="1"/>
    <col min="13832" max="13832" width="29.375" style="2890" customWidth="1"/>
    <col min="13833" max="13834" width="9" style="2890" customWidth="1"/>
    <col min="13835" max="13836" width="10.625" style="2890" customWidth="1"/>
    <col min="13837" max="13837" width="14.375" style="2890" customWidth="1"/>
    <col min="13838" max="13838" width="6.25" style="2890" customWidth="1"/>
    <col min="13839" max="13839" width="29.375" style="2890" customWidth="1"/>
    <col min="13840" max="13840" width="7.875" style="2890" customWidth="1"/>
    <col min="13841" max="14080" width="9" style="2890"/>
    <col min="14081" max="14081" width="40.625" style="2890" customWidth="1"/>
    <col min="14082" max="14082" width="6.25" style="2890" customWidth="1"/>
    <col min="14083" max="14083" width="7.875" style="2890" customWidth="1"/>
    <col min="14084" max="14085" width="13.875" style="2890" customWidth="1"/>
    <col min="14086" max="14086" width="26.125" style="2890" customWidth="1"/>
    <col min="14087" max="14087" width="7.875" style="2890" customWidth="1"/>
    <col min="14088" max="14088" width="29.375" style="2890" customWidth="1"/>
    <col min="14089" max="14090" width="9" style="2890" customWidth="1"/>
    <col min="14091" max="14092" width="10.625" style="2890" customWidth="1"/>
    <col min="14093" max="14093" width="14.375" style="2890" customWidth="1"/>
    <col min="14094" max="14094" width="6.25" style="2890" customWidth="1"/>
    <col min="14095" max="14095" width="29.375" style="2890" customWidth="1"/>
    <col min="14096" max="14096" width="7.875" style="2890" customWidth="1"/>
    <col min="14097" max="14336" width="9" style="2890"/>
    <col min="14337" max="14337" width="40.625" style="2890" customWidth="1"/>
    <col min="14338" max="14338" width="6.25" style="2890" customWidth="1"/>
    <col min="14339" max="14339" width="7.875" style="2890" customWidth="1"/>
    <col min="14340" max="14341" width="13.875" style="2890" customWidth="1"/>
    <col min="14342" max="14342" width="26.125" style="2890" customWidth="1"/>
    <col min="14343" max="14343" width="7.875" style="2890" customWidth="1"/>
    <col min="14344" max="14344" width="29.375" style="2890" customWidth="1"/>
    <col min="14345" max="14346" width="9" style="2890" customWidth="1"/>
    <col min="14347" max="14348" width="10.625" style="2890" customWidth="1"/>
    <col min="14349" max="14349" width="14.375" style="2890" customWidth="1"/>
    <col min="14350" max="14350" width="6.25" style="2890" customWidth="1"/>
    <col min="14351" max="14351" width="29.375" style="2890" customWidth="1"/>
    <col min="14352" max="14352" width="7.875" style="2890" customWidth="1"/>
    <col min="14353" max="14592" width="9" style="2890"/>
    <col min="14593" max="14593" width="40.625" style="2890" customWidth="1"/>
    <col min="14594" max="14594" width="6.25" style="2890" customWidth="1"/>
    <col min="14595" max="14595" width="7.875" style="2890" customWidth="1"/>
    <col min="14596" max="14597" width="13.875" style="2890" customWidth="1"/>
    <col min="14598" max="14598" width="26.125" style="2890" customWidth="1"/>
    <col min="14599" max="14599" width="7.875" style="2890" customWidth="1"/>
    <col min="14600" max="14600" width="29.375" style="2890" customWidth="1"/>
    <col min="14601" max="14602" width="9" style="2890" customWidth="1"/>
    <col min="14603" max="14604" width="10.625" style="2890" customWidth="1"/>
    <col min="14605" max="14605" width="14.375" style="2890" customWidth="1"/>
    <col min="14606" max="14606" width="6.25" style="2890" customWidth="1"/>
    <col min="14607" max="14607" width="29.375" style="2890" customWidth="1"/>
    <col min="14608" max="14608" width="7.875" style="2890" customWidth="1"/>
    <col min="14609" max="14848" width="9" style="2890"/>
    <col min="14849" max="14849" width="40.625" style="2890" customWidth="1"/>
    <col min="14850" max="14850" width="6.25" style="2890" customWidth="1"/>
    <col min="14851" max="14851" width="7.875" style="2890" customWidth="1"/>
    <col min="14852" max="14853" width="13.875" style="2890" customWidth="1"/>
    <col min="14854" max="14854" width="26.125" style="2890" customWidth="1"/>
    <col min="14855" max="14855" width="7.875" style="2890" customWidth="1"/>
    <col min="14856" max="14856" width="29.375" style="2890" customWidth="1"/>
    <col min="14857" max="14858" width="9" style="2890" customWidth="1"/>
    <col min="14859" max="14860" width="10.625" style="2890" customWidth="1"/>
    <col min="14861" max="14861" width="14.375" style="2890" customWidth="1"/>
    <col min="14862" max="14862" width="6.25" style="2890" customWidth="1"/>
    <col min="14863" max="14863" width="29.375" style="2890" customWidth="1"/>
    <col min="14864" max="14864" width="7.875" style="2890" customWidth="1"/>
    <col min="14865" max="15104" width="9" style="2890"/>
    <col min="15105" max="15105" width="40.625" style="2890" customWidth="1"/>
    <col min="15106" max="15106" width="6.25" style="2890" customWidth="1"/>
    <col min="15107" max="15107" width="7.875" style="2890" customWidth="1"/>
    <col min="15108" max="15109" width="13.875" style="2890" customWidth="1"/>
    <col min="15110" max="15110" width="26.125" style="2890" customWidth="1"/>
    <col min="15111" max="15111" width="7.875" style="2890" customWidth="1"/>
    <col min="15112" max="15112" width="29.375" style="2890" customWidth="1"/>
    <col min="15113" max="15114" width="9" style="2890" customWidth="1"/>
    <col min="15115" max="15116" width="10.625" style="2890" customWidth="1"/>
    <col min="15117" max="15117" width="14.375" style="2890" customWidth="1"/>
    <col min="15118" max="15118" width="6.25" style="2890" customWidth="1"/>
    <col min="15119" max="15119" width="29.375" style="2890" customWidth="1"/>
    <col min="15120" max="15120" width="7.875" style="2890" customWidth="1"/>
    <col min="15121" max="15360" width="9" style="2890"/>
    <col min="15361" max="15361" width="40.625" style="2890" customWidth="1"/>
    <col min="15362" max="15362" width="6.25" style="2890" customWidth="1"/>
    <col min="15363" max="15363" width="7.875" style="2890" customWidth="1"/>
    <col min="15364" max="15365" width="13.875" style="2890" customWidth="1"/>
    <col min="15366" max="15366" width="26.125" style="2890" customWidth="1"/>
    <col min="15367" max="15367" width="7.875" style="2890" customWidth="1"/>
    <col min="15368" max="15368" width="29.375" style="2890" customWidth="1"/>
    <col min="15369" max="15370" width="9" style="2890" customWidth="1"/>
    <col min="15371" max="15372" width="10.625" style="2890" customWidth="1"/>
    <col min="15373" max="15373" width="14.375" style="2890" customWidth="1"/>
    <col min="15374" max="15374" width="6.25" style="2890" customWidth="1"/>
    <col min="15375" max="15375" width="29.375" style="2890" customWidth="1"/>
    <col min="15376" max="15376" width="7.875" style="2890" customWidth="1"/>
    <col min="15377" max="15616" width="9" style="2890"/>
    <col min="15617" max="15617" width="40.625" style="2890" customWidth="1"/>
    <col min="15618" max="15618" width="6.25" style="2890" customWidth="1"/>
    <col min="15619" max="15619" width="7.875" style="2890" customWidth="1"/>
    <col min="15620" max="15621" width="13.875" style="2890" customWidth="1"/>
    <col min="15622" max="15622" width="26.125" style="2890" customWidth="1"/>
    <col min="15623" max="15623" width="7.875" style="2890" customWidth="1"/>
    <col min="15624" max="15624" width="29.375" style="2890" customWidth="1"/>
    <col min="15625" max="15626" width="9" style="2890" customWidth="1"/>
    <col min="15627" max="15628" width="10.625" style="2890" customWidth="1"/>
    <col min="15629" max="15629" width="14.375" style="2890" customWidth="1"/>
    <col min="15630" max="15630" width="6.25" style="2890" customWidth="1"/>
    <col min="15631" max="15631" width="29.375" style="2890" customWidth="1"/>
    <col min="15632" max="15632" width="7.875" style="2890" customWidth="1"/>
    <col min="15633" max="15872" width="9" style="2890"/>
    <col min="15873" max="15873" width="40.625" style="2890" customWidth="1"/>
    <col min="15874" max="15874" width="6.25" style="2890" customWidth="1"/>
    <col min="15875" max="15875" width="7.875" style="2890" customWidth="1"/>
    <col min="15876" max="15877" width="13.875" style="2890" customWidth="1"/>
    <col min="15878" max="15878" width="26.125" style="2890" customWidth="1"/>
    <col min="15879" max="15879" width="7.875" style="2890" customWidth="1"/>
    <col min="15880" max="15880" width="29.375" style="2890" customWidth="1"/>
    <col min="15881" max="15882" width="9" style="2890" customWidth="1"/>
    <col min="15883" max="15884" width="10.625" style="2890" customWidth="1"/>
    <col min="15885" max="15885" width="14.375" style="2890" customWidth="1"/>
    <col min="15886" max="15886" width="6.25" style="2890" customWidth="1"/>
    <col min="15887" max="15887" width="29.375" style="2890" customWidth="1"/>
    <col min="15888" max="15888" width="7.875" style="2890" customWidth="1"/>
    <col min="15889" max="16128" width="9" style="2890"/>
    <col min="16129" max="16129" width="40.625" style="2890" customWidth="1"/>
    <col min="16130" max="16130" width="6.25" style="2890" customWidth="1"/>
    <col min="16131" max="16131" width="7.875" style="2890" customWidth="1"/>
    <col min="16132" max="16133" width="13.875" style="2890" customWidth="1"/>
    <col min="16134" max="16134" width="26.125" style="2890" customWidth="1"/>
    <col min="16135" max="16135" width="7.875" style="2890" customWidth="1"/>
    <col min="16136" max="16136" width="29.375" style="2890" customWidth="1"/>
    <col min="16137" max="16138" width="9" style="2890" customWidth="1"/>
    <col min="16139" max="16140" width="10.625" style="2890" customWidth="1"/>
    <col min="16141" max="16141" width="14.375" style="2890" customWidth="1"/>
    <col min="16142" max="16142" width="6.25" style="2890" customWidth="1"/>
    <col min="16143" max="16143" width="29.375" style="2890" customWidth="1"/>
    <col min="16144" max="16144" width="7.875" style="2890" customWidth="1"/>
    <col min="16145" max="16384" width="9" style="2890"/>
  </cols>
  <sheetData>
    <row r="1" spans="1:16">
      <c r="A1" s="2890" t="s">
        <v>3006</v>
      </c>
      <c r="B1" s="2890" t="s">
        <v>3007</v>
      </c>
      <c r="C1" s="2890" t="s">
        <v>3008</v>
      </c>
      <c r="D1" s="2890" t="s">
        <v>3009</v>
      </c>
      <c r="E1" s="2890" t="s">
        <v>3010</v>
      </c>
      <c r="F1" s="2890" t="s">
        <v>2029</v>
      </c>
      <c r="G1" s="2890" t="s">
        <v>3011</v>
      </c>
      <c r="H1" s="2890" t="s">
        <v>3121</v>
      </c>
      <c r="I1" s="2890" t="s">
        <v>3012</v>
      </c>
      <c r="J1" s="2890" t="s">
        <v>3122</v>
      </c>
      <c r="K1" s="2890" t="s">
        <v>3013</v>
      </c>
      <c r="L1" s="2890" t="s">
        <v>3014</v>
      </c>
      <c r="M1" s="2890" t="s">
        <v>3015</v>
      </c>
      <c r="N1" s="2890" t="s">
        <v>3016</v>
      </c>
      <c r="O1" s="2890" t="s">
        <v>3017</v>
      </c>
      <c r="P1" s="2890" t="s">
        <v>3018</v>
      </c>
    </row>
    <row r="2" spans="1:16" s="3212" customFormat="1">
      <c r="A2" s="3212" t="s">
        <v>3123</v>
      </c>
      <c r="B2" s="3212" t="s">
        <v>3020</v>
      </c>
      <c r="C2" s="3212" t="s">
        <v>3021</v>
      </c>
      <c r="D2" s="3212">
        <v>51053.599999999999</v>
      </c>
      <c r="E2" s="3212">
        <v>112317.92</v>
      </c>
      <c r="F2" s="3212" t="s">
        <v>3022</v>
      </c>
      <c r="G2" s="3212" t="s">
        <v>3023</v>
      </c>
      <c r="H2" s="3212" t="s">
        <v>3124</v>
      </c>
      <c r="I2" s="3212" t="s">
        <v>3125</v>
      </c>
      <c r="J2" s="3212" t="s">
        <v>3125</v>
      </c>
      <c r="K2" s="3212">
        <v>13019</v>
      </c>
      <c r="L2" s="3212">
        <v>13019</v>
      </c>
      <c r="M2" s="3212">
        <v>1159.1099999999999</v>
      </c>
      <c r="N2" s="3212">
        <v>0</v>
      </c>
      <c r="O2" s="3212" t="s">
        <v>3126</v>
      </c>
      <c r="P2" s="3212" t="s">
        <v>3032</v>
      </c>
    </row>
    <row r="3" spans="1:16" s="3208" customFormat="1">
      <c r="A3" s="3208" t="s">
        <v>3127</v>
      </c>
      <c r="B3" s="3208" t="s">
        <v>3020</v>
      </c>
      <c r="C3" s="3208" t="s">
        <v>3021</v>
      </c>
      <c r="D3" s="3208">
        <v>37300.6</v>
      </c>
      <c r="E3" s="3208">
        <v>82061.320000000007</v>
      </c>
      <c r="F3" s="3208" t="s">
        <v>3022</v>
      </c>
      <c r="G3" s="3208" t="s">
        <v>3023</v>
      </c>
      <c r="H3" s="3208" t="s">
        <v>3124</v>
      </c>
      <c r="I3" s="3208" t="s">
        <v>3125</v>
      </c>
      <c r="J3" s="3208" t="s">
        <v>3125</v>
      </c>
      <c r="K3" s="3208">
        <v>9514</v>
      </c>
      <c r="L3" s="3208">
        <v>9514</v>
      </c>
      <c r="M3" s="3208">
        <v>1159.3800000000001</v>
      </c>
      <c r="N3" s="3208">
        <v>0</v>
      </c>
      <c r="O3" s="3208" t="s">
        <v>3126</v>
      </c>
      <c r="P3" s="3208" t="s">
        <v>3032</v>
      </c>
    </row>
    <row r="4" spans="1:16" s="3208" customFormat="1">
      <c r="A4" s="3208" t="s">
        <v>3128</v>
      </c>
      <c r="B4" s="3208" t="s">
        <v>3020</v>
      </c>
      <c r="C4" s="3208" t="s">
        <v>3021</v>
      </c>
      <c r="D4" s="3208">
        <v>34200.300000000003</v>
      </c>
      <c r="E4" s="3208">
        <v>68400.600000000006</v>
      </c>
      <c r="F4" s="3208" t="s">
        <v>3029</v>
      </c>
      <c r="G4" s="3208" t="s">
        <v>3023</v>
      </c>
      <c r="H4" s="3208" t="s">
        <v>3124</v>
      </c>
      <c r="I4" s="3208" t="s">
        <v>3129</v>
      </c>
      <c r="J4" s="3208" t="s">
        <v>3129</v>
      </c>
      <c r="K4" s="3208">
        <v>8721</v>
      </c>
      <c r="L4" s="3208">
        <v>8721</v>
      </c>
      <c r="M4" s="3208">
        <v>1274.99</v>
      </c>
      <c r="N4" s="3208">
        <v>0</v>
      </c>
      <c r="O4" s="3208" t="s">
        <v>3036</v>
      </c>
      <c r="P4" s="3208" t="s">
        <v>3026</v>
      </c>
    </row>
    <row r="5" spans="1:16" s="3208" customFormat="1">
      <c r="A5" s="3213" t="s">
        <v>3169</v>
      </c>
      <c r="B5" s="3208" t="s">
        <v>3020</v>
      </c>
      <c r="C5" s="3208" t="s">
        <v>3021</v>
      </c>
      <c r="D5" s="3208">
        <v>68331.600000000006</v>
      </c>
      <c r="E5" s="3208">
        <v>136663.20000000001</v>
      </c>
      <c r="F5" s="3208" t="s">
        <v>3029</v>
      </c>
      <c r="G5" s="3208" t="s">
        <v>3023</v>
      </c>
      <c r="H5" s="3208" t="s">
        <v>3124</v>
      </c>
      <c r="I5" s="3208" t="s">
        <v>3129</v>
      </c>
      <c r="J5" s="3208" t="s">
        <v>3129</v>
      </c>
      <c r="K5" s="3208">
        <v>18450</v>
      </c>
      <c r="L5" s="3208">
        <v>18450</v>
      </c>
      <c r="M5" s="3208">
        <v>1350.02</v>
      </c>
      <c r="N5" s="3208">
        <v>0</v>
      </c>
      <c r="O5" s="3208" t="s">
        <v>3036</v>
      </c>
      <c r="P5" s="3208" t="s">
        <v>3032</v>
      </c>
    </row>
    <row r="6" spans="1:16">
      <c r="A6" s="2890" t="s">
        <v>3130</v>
      </c>
      <c r="B6" s="2890" t="s">
        <v>3020</v>
      </c>
      <c r="C6" s="2890" t="s">
        <v>3021</v>
      </c>
      <c r="D6" s="2890">
        <v>33197.1</v>
      </c>
      <c r="E6" s="2890">
        <v>66394.2</v>
      </c>
      <c r="F6" s="2890" t="s">
        <v>3029</v>
      </c>
      <c r="G6" s="2890" t="s">
        <v>3023</v>
      </c>
      <c r="H6" s="2890" t="s">
        <v>3124</v>
      </c>
      <c r="I6" s="2890" t="s">
        <v>3129</v>
      </c>
      <c r="J6" s="2890" t="s">
        <v>3129</v>
      </c>
      <c r="K6" s="2890">
        <v>8466</v>
      </c>
      <c r="L6" s="2890">
        <v>8466</v>
      </c>
      <c r="M6" s="2890">
        <v>1275.0999999999999</v>
      </c>
      <c r="N6" s="2890">
        <v>0</v>
      </c>
      <c r="O6" s="2890" t="s">
        <v>3036</v>
      </c>
      <c r="P6" s="2890" t="s">
        <v>3026</v>
      </c>
    </row>
    <row r="7" spans="1:16">
      <c r="A7" s="2890" t="s">
        <v>3131</v>
      </c>
      <c r="B7" s="2890" t="s">
        <v>3020</v>
      </c>
      <c r="C7" s="2890" t="s">
        <v>3021</v>
      </c>
      <c r="D7" s="2890">
        <v>27658.6</v>
      </c>
      <c r="E7" s="2890">
        <v>55317.2</v>
      </c>
      <c r="F7" s="2890" t="s">
        <v>3029</v>
      </c>
      <c r="G7" s="2890" t="s">
        <v>3023</v>
      </c>
      <c r="H7" s="2890" t="s">
        <v>3124</v>
      </c>
      <c r="I7" s="2890" t="s">
        <v>3129</v>
      </c>
      <c r="J7" s="2890" t="s">
        <v>3129</v>
      </c>
      <c r="K7" s="2890">
        <v>7469</v>
      </c>
      <c r="L7" s="2890">
        <v>7469</v>
      </c>
      <c r="M7" s="2890">
        <v>1350.21</v>
      </c>
      <c r="N7" s="2890">
        <v>0</v>
      </c>
      <c r="O7" s="2890" t="s">
        <v>3036</v>
      </c>
      <c r="P7" s="2890" t="s">
        <v>3026</v>
      </c>
    </row>
    <row r="8" spans="1:16">
      <c r="A8" s="2890" t="s">
        <v>3132</v>
      </c>
      <c r="B8" s="2890" t="s">
        <v>3020</v>
      </c>
      <c r="C8" s="2890" t="s">
        <v>3021</v>
      </c>
      <c r="D8" s="2890">
        <v>36633</v>
      </c>
      <c r="E8" s="2890">
        <v>84255.9</v>
      </c>
      <c r="F8" s="2890" t="s">
        <v>3133</v>
      </c>
      <c r="G8" s="2890" t="s">
        <v>3023</v>
      </c>
      <c r="H8" s="2890" t="s">
        <v>3124</v>
      </c>
      <c r="I8" s="2890" t="s">
        <v>3134</v>
      </c>
      <c r="J8" s="2890" t="s">
        <v>3134</v>
      </c>
      <c r="K8" s="2890">
        <v>7144</v>
      </c>
      <c r="L8" s="2890">
        <v>7144</v>
      </c>
      <c r="M8" s="2890">
        <v>847.88</v>
      </c>
      <c r="N8" s="2890">
        <v>0</v>
      </c>
      <c r="O8" s="2890" t="s">
        <v>3036</v>
      </c>
      <c r="P8" s="2890" t="s">
        <v>3032</v>
      </c>
    </row>
    <row r="9" spans="1:16">
      <c r="A9" s="2890" t="s">
        <v>3135</v>
      </c>
      <c r="B9" s="2890" t="s">
        <v>3020</v>
      </c>
      <c r="C9" s="2890" t="s">
        <v>3021</v>
      </c>
      <c r="D9" s="2890">
        <v>64807.6</v>
      </c>
      <c r="E9" s="2890">
        <v>149057.48000000001</v>
      </c>
      <c r="F9" s="2890" t="s">
        <v>3133</v>
      </c>
      <c r="G9" s="2890" t="s">
        <v>3023</v>
      </c>
      <c r="H9" s="2890" t="s">
        <v>3124</v>
      </c>
      <c r="I9" s="2890" t="s">
        <v>3134</v>
      </c>
      <c r="J9" s="2890" t="s">
        <v>3134</v>
      </c>
      <c r="K9" s="2890">
        <v>12638</v>
      </c>
      <c r="L9" s="2890">
        <v>12638</v>
      </c>
      <c r="M9" s="2890">
        <v>847.86</v>
      </c>
      <c r="N9" s="2890">
        <v>0</v>
      </c>
      <c r="O9" s="2890" t="s">
        <v>3036</v>
      </c>
      <c r="P9" s="2890" t="s">
        <v>3032</v>
      </c>
    </row>
    <row r="10" spans="1:16">
      <c r="A10" s="2890" t="s">
        <v>3136</v>
      </c>
      <c r="B10" s="2890" t="s">
        <v>3020</v>
      </c>
      <c r="C10" s="2890" t="s">
        <v>3021</v>
      </c>
      <c r="D10" s="2890">
        <v>46367.5</v>
      </c>
      <c r="E10" s="2890">
        <v>102008.5</v>
      </c>
      <c r="F10" s="2890" t="s">
        <v>3022</v>
      </c>
      <c r="G10" s="2890" t="s">
        <v>3023</v>
      </c>
      <c r="H10" s="2890" t="s">
        <v>3124</v>
      </c>
      <c r="I10" s="2890" t="s">
        <v>3137</v>
      </c>
      <c r="J10" s="2890" t="s">
        <v>3137</v>
      </c>
      <c r="K10" s="2890">
        <v>8346</v>
      </c>
      <c r="L10" s="2890">
        <v>8346</v>
      </c>
      <c r="M10" s="2890">
        <v>818.16</v>
      </c>
      <c r="N10" s="2890">
        <v>0</v>
      </c>
      <c r="O10" s="2890" t="s">
        <v>3138</v>
      </c>
      <c r="P10" s="2890" t="s">
        <v>3026</v>
      </c>
    </row>
    <row r="11" spans="1:16">
      <c r="A11" s="2890" t="s">
        <v>3139</v>
      </c>
      <c r="B11" s="2890" t="s">
        <v>3020</v>
      </c>
      <c r="C11" s="2890" t="s">
        <v>3021</v>
      </c>
      <c r="D11" s="2890">
        <v>10002.6</v>
      </c>
      <c r="E11" s="2890">
        <v>22005.72</v>
      </c>
      <c r="F11" s="2890" t="s">
        <v>3022</v>
      </c>
      <c r="G11" s="2890" t="s">
        <v>3023</v>
      </c>
      <c r="H11" s="2890" t="s">
        <v>3124</v>
      </c>
      <c r="I11" s="2890" t="s">
        <v>3137</v>
      </c>
      <c r="J11" s="2890" t="s">
        <v>3137</v>
      </c>
      <c r="K11" s="2890">
        <v>1800</v>
      </c>
      <c r="L11" s="2890">
        <v>1800</v>
      </c>
      <c r="M11" s="2890">
        <v>817.97</v>
      </c>
      <c r="N11" s="2890">
        <v>0</v>
      </c>
      <c r="O11" s="2890" t="s">
        <v>3138</v>
      </c>
      <c r="P11" s="2890" t="s">
        <v>3026</v>
      </c>
    </row>
    <row r="12" spans="1:16">
      <c r="A12" s="2890" t="s">
        <v>3140</v>
      </c>
      <c r="B12" s="2890" t="s">
        <v>3020</v>
      </c>
      <c r="C12" s="2890" t="s">
        <v>3021</v>
      </c>
      <c r="D12" s="2890">
        <v>28549.68</v>
      </c>
      <c r="E12" s="2890">
        <v>42824.52</v>
      </c>
      <c r="F12" s="2890" t="s">
        <v>3063</v>
      </c>
      <c r="G12" s="2890" t="s">
        <v>3023</v>
      </c>
      <c r="H12" s="2890" t="s">
        <v>3124</v>
      </c>
      <c r="I12" s="2890" t="s">
        <v>3137</v>
      </c>
      <c r="J12" s="2890" t="s">
        <v>3137</v>
      </c>
      <c r="K12" s="2890">
        <v>3426</v>
      </c>
      <c r="L12" s="2890">
        <v>3426</v>
      </c>
      <c r="M12" s="2890">
        <v>800</v>
      </c>
      <c r="N12" s="2890">
        <v>0</v>
      </c>
      <c r="O12" s="2890" t="s">
        <v>3141</v>
      </c>
      <c r="P12" s="2890" t="s">
        <v>3051</v>
      </c>
    </row>
    <row r="13" spans="1:16">
      <c r="A13" s="2890" t="s">
        <v>3142</v>
      </c>
      <c r="B13" s="2890" t="s">
        <v>3020</v>
      </c>
      <c r="C13" s="2890" t="s">
        <v>3021</v>
      </c>
      <c r="D13" s="2890">
        <v>48139.5</v>
      </c>
      <c r="E13" s="2890">
        <v>105906.9</v>
      </c>
      <c r="F13" s="2890" t="s">
        <v>3022</v>
      </c>
      <c r="G13" s="2890" t="s">
        <v>3023</v>
      </c>
      <c r="H13" s="2890" t="s">
        <v>3124</v>
      </c>
      <c r="I13" s="2890" t="s">
        <v>3137</v>
      </c>
      <c r="J13" s="2890" t="s">
        <v>3137</v>
      </c>
      <c r="K13" s="2890">
        <v>12998</v>
      </c>
      <c r="L13" s="2890">
        <v>18198</v>
      </c>
      <c r="M13" s="2890">
        <v>1718.29</v>
      </c>
      <c r="N13" s="2890">
        <v>40.01</v>
      </c>
      <c r="O13" s="2890" t="s">
        <v>3143</v>
      </c>
      <c r="P13" s="2890" t="s">
        <v>3026</v>
      </c>
    </row>
    <row r="14" spans="1:16">
      <c r="A14" s="2890" t="s">
        <v>3144</v>
      </c>
      <c r="B14" s="2890" t="s">
        <v>3020</v>
      </c>
      <c r="C14" s="2890" t="s">
        <v>3021</v>
      </c>
      <c r="D14" s="2890">
        <v>46923.9</v>
      </c>
      <c r="E14" s="2890">
        <v>103232.58</v>
      </c>
      <c r="F14" s="2890" t="s">
        <v>3022</v>
      </c>
      <c r="G14" s="2890" t="s">
        <v>3023</v>
      </c>
      <c r="H14" s="2890" t="s">
        <v>3124</v>
      </c>
      <c r="I14" s="2890" t="s">
        <v>3137</v>
      </c>
      <c r="J14" s="2890" t="s">
        <v>3137</v>
      </c>
      <c r="K14" s="2890">
        <v>12671</v>
      </c>
      <c r="L14" s="2890">
        <v>17771</v>
      </c>
      <c r="M14" s="2890">
        <v>1721.45</v>
      </c>
      <c r="N14" s="2890">
        <v>40.25</v>
      </c>
      <c r="O14" s="2890" t="s">
        <v>3143</v>
      </c>
      <c r="P14" s="2890" t="s">
        <v>3032</v>
      </c>
    </row>
    <row r="15" spans="1:16">
      <c r="A15" s="2890" t="s">
        <v>3019</v>
      </c>
      <c r="B15" s="2890" t="s">
        <v>3020</v>
      </c>
      <c r="C15" s="2890" t="s">
        <v>3021</v>
      </c>
      <c r="D15" s="2890">
        <v>42939.199999999997</v>
      </c>
      <c r="E15" s="2890">
        <v>94466.240000000005</v>
      </c>
      <c r="F15" s="2890" t="s">
        <v>3022</v>
      </c>
      <c r="G15" s="2890" t="s">
        <v>3023</v>
      </c>
      <c r="H15" s="2890" t="s">
        <v>3124</v>
      </c>
      <c r="I15" s="2890" t="s">
        <v>3024</v>
      </c>
      <c r="J15" s="2890" t="s">
        <v>3024</v>
      </c>
      <c r="K15" s="2890">
        <v>10965</v>
      </c>
      <c r="L15" s="2890">
        <v>10965</v>
      </c>
      <c r="M15" s="2890">
        <v>1160.73</v>
      </c>
      <c r="N15" s="2890">
        <v>0</v>
      </c>
      <c r="O15" s="2890" t="s">
        <v>3025</v>
      </c>
      <c r="P15" s="2890" t="s">
        <v>3026</v>
      </c>
    </row>
    <row r="16" spans="1:16">
      <c r="A16" s="2890" t="s">
        <v>3027</v>
      </c>
      <c r="B16" s="2890" t="s">
        <v>3020</v>
      </c>
      <c r="C16" s="2890" t="s">
        <v>3021</v>
      </c>
      <c r="D16" s="2890">
        <v>42366.9</v>
      </c>
      <c r="E16" s="2890">
        <v>93207.18</v>
      </c>
      <c r="F16" s="2890" t="s">
        <v>3022</v>
      </c>
      <c r="G16" s="2890" t="s">
        <v>3023</v>
      </c>
      <c r="H16" s="2890" t="s">
        <v>3124</v>
      </c>
      <c r="I16" s="2890" t="s">
        <v>3024</v>
      </c>
      <c r="J16" s="2890" t="s">
        <v>3024</v>
      </c>
      <c r="K16" s="2890">
        <v>10819</v>
      </c>
      <c r="L16" s="2890">
        <v>10819</v>
      </c>
      <c r="M16" s="2890">
        <v>1160.75</v>
      </c>
      <c r="N16" s="2890">
        <v>0</v>
      </c>
      <c r="O16" s="2890" t="s">
        <v>3025</v>
      </c>
      <c r="P16" s="2890" t="s">
        <v>3026</v>
      </c>
    </row>
    <row r="17" spans="1:16">
      <c r="A17" s="2890" t="s">
        <v>3028</v>
      </c>
      <c r="B17" s="2890" t="s">
        <v>3020</v>
      </c>
      <c r="C17" s="2890" t="s">
        <v>3021</v>
      </c>
      <c r="D17" s="2890">
        <v>58172.1</v>
      </c>
      <c r="E17" s="2890">
        <v>116344.2</v>
      </c>
      <c r="F17" s="2890" t="s">
        <v>3029</v>
      </c>
      <c r="G17" s="2890" t="s">
        <v>3023</v>
      </c>
      <c r="H17" s="2890" t="s">
        <v>3124</v>
      </c>
      <c r="I17" s="2890" t="s">
        <v>3030</v>
      </c>
      <c r="J17" s="2890" t="s">
        <v>3030</v>
      </c>
      <c r="K17" s="2890">
        <v>11798</v>
      </c>
      <c r="L17" s="2890">
        <v>11798</v>
      </c>
      <c r="M17" s="2890">
        <v>1014.05</v>
      </c>
      <c r="N17" s="2890">
        <v>0</v>
      </c>
      <c r="O17" s="2890" t="s">
        <v>3031</v>
      </c>
      <c r="P17" s="2890" t="s">
        <v>3032</v>
      </c>
    </row>
    <row r="18" spans="1:16">
      <c r="A18" s="2890" t="s">
        <v>3033</v>
      </c>
      <c r="B18" s="2890" t="s">
        <v>3020</v>
      </c>
      <c r="C18" s="2890" t="s">
        <v>3021</v>
      </c>
      <c r="D18" s="2890">
        <v>61216.7</v>
      </c>
      <c r="E18" s="2890">
        <v>122433.4</v>
      </c>
      <c r="F18" s="2890" t="s">
        <v>3029</v>
      </c>
      <c r="G18" s="2890" t="s">
        <v>3023</v>
      </c>
      <c r="H18" s="2890" t="s">
        <v>3124</v>
      </c>
      <c r="I18" s="2890" t="s">
        <v>3030</v>
      </c>
      <c r="J18" s="2890" t="s">
        <v>3030</v>
      </c>
      <c r="K18" s="2890">
        <v>12416</v>
      </c>
      <c r="L18" s="2890">
        <v>12416</v>
      </c>
      <c r="M18" s="2890">
        <v>1014.1</v>
      </c>
      <c r="N18" s="2890">
        <v>0</v>
      </c>
      <c r="O18" s="2890" t="s">
        <v>3034</v>
      </c>
      <c r="P18" s="2890" t="s">
        <v>3026</v>
      </c>
    </row>
    <row r="19" spans="1:16">
      <c r="A19" s="2890" t="s">
        <v>3035</v>
      </c>
      <c r="B19" s="2890" t="s">
        <v>3020</v>
      </c>
      <c r="C19" s="2890" t="s">
        <v>3021</v>
      </c>
      <c r="D19" s="2890">
        <v>65116.800000000003</v>
      </c>
      <c r="E19" s="2890">
        <v>130233.60000000001</v>
      </c>
      <c r="F19" s="2890" t="s">
        <v>3029</v>
      </c>
      <c r="G19" s="2890" t="s">
        <v>3023</v>
      </c>
      <c r="H19" s="2890" t="s">
        <v>3124</v>
      </c>
      <c r="I19" s="2890" t="s">
        <v>3030</v>
      </c>
      <c r="J19" s="2890" t="s">
        <v>3030</v>
      </c>
      <c r="K19" s="2890">
        <v>12718</v>
      </c>
      <c r="L19" s="2890">
        <v>12718</v>
      </c>
      <c r="M19" s="2890">
        <v>976.54</v>
      </c>
      <c r="N19" s="2890">
        <v>0</v>
      </c>
      <c r="O19" s="2890" t="s">
        <v>3036</v>
      </c>
      <c r="P19" s="2890" t="s">
        <v>3032</v>
      </c>
    </row>
    <row r="20" spans="1:16">
      <c r="A20" s="2890" t="s">
        <v>3037</v>
      </c>
      <c r="B20" s="2890" t="s">
        <v>3020</v>
      </c>
      <c r="C20" s="2890" t="s">
        <v>3021</v>
      </c>
      <c r="D20" s="2890">
        <v>58774.5</v>
      </c>
      <c r="E20" s="2890">
        <v>117549</v>
      </c>
      <c r="F20" s="2890" t="s">
        <v>3029</v>
      </c>
      <c r="G20" s="2890" t="s">
        <v>3023</v>
      </c>
      <c r="H20" s="2890" t="s">
        <v>3124</v>
      </c>
      <c r="I20" s="2890" t="s">
        <v>3030</v>
      </c>
      <c r="J20" s="2890" t="s">
        <v>3030</v>
      </c>
      <c r="K20" s="2890">
        <v>11214</v>
      </c>
      <c r="L20" s="2890">
        <v>11214</v>
      </c>
      <c r="M20" s="2890">
        <v>953.99</v>
      </c>
      <c r="N20" s="2890">
        <v>0</v>
      </c>
      <c r="O20" s="2890" t="s">
        <v>3034</v>
      </c>
      <c r="P20" s="2890" t="s">
        <v>3026</v>
      </c>
    </row>
    <row r="21" spans="1:16">
      <c r="A21" s="2890" t="s">
        <v>3038</v>
      </c>
      <c r="B21" s="2890" t="s">
        <v>3020</v>
      </c>
      <c r="C21" s="2890" t="s">
        <v>3021</v>
      </c>
      <c r="D21" s="2890">
        <v>57503.8</v>
      </c>
      <c r="E21" s="2890">
        <v>115007.6</v>
      </c>
      <c r="F21" s="2890" t="s">
        <v>3029</v>
      </c>
      <c r="G21" s="2890" t="s">
        <v>3023</v>
      </c>
      <c r="H21" s="2890" t="s">
        <v>3124</v>
      </c>
      <c r="I21" s="2890" t="s">
        <v>3030</v>
      </c>
      <c r="J21" s="2890" t="s">
        <v>3030</v>
      </c>
      <c r="K21" s="2890">
        <v>11663</v>
      </c>
      <c r="L21" s="2890">
        <v>11663</v>
      </c>
      <c r="M21" s="2890">
        <v>1014.11</v>
      </c>
      <c r="N21" s="2890">
        <v>0</v>
      </c>
      <c r="O21" s="2890" t="s">
        <v>3031</v>
      </c>
      <c r="P21" s="2890" t="s">
        <v>3032</v>
      </c>
    </row>
    <row r="22" spans="1:16">
      <c r="A22" s="2890" t="s">
        <v>3039</v>
      </c>
      <c r="B22" s="2890" t="s">
        <v>3020</v>
      </c>
      <c r="C22" s="2890" t="s">
        <v>3021</v>
      </c>
      <c r="D22" s="2890">
        <v>58811.9</v>
      </c>
      <c r="E22" s="2890">
        <v>117623.8</v>
      </c>
      <c r="F22" s="2890" t="s">
        <v>3029</v>
      </c>
      <c r="G22" s="2890" t="s">
        <v>3023</v>
      </c>
      <c r="H22" s="2890" t="s">
        <v>3124</v>
      </c>
      <c r="I22" s="2890" t="s">
        <v>3030</v>
      </c>
      <c r="J22" s="2890" t="s">
        <v>3030</v>
      </c>
      <c r="K22" s="2890">
        <v>11928</v>
      </c>
      <c r="L22" s="2890">
        <v>11928</v>
      </c>
      <c r="M22" s="2890">
        <v>1014.08</v>
      </c>
      <c r="N22" s="2890">
        <v>0</v>
      </c>
      <c r="O22" s="2890" t="s">
        <v>3034</v>
      </c>
      <c r="P22" s="2890" t="s">
        <v>3026</v>
      </c>
    </row>
    <row r="23" spans="1:16">
      <c r="A23" s="2890" t="s">
        <v>3040</v>
      </c>
      <c r="B23" s="2890" t="s">
        <v>3020</v>
      </c>
      <c r="C23" s="2890" t="s">
        <v>3021</v>
      </c>
      <c r="D23" s="2890">
        <v>39791.1</v>
      </c>
      <c r="E23" s="2890">
        <v>87540.42</v>
      </c>
      <c r="F23" s="2890" t="s">
        <v>3022</v>
      </c>
      <c r="G23" s="2890" t="s">
        <v>3023</v>
      </c>
      <c r="H23" s="2890" t="s">
        <v>3124</v>
      </c>
      <c r="I23" s="2890" t="s">
        <v>3041</v>
      </c>
      <c r="J23" s="2890" t="s">
        <v>3041</v>
      </c>
      <c r="K23" s="2890">
        <v>9565</v>
      </c>
      <c r="L23" s="2890">
        <v>9565</v>
      </c>
      <c r="M23" s="2890">
        <v>1092.6400000000001</v>
      </c>
      <c r="N23" s="2890">
        <v>0</v>
      </c>
      <c r="O23" s="2890" t="s">
        <v>3042</v>
      </c>
      <c r="P23" s="2890" t="s">
        <v>3032</v>
      </c>
    </row>
    <row r="24" spans="1:16">
      <c r="A24" s="2890" t="s">
        <v>3043</v>
      </c>
      <c r="B24" s="2890" t="s">
        <v>3020</v>
      </c>
      <c r="C24" s="2890" t="s">
        <v>3021</v>
      </c>
      <c r="D24" s="2890">
        <v>3216.4</v>
      </c>
      <c r="E24" s="2890">
        <v>9649.2000000000007</v>
      </c>
      <c r="F24" s="2890" t="s">
        <v>3044</v>
      </c>
      <c r="G24" s="2890" t="s">
        <v>3023</v>
      </c>
      <c r="H24" s="2890" t="s">
        <v>3124</v>
      </c>
      <c r="I24" s="2890" t="s">
        <v>3041</v>
      </c>
      <c r="J24" s="2890" t="s">
        <v>3041</v>
      </c>
      <c r="K24" s="2890">
        <v>726</v>
      </c>
      <c r="L24" s="2890">
        <v>726</v>
      </c>
      <c r="M24" s="2890">
        <v>752.38</v>
      </c>
      <c r="N24" s="2890">
        <v>0</v>
      </c>
      <c r="O24" s="2890" t="s">
        <v>3045</v>
      </c>
      <c r="P24" s="2890" t="s">
        <v>3032</v>
      </c>
    </row>
    <row r="25" spans="1:16">
      <c r="A25" s="2890" t="s">
        <v>3046</v>
      </c>
      <c r="B25" s="2890" t="s">
        <v>3020</v>
      </c>
      <c r="C25" s="2890" t="s">
        <v>3021</v>
      </c>
      <c r="D25" s="2890">
        <v>21551.3</v>
      </c>
      <c r="E25" s="2890">
        <v>43102.6</v>
      </c>
      <c r="F25" s="2890" t="s">
        <v>3029</v>
      </c>
      <c r="G25" s="2890" t="s">
        <v>3023</v>
      </c>
      <c r="H25" s="2890" t="s">
        <v>3124</v>
      </c>
      <c r="I25" s="2890" t="s">
        <v>3047</v>
      </c>
      <c r="J25" s="2890" t="s">
        <v>3047</v>
      </c>
      <c r="K25" s="2890">
        <v>4859</v>
      </c>
      <c r="L25" s="2890">
        <v>4859</v>
      </c>
      <c r="M25" s="2890">
        <v>1127.3</v>
      </c>
      <c r="N25" s="2890">
        <v>0</v>
      </c>
      <c r="O25" s="2890" t="s">
        <v>3034</v>
      </c>
      <c r="P25" s="2890" t="s">
        <v>3032</v>
      </c>
    </row>
    <row r="26" spans="1:16">
      <c r="A26" s="2890" t="s">
        <v>3048</v>
      </c>
      <c r="B26" s="2890" t="s">
        <v>3020</v>
      </c>
      <c r="C26" s="2890" t="s">
        <v>3021</v>
      </c>
      <c r="D26" s="2890">
        <v>1966.5</v>
      </c>
      <c r="E26" s="2890">
        <v>3146.4</v>
      </c>
      <c r="F26" s="2890" t="s">
        <v>3049</v>
      </c>
      <c r="G26" s="2890" t="s">
        <v>3023</v>
      </c>
      <c r="H26" s="2890" t="s">
        <v>3124</v>
      </c>
      <c r="I26" s="2890" t="s">
        <v>3047</v>
      </c>
      <c r="J26" s="2890" t="s">
        <v>3047</v>
      </c>
      <c r="K26" s="2890">
        <v>179</v>
      </c>
      <c r="L26" s="2890">
        <v>179</v>
      </c>
      <c r="M26" s="2890">
        <v>568.89</v>
      </c>
      <c r="N26" s="2890">
        <v>0</v>
      </c>
      <c r="O26" s="2890" t="s">
        <v>3050</v>
      </c>
      <c r="P26" s="2890" t="s">
        <v>3051</v>
      </c>
    </row>
    <row r="27" spans="1:16">
      <c r="A27" s="2890" t="s">
        <v>3052</v>
      </c>
      <c r="B27" s="2890" t="s">
        <v>3020</v>
      </c>
      <c r="C27" s="2890" t="s">
        <v>3021</v>
      </c>
      <c r="D27" s="2890">
        <v>7567.7</v>
      </c>
      <c r="E27" s="2890">
        <v>22703.1</v>
      </c>
      <c r="F27" s="2890" t="s">
        <v>3044</v>
      </c>
      <c r="G27" s="2890" t="s">
        <v>3023</v>
      </c>
      <c r="H27" s="2890" t="s">
        <v>3124</v>
      </c>
      <c r="I27" s="2890" t="s">
        <v>3053</v>
      </c>
      <c r="J27" s="2890" t="s">
        <v>3053</v>
      </c>
      <c r="K27" s="2890">
        <v>1594</v>
      </c>
      <c r="L27" s="2890">
        <v>1594</v>
      </c>
      <c r="M27" s="2890">
        <v>702.11</v>
      </c>
      <c r="N27" s="2890">
        <v>0</v>
      </c>
      <c r="O27" s="2890" t="s">
        <v>3045</v>
      </c>
      <c r="P27" s="2890" t="s">
        <v>3032</v>
      </c>
    </row>
    <row r="28" spans="1:16">
      <c r="A28" s="2890" t="s">
        <v>3054</v>
      </c>
      <c r="B28" s="2890" t="s">
        <v>3020</v>
      </c>
      <c r="C28" s="2890" t="s">
        <v>3021</v>
      </c>
      <c r="D28" s="2890">
        <v>22316.2</v>
      </c>
      <c r="E28" s="2890">
        <v>55790.5</v>
      </c>
      <c r="F28" s="2890" t="s">
        <v>3055</v>
      </c>
      <c r="G28" s="2890" t="s">
        <v>3023</v>
      </c>
      <c r="H28" s="2890" t="s">
        <v>3124</v>
      </c>
      <c r="I28" s="2890" t="s">
        <v>3053</v>
      </c>
      <c r="J28" s="2890" t="s">
        <v>3053</v>
      </c>
      <c r="K28" s="2890">
        <v>4931</v>
      </c>
      <c r="L28" s="2890">
        <v>4931</v>
      </c>
      <c r="M28" s="2890">
        <v>883.84</v>
      </c>
      <c r="N28" s="2890">
        <v>0</v>
      </c>
      <c r="O28" s="2890" t="s">
        <v>3056</v>
      </c>
      <c r="P28" s="2890" t="s">
        <v>3026</v>
      </c>
    </row>
    <row r="29" spans="1:16">
      <c r="A29" s="2890" t="s">
        <v>3145</v>
      </c>
      <c r="B29" s="2890" t="s">
        <v>3020</v>
      </c>
      <c r="C29" s="2890" t="s">
        <v>3021</v>
      </c>
      <c r="D29" s="2890">
        <v>46484.99</v>
      </c>
      <c r="E29" s="2890">
        <v>92969.98</v>
      </c>
      <c r="F29" s="2890" t="s">
        <v>3029</v>
      </c>
      <c r="G29" s="2890" t="s">
        <v>3023</v>
      </c>
      <c r="H29" s="2890" t="s">
        <v>3124</v>
      </c>
      <c r="I29" s="2890" t="s">
        <v>3058</v>
      </c>
      <c r="J29" s="2890" t="s">
        <v>3058</v>
      </c>
      <c r="K29" s="2890">
        <v>9778</v>
      </c>
      <c r="L29" s="2890">
        <v>9778</v>
      </c>
      <c r="M29" s="2890">
        <v>1051.74</v>
      </c>
      <c r="N29" s="2890">
        <v>0</v>
      </c>
      <c r="O29" s="2890" t="s">
        <v>3036</v>
      </c>
      <c r="P29" s="2890" t="s">
        <v>3146</v>
      </c>
    </row>
    <row r="30" spans="1:16">
      <c r="A30" s="2890" t="s">
        <v>3057</v>
      </c>
      <c r="B30" s="2890" t="s">
        <v>3020</v>
      </c>
      <c r="C30" s="2890" t="s">
        <v>3021</v>
      </c>
      <c r="D30" s="2890">
        <v>36946.26</v>
      </c>
      <c r="E30" s="2890">
        <v>73892.52</v>
      </c>
      <c r="F30" s="2890" t="s">
        <v>3029</v>
      </c>
      <c r="G30" s="2890" t="s">
        <v>3023</v>
      </c>
      <c r="H30" s="2890" t="s">
        <v>3124</v>
      </c>
      <c r="I30" s="2890" t="s">
        <v>3058</v>
      </c>
      <c r="J30" s="2890" t="s">
        <v>3058</v>
      </c>
      <c r="K30" s="2890">
        <v>7218</v>
      </c>
      <c r="L30" s="2890">
        <v>7218</v>
      </c>
      <c r="M30" s="2890">
        <v>976.82</v>
      </c>
      <c r="N30" s="2890">
        <v>0</v>
      </c>
      <c r="O30" s="2890" t="s">
        <v>3036</v>
      </c>
      <c r="P30" s="2890" t="s">
        <v>3032</v>
      </c>
    </row>
    <row r="31" spans="1:16">
      <c r="A31" s="2890" t="s">
        <v>3059</v>
      </c>
      <c r="B31" s="2890" t="s">
        <v>3020</v>
      </c>
      <c r="C31" s="2890" t="s">
        <v>3021</v>
      </c>
      <c r="D31" s="2890">
        <v>32623.83</v>
      </c>
      <c r="E31" s="2890">
        <v>65247.66</v>
      </c>
      <c r="F31" s="2890" t="s">
        <v>3029</v>
      </c>
      <c r="G31" s="2890" t="s">
        <v>3023</v>
      </c>
      <c r="H31" s="2890" t="s">
        <v>3147</v>
      </c>
      <c r="I31" s="2890" t="s">
        <v>3060</v>
      </c>
      <c r="J31" s="2890" t="s">
        <v>3060</v>
      </c>
      <c r="K31" s="2890">
        <v>4906</v>
      </c>
      <c r="L31" s="2890">
        <v>4906</v>
      </c>
      <c r="M31" s="2890">
        <v>751.89</v>
      </c>
      <c r="N31" s="2890">
        <v>0</v>
      </c>
      <c r="O31" s="2890" t="s">
        <v>3061</v>
      </c>
      <c r="P31" s="2890" t="s">
        <v>3032</v>
      </c>
    </row>
    <row r="32" spans="1:16">
      <c r="A32" s="2890" t="s">
        <v>3148</v>
      </c>
      <c r="B32" s="2890" t="s">
        <v>3020</v>
      </c>
      <c r="C32" s="2890" t="s">
        <v>3021</v>
      </c>
      <c r="D32" s="2890">
        <v>10894.4</v>
      </c>
      <c r="E32" s="2890">
        <v>25057.119999999999</v>
      </c>
      <c r="F32" s="2890" t="s">
        <v>3133</v>
      </c>
      <c r="G32" s="2890" t="s">
        <v>3023</v>
      </c>
      <c r="H32" s="2890" t="s">
        <v>3147</v>
      </c>
      <c r="I32" s="2890" t="s">
        <v>3060</v>
      </c>
      <c r="J32" s="2890" t="s">
        <v>3060</v>
      </c>
      <c r="K32" s="2890">
        <v>2213</v>
      </c>
      <c r="L32" s="2890">
        <v>2213</v>
      </c>
      <c r="M32" s="2890">
        <v>883.17</v>
      </c>
      <c r="N32" s="2890">
        <v>0</v>
      </c>
      <c r="O32" s="2890" t="s">
        <v>3149</v>
      </c>
      <c r="P32" s="2890" t="s">
        <v>3146</v>
      </c>
    </row>
    <row r="33" spans="1:16">
      <c r="A33" s="2890" t="s">
        <v>3062</v>
      </c>
      <c r="B33" s="2890" t="s">
        <v>3020</v>
      </c>
      <c r="C33" s="2890" t="s">
        <v>3021</v>
      </c>
      <c r="D33" s="2890">
        <v>29705.3</v>
      </c>
      <c r="E33" s="2890">
        <v>44557.95</v>
      </c>
      <c r="F33" s="2890" t="s">
        <v>3063</v>
      </c>
      <c r="G33" s="2890" t="s">
        <v>3023</v>
      </c>
      <c r="H33" s="2890" t="s">
        <v>3147</v>
      </c>
      <c r="I33" s="2890" t="s">
        <v>3064</v>
      </c>
      <c r="J33" s="2890" t="s">
        <v>3064</v>
      </c>
      <c r="K33" s="2890">
        <v>3575</v>
      </c>
      <c r="L33" s="2890">
        <v>3575</v>
      </c>
      <c r="M33" s="2890">
        <v>802.33</v>
      </c>
      <c r="N33" s="2890">
        <v>0</v>
      </c>
      <c r="O33" s="2890" t="s">
        <v>3065</v>
      </c>
      <c r="P33" s="2890" t="s">
        <v>3051</v>
      </c>
    </row>
    <row r="34" spans="1:16">
      <c r="A34" s="2890" t="s">
        <v>3066</v>
      </c>
      <c r="B34" s="2890" t="s">
        <v>3020</v>
      </c>
      <c r="C34" s="2890" t="s">
        <v>3021</v>
      </c>
      <c r="D34" s="2890">
        <v>18498.900000000001</v>
      </c>
      <c r="E34" s="2890">
        <v>27748.35</v>
      </c>
      <c r="F34" s="2890" t="s">
        <v>3063</v>
      </c>
      <c r="G34" s="2890" t="s">
        <v>3023</v>
      </c>
      <c r="H34" s="2890" t="s">
        <v>3147</v>
      </c>
      <c r="I34" s="2890" t="s">
        <v>3067</v>
      </c>
      <c r="J34" s="2890" t="s">
        <v>3067</v>
      </c>
      <c r="K34" s="2890">
        <v>2228</v>
      </c>
      <c r="L34" s="2890">
        <v>2228</v>
      </c>
      <c r="M34" s="2890">
        <v>802.92</v>
      </c>
      <c r="N34" s="2890">
        <v>0</v>
      </c>
      <c r="O34" s="2890" t="s">
        <v>3065</v>
      </c>
      <c r="P34" s="2890" t="s">
        <v>3032</v>
      </c>
    </row>
    <row r="35" spans="1:16">
      <c r="A35" s="2890" t="s">
        <v>3068</v>
      </c>
      <c r="B35" s="2890" t="s">
        <v>3020</v>
      </c>
      <c r="C35" s="2890" t="s">
        <v>3021</v>
      </c>
      <c r="D35" s="2890">
        <v>41765.699999999997</v>
      </c>
      <c r="E35" s="2890">
        <v>125297.1</v>
      </c>
      <c r="F35" s="2890" t="s">
        <v>3044</v>
      </c>
      <c r="G35" s="2890" t="s">
        <v>3023</v>
      </c>
      <c r="H35" s="2890" t="s">
        <v>3147</v>
      </c>
      <c r="I35" s="2890" t="s">
        <v>3067</v>
      </c>
      <c r="J35" s="2890" t="s">
        <v>3067</v>
      </c>
      <c r="K35" s="2890">
        <v>9412</v>
      </c>
      <c r="L35" s="2890">
        <v>9412</v>
      </c>
      <c r="M35" s="2890">
        <v>751.16</v>
      </c>
      <c r="N35" s="2890">
        <v>0</v>
      </c>
      <c r="O35" s="2890" t="s">
        <v>3069</v>
      </c>
      <c r="P35" s="2890" t="s">
        <v>3032</v>
      </c>
    </row>
    <row r="36" spans="1:16">
      <c r="A36" s="2890" t="s">
        <v>3070</v>
      </c>
      <c r="B36" s="2890" t="s">
        <v>3020</v>
      </c>
      <c r="C36" s="2890" t="s">
        <v>3021</v>
      </c>
      <c r="D36" s="2890">
        <v>34757.599999999999</v>
      </c>
      <c r="E36" s="2890">
        <v>86894</v>
      </c>
      <c r="F36" s="2890" t="s">
        <v>3071</v>
      </c>
      <c r="G36" s="2890" t="s">
        <v>3023</v>
      </c>
      <c r="H36" s="2890" t="s">
        <v>3147</v>
      </c>
      <c r="I36" s="2890" t="s">
        <v>3067</v>
      </c>
      <c r="J36" s="2890" t="s">
        <v>3067</v>
      </c>
      <c r="K36" s="2890">
        <v>7834</v>
      </c>
      <c r="L36" s="2890">
        <v>7834</v>
      </c>
      <c r="M36" s="2890">
        <v>901.55</v>
      </c>
      <c r="N36" s="2890">
        <v>0</v>
      </c>
      <c r="O36" s="2890" t="s">
        <v>3072</v>
      </c>
      <c r="P36" s="2890" t="s">
        <v>3032</v>
      </c>
    </row>
    <row r="37" spans="1:16">
      <c r="A37" s="2890" t="s">
        <v>3073</v>
      </c>
      <c r="B37" s="2890" t="s">
        <v>3020</v>
      </c>
      <c r="C37" s="2890" t="s">
        <v>3021</v>
      </c>
      <c r="D37" s="2890">
        <v>23264.400000000001</v>
      </c>
      <c r="E37" s="2890">
        <v>72119.64</v>
      </c>
      <c r="F37" s="2890" t="s">
        <v>3074</v>
      </c>
      <c r="G37" s="2890" t="s">
        <v>3023</v>
      </c>
      <c r="H37" s="2890" t="s">
        <v>3147</v>
      </c>
      <c r="I37" s="2890" t="s">
        <v>3067</v>
      </c>
      <c r="J37" s="2890" t="s">
        <v>3067</v>
      </c>
      <c r="K37" s="2890">
        <v>7448</v>
      </c>
      <c r="L37" s="2890">
        <v>7448</v>
      </c>
      <c r="M37" s="2890">
        <v>1032.73</v>
      </c>
      <c r="N37" s="2890">
        <v>0</v>
      </c>
      <c r="O37" s="2890" t="s">
        <v>3075</v>
      </c>
      <c r="P37" s="2890" t="s">
        <v>3032</v>
      </c>
    </row>
    <row r="38" spans="1:16">
      <c r="A38" s="2890" t="s">
        <v>3076</v>
      </c>
      <c r="B38" s="2890" t="s">
        <v>3020</v>
      </c>
      <c r="C38" s="2890" t="s">
        <v>3021</v>
      </c>
      <c r="D38" s="2890">
        <v>40850.1</v>
      </c>
      <c r="E38" s="2890">
        <v>89870.22</v>
      </c>
      <c r="F38" s="2890" t="s">
        <v>3022</v>
      </c>
      <c r="G38" s="2890" t="s">
        <v>3023</v>
      </c>
      <c r="H38" s="2890" t="s">
        <v>3147</v>
      </c>
      <c r="I38" s="2890" t="s">
        <v>3067</v>
      </c>
      <c r="J38" s="2890" t="s">
        <v>3067</v>
      </c>
      <c r="K38" s="2890">
        <v>9206</v>
      </c>
      <c r="L38" s="2890">
        <v>9206</v>
      </c>
      <c r="M38" s="2890">
        <v>1024.3599999999999</v>
      </c>
      <c r="N38" s="2890">
        <v>0</v>
      </c>
      <c r="O38" s="2890" t="s">
        <v>3077</v>
      </c>
      <c r="P38" s="2890" t="s">
        <v>3032</v>
      </c>
    </row>
    <row r="39" spans="1:16">
      <c r="A39" s="2890" t="s">
        <v>3076</v>
      </c>
      <c r="B39" s="2890" t="s">
        <v>3020</v>
      </c>
      <c r="C39" s="2890" t="s">
        <v>3021</v>
      </c>
      <c r="D39" s="2890">
        <v>41505.800000000003</v>
      </c>
      <c r="E39" s="2890">
        <v>91312.76</v>
      </c>
      <c r="F39" s="2890" t="s">
        <v>3022</v>
      </c>
      <c r="G39" s="2890" t="s">
        <v>3023</v>
      </c>
      <c r="H39" s="2890" t="s">
        <v>3147</v>
      </c>
      <c r="I39" s="2890" t="s">
        <v>3067</v>
      </c>
      <c r="J39" s="2890" t="s">
        <v>3067</v>
      </c>
      <c r="K39" s="2890">
        <v>9354</v>
      </c>
      <c r="L39" s="2890">
        <v>9554</v>
      </c>
      <c r="M39" s="2890">
        <v>1046.28</v>
      </c>
      <c r="N39" s="2890">
        <v>2.14</v>
      </c>
      <c r="O39" s="2890" t="s">
        <v>3077</v>
      </c>
      <c r="P39" s="2890" t="s">
        <v>3032</v>
      </c>
    </row>
    <row r="40" spans="1:16">
      <c r="A40" s="2890" t="s">
        <v>3078</v>
      </c>
      <c r="B40" s="2890" t="s">
        <v>3020</v>
      </c>
      <c r="C40" s="2890" t="s">
        <v>3021</v>
      </c>
      <c r="D40" s="2890">
        <v>5983.3</v>
      </c>
      <c r="E40" s="2890">
        <v>9573.2800000000007</v>
      </c>
      <c r="F40" s="2890" t="s">
        <v>3049</v>
      </c>
      <c r="G40" s="2890" t="s">
        <v>3023</v>
      </c>
      <c r="H40" s="2890" t="s">
        <v>3147</v>
      </c>
      <c r="I40" s="2890" t="s">
        <v>3079</v>
      </c>
      <c r="J40" s="2890" t="s">
        <v>3079</v>
      </c>
      <c r="K40" s="2890">
        <v>543</v>
      </c>
      <c r="L40" s="2890">
        <v>543</v>
      </c>
      <c r="M40" s="2890">
        <v>567.20000000000005</v>
      </c>
      <c r="N40" s="2890">
        <v>0</v>
      </c>
      <c r="O40" s="2890" t="s">
        <v>3080</v>
      </c>
      <c r="P40" s="2890" t="s">
        <v>3051</v>
      </c>
    </row>
    <row r="41" spans="1:16">
      <c r="A41" s="2890" t="s">
        <v>3040</v>
      </c>
      <c r="B41" s="2890" t="s">
        <v>3020</v>
      </c>
      <c r="C41" s="2890" t="s">
        <v>3021</v>
      </c>
      <c r="D41" s="2890">
        <v>61599.8</v>
      </c>
      <c r="E41" s="2890">
        <v>135519.56</v>
      </c>
      <c r="F41" s="2890" t="s">
        <v>3022</v>
      </c>
      <c r="G41" s="2890" t="s">
        <v>3023</v>
      </c>
      <c r="H41" s="2890" t="s">
        <v>3147</v>
      </c>
      <c r="I41" s="2890" t="s">
        <v>3081</v>
      </c>
      <c r="J41" s="2890" t="s">
        <v>3081</v>
      </c>
      <c r="K41" s="2890">
        <v>11570</v>
      </c>
      <c r="L41" s="2890">
        <v>11570</v>
      </c>
      <c r="M41" s="2890">
        <v>853.75</v>
      </c>
      <c r="N41" s="2890">
        <v>0</v>
      </c>
      <c r="O41" s="2890" t="s">
        <v>3042</v>
      </c>
      <c r="P41" s="2890" t="s">
        <v>3032</v>
      </c>
    </row>
    <row r="42" spans="1:16">
      <c r="A42" s="2890" t="s">
        <v>3082</v>
      </c>
      <c r="B42" s="2890" t="s">
        <v>3020</v>
      </c>
      <c r="C42" s="2890" t="s">
        <v>3021</v>
      </c>
      <c r="D42" s="2890">
        <v>57644</v>
      </c>
      <c r="E42" s="2890">
        <v>115288</v>
      </c>
      <c r="F42" s="2890" t="s">
        <v>3029</v>
      </c>
      <c r="G42" s="2890" t="s">
        <v>3023</v>
      </c>
      <c r="H42" s="2890" t="s">
        <v>3147</v>
      </c>
      <c r="I42" s="2890" t="s">
        <v>3083</v>
      </c>
      <c r="J42" s="2890" t="s">
        <v>3083</v>
      </c>
      <c r="K42" s="2890">
        <v>8664</v>
      </c>
      <c r="L42" s="2890">
        <v>8664</v>
      </c>
      <c r="M42" s="2890">
        <v>751.5</v>
      </c>
      <c r="N42" s="2890">
        <v>0</v>
      </c>
      <c r="O42" s="2890" t="s">
        <v>3084</v>
      </c>
      <c r="P42" s="2890" t="s">
        <v>3032</v>
      </c>
    </row>
    <row r="43" spans="1:16">
      <c r="A43" s="2890" t="s">
        <v>3082</v>
      </c>
      <c r="B43" s="2890" t="s">
        <v>3020</v>
      </c>
      <c r="C43" s="2890" t="s">
        <v>3021</v>
      </c>
      <c r="D43" s="2890">
        <v>52109.599999999999</v>
      </c>
      <c r="E43" s="2890">
        <v>104219.2</v>
      </c>
      <c r="F43" s="2890" t="s">
        <v>3029</v>
      </c>
      <c r="G43" s="2890" t="s">
        <v>3023</v>
      </c>
      <c r="H43" s="2890" t="s">
        <v>3147</v>
      </c>
      <c r="I43" s="2890" t="s">
        <v>3083</v>
      </c>
      <c r="J43" s="2890" t="s">
        <v>3083</v>
      </c>
      <c r="K43" s="2890">
        <v>7834</v>
      </c>
      <c r="L43" s="2890">
        <v>7834</v>
      </c>
      <c r="M43" s="2890">
        <v>751.67</v>
      </c>
      <c r="N43" s="2890">
        <v>0</v>
      </c>
      <c r="O43" s="2890" t="s">
        <v>3084</v>
      </c>
      <c r="P43" s="2890" t="s">
        <v>3032</v>
      </c>
    </row>
    <row r="44" spans="1:16">
      <c r="A44" s="2890" t="s">
        <v>3150</v>
      </c>
      <c r="B44" s="2890" t="s">
        <v>3020</v>
      </c>
      <c r="C44" s="2890" t="s">
        <v>3021</v>
      </c>
      <c r="D44" s="2890">
        <v>32341.200000000001</v>
      </c>
      <c r="E44" s="2890">
        <v>97023.6</v>
      </c>
      <c r="F44" s="2890" t="s">
        <v>3044</v>
      </c>
      <c r="G44" s="2890" t="s">
        <v>3023</v>
      </c>
      <c r="H44" s="2890" t="s">
        <v>3147</v>
      </c>
      <c r="I44" s="2890" t="s">
        <v>3083</v>
      </c>
      <c r="J44" s="2890" t="s">
        <v>3083</v>
      </c>
      <c r="K44" s="2890">
        <v>5592</v>
      </c>
      <c r="L44" s="2890">
        <v>5592</v>
      </c>
      <c r="M44" s="2890">
        <v>576.35</v>
      </c>
      <c r="N44" s="2890">
        <v>0</v>
      </c>
      <c r="O44" s="2890" t="s">
        <v>3151</v>
      </c>
      <c r="P44" s="2890" t="s">
        <v>3032</v>
      </c>
    </row>
    <row r="45" spans="1:16">
      <c r="A45" s="2890" t="s">
        <v>3082</v>
      </c>
      <c r="B45" s="2890" t="s">
        <v>3020</v>
      </c>
      <c r="C45" s="2890" t="s">
        <v>3021</v>
      </c>
      <c r="D45" s="2890">
        <v>56757.2</v>
      </c>
      <c r="E45" s="2890">
        <v>113514.4</v>
      </c>
      <c r="F45" s="2890" t="s">
        <v>3029</v>
      </c>
      <c r="G45" s="2890" t="s">
        <v>3023</v>
      </c>
      <c r="H45" s="2890" t="s">
        <v>3147</v>
      </c>
      <c r="I45" s="2890" t="s">
        <v>3083</v>
      </c>
      <c r="J45" s="2890" t="s">
        <v>3083</v>
      </c>
      <c r="K45" s="2890">
        <v>8532</v>
      </c>
      <c r="L45" s="2890">
        <v>8532</v>
      </c>
      <c r="M45" s="2890">
        <v>751.62</v>
      </c>
      <c r="N45" s="2890">
        <v>0</v>
      </c>
      <c r="O45" s="2890" t="s">
        <v>3084</v>
      </c>
      <c r="P45" s="2890" t="s">
        <v>3032</v>
      </c>
    </row>
    <row r="46" spans="1:16">
      <c r="A46" s="2890" t="s">
        <v>3152</v>
      </c>
      <c r="B46" s="2890" t="s">
        <v>3020</v>
      </c>
      <c r="C46" s="2890" t="s">
        <v>3021</v>
      </c>
      <c r="D46" s="2890">
        <v>49250.7</v>
      </c>
      <c r="E46" s="2890">
        <v>123126.75</v>
      </c>
      <c r="F46" s="2890" t="s">
        <v>3055</v>
      </c>
      <c r="G46" s="2890" t="s">
        <v>3023</v>
      </c>
      <c r="H46" s="2890" t="s">
        <v>3147</v>
      </c>
      <c r="I46" s="2890" t="s">
        <v>3083</v>
      </c>
      <c r="J46" s="2890" t="s">
        <v>3083</v>
      </c>
      <c r="K46" s="2890">
        <v>7404</v>
      </c>
      <c r="L46" s="2890">
        <v>7404</v>
      </c>
      <c r="M46" s="2890">
        <v>601.33000000000004</v>
      </c>
      <c r="N46" s="2890">
        <v>0</v>
      </c>
      <c r="O46" s="2890" t="s">
        <v>3153</v>
      </c>
      <c r="P46" s="2890" t="s">
        <v>3026</v>
      </c>
    </row>
    <row r="47" spans="1:16">
      <c r="A47" s="2890" t="s">
        <v>3152</v>
      </c>
      <c r="B47" s="2890" t="s">
        <v>3020</v>
      </c>
      <c r="C47" s="2890" t="s">
        <v>3021</v>
      </c>
      <c r="D47" s="2890">
        <v>48583.199999999997</v>
      </c>
      <c r="E47" s="2890">
        <v>121458</v>
      </c>
      <c r="F47" s="2890" t="s">
        <v>3055</v>
      </c>
      <c r="G47" s="2890" t="s">
        <v>3023</v>
      </c>
      <c r="H47" s="2890" t="s">
        <v>3147</v>
      </c>
      <c r="I47" s="2890" t="s">
        <v>3083</v>
      </c>
      <c r="J47" s="2890" t="s">
        <v>3083</v>
      </c>
      <c r="K47" s="2890">
        <v>7304</v>
      </c>
      <c r="L47" s="2890">
        <v>7304</v>
      </c>
      <c r="M47" s="2890">
        <v>601.36</v>
      </c>
      <c r="N47" s="2890">
        <v>0</v>
      </c>
      <c r="O47" s="2890" t="s">
        <v>3154</v>
      </c>
      <c r="P47" s="2890" t="s">
        <v>3026</v>
      </c>
    </row>
    <row r="48" spans="1:16">
      <c r="A48" s="2890" t="s">
        <v>3152</v>
      </c>
      <c r="B48" s="2890" t="s">
        <v>3020</v>
      </c>
      <c r="C48" s="2890" t="s">
        <v>3021</v>
      </c>
      <c r="D48" s="2890">
        <v>49556.9</v>
      </c>
      <c r="E48" s="2890">
        <v>123892.25</v>
      </c>
      <c r="F48" s="2890" t="s">
        <v>3055</v>
      </c>
      <c r="G48" s="2890" t="s">
        <v>3023</v>
      </c>
      <c r="H48" s="2890" t="s">
        <v>3147</v>
      </c>
      <c r="I48" s="2890" t="s">
        <v>3083</v>
      </c>
      <c r="J48" s="2890" t="s">
        <v>3083</v>
      </c>
      <c r="K48" s="2890">
        <v>7450</v>
      </c>
      <c r="L48" s="2890">
        <v>7450</v>
      </c>
      <c r="M48" s="2890">
        <v>601.33000000000004</v>
      </c>
      <c r="N48" s="2890">
        <v>0</v>
      </c>
      <c r="O48" s="2890" t="s">
        <v>3153</v>
      </c>
      <c r="P48" s="2890" t="s">
        <v>3026</v>
      </c>
    </row>
    <row r="49" spans="1:16">
      <c r="A49" s="2890" t="s">
        <v>3082</v>
      </c>
      <c r="B49" s="2890" t="s">
        <v>3020</v>
      </c>
      <c r="C49" s="2890" t="s">
        <v>3021</v>
      </c>
      <c r="D49" s="2890">
        <v>68613.600000000006</v>
      </c>
      <c r="E49" s="2890">
        <v>137227.20000000001</v>
      </c>
      <c r="F49" s="2890" t="s">
        <v>3029</v>
      </c>
      <c r="G49" s="2890" t="s">
        <v>3023</v>
      </c>
      <c r="H49" s="2890" t="s">
        <v>3147</v>
      </c>
      <c r="I49" s="2890" t="s">
        <v>3083</v>
      </c>
      <c r="J49" s="2890" t="s">
        <v>3083</v>
      </c>
      <c r="K49" s="2890">
        <v>10312</v>
      </c>
      <c r="L49" s="2890">
        <v>10312</v>
      </c>
      <c r="M49" s="2890">
        <v>751.45</v>
      </c>
      <c r="N49" s="2890">
        <v>0</v>
      </c>
      <c r="O49" s="2890" t="s">
        <v>3155</v>
      </c>
      <c r="P49" s="2890" t="s">
        <v>3032</v>
      </c>
    </row>
    <row r="50" spans="1:16">
      <c r="A50" s="2890" t="s">
        <v>3152</v>
      </c>
      <c r="B50" s="2890" t="s">
        <v>3020</v>
      </c>
      <c r="C50" s="2890" t="s">
        <v>3021</v>
      </c>
      <c r="D50" s="2890">
        <v>48173.3</v>
      </c>
      <c r="E50" s="2890">
        <v>120433.25</v>
      </c>
      <c r="F50" s="2890" t="s">
        <v>3055</v>
      </c>
      <c r="G50" s="2890" t="s">
        <v>3023</v>
      </c>
      <c r="H50" s="2890" t="s">
        <v>3147</v>
      </c>
      <c r="I50" s="2890" t="s">
        <v>3083</v>
      </c>
      <c r="J50" s="2890" t="s">
        <v>3083</v>
      </c>
      <c r="K50" s="2890">
        <v>7242</v>
      </c>
      <c r="L50" s="2890">
        <v>7242</v>
      </c>
      <c r="M50" s="2890">
        <v>601.33000000000004</v>
      </c>
      <c r="N50" s="2890">
        <v>0</v>
      </c>
      <c r="O50" s="2890" t="s">
        <v>3154</v>
      </c>
      <c r="P50" s="2890" t="s">
        <v>3026</v>
      </c>
    </row>
    <row r="51" spans="1:16">
      <c r="A51" s="2890" t="s">
        <v>3156</v>
      </c>
      <c r="B51" s="2890" t="s">
        <v>3020</v>
      </c>
      <c r="C51" s="2890" t="s">
        <v>3021</v>
      </c>
      <c r="D51" s="2890">
        <v>53211.3</v>
      </c>
      <c r="E51" s="2890">
        <v>106422.6</v>
      </c>
      <c r="F51" s="2890" t="s">
        <v>3029</v>
      </c>
      <c r="G51" s="2890" t="s">
        <v>3023</v>
      </c>
      <c r="H51" s="2890" t="s">
        <v>3147</v>
      </c>
      <c r="I51" s="2890" t="s">
        <v>3157</v>
      </c>
      <c r="J51" s="2890" t="s">
        <v>3157</v>
      </c>
      <c r="K51" s="2890">
        <v>9595</v>
      </c>
      <c r="L51" s="2890">
        <v>9595</v>
      </c>
      <c r="M51" s="2890">
        <v>901.59</v>
      </c>
      <c r="N51" s="2890">
        <v>0</v>
      </c>
      <c r="O51" s="2890" t="s">
        <v>3036</v>
      </c>
      <c r="P51" s="2890" t="s">
        <v>3026</v>
      </c>
    </row>
  </sheetData>
  <phoneticPr fontId="228"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14" t="str">
        <f>项目基本情况!B1</f>
        <v>出让国有建设用地使用权抵押价格预评估</v>
      </c>
      <c r="C37" s="3214"/>
      <c r="D37" s="3214"/>
      <c r="E37" s="3214"/>
      <c r="F37" s="3214"/>
      <c r="G37" s="3214"/>
      <c r="H37" s="3214"/>
      <c r="I37" s="3214"/>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土地估价师、土地估价师</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F38" sqref="F3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1.37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7</v>
      </c>
    </row>
    <row r="2" spans="1:31" s="2023" customFormat="1" ht="18" customHeight="1">
      <c r="A2" s="2083" t="s">
        <v>467</v>
      </c>
      <c r="B2" s="2087">
        <f ca="1">C36</f>
        <v>10942</v>
      </c>
      <c r="C2" s="2086"/>
      <c r="D2" s="2086"/>
      <c r="E2" s="2086"/>
      <c r="F2" s="2086"/>
      <c r="G2" s="2086"/>
      <c r="H2" s="2086"/>
      <c r="I2" s="2086"/>
      <c r="J2" s="2086"/>
      <c r="K2" s="2086"/>
    </row>
    <row r="3" spans="1:31" s="2023" customFormat="1" ht="18" customHeight="1">
      <c r="A3" s="2088" t="s">
        <v>1683</v>
      </c>
      <c r="B3" s="2089">
        <f ca="1">ROUND(B2*10000/IF(B1="",'数据-汇总表'!E3,INDIRECT("'数据-取费表'!K"&amp;$K$1)),0)</f>
        <v>1300</v>
      </c>
      <c r="C3" s="2086"/>
      <c r="D3" s="2086"/>
      <c r="E3" s="2086"/>
      <c r="F3" s="2086"/>
      <c r="G3" s="2086"/>
      <c r="H3" s="2086"/>
      <c r="I3" s="2086"/>
      <c r="J3" s="2086"/>
      <c r="K3" s="2086"/>
    </row>
    <row r="4" spans="1:31" s="2023" customFormat="1" ht="18" customHeight="1">
      <c r="A4" s="424" t="s">
        <v>468</v>
      </c>
      <c r="B4" s="425">
        <f ca="1">ROUND(B2*10000/IF(B1="",'数据-汇总表'!D3,INDIRECT("'数据-取费表'!R"&amp;$K$1)),0)</f>
        <v>2601</v>
      </c>
      <c r="C4" s="426"/>
      <c r="D4" s="420"/>
      <c r="E4" s="420"/>
      <c r="F4" s="420"/>
      <c r="G4" s="420"/>
      <c r="H4" s="420"/>
      <c r="I4" s="420"/>
      <c r="J4" s="420"/>
      <c r="K4" s="420"/>
    </row>
    <row r="5" spans="1:31" s="2023" customFormat="1" ht="18" customHeight="1" thickBot="1">
      <c r="A5" s="427"/>
      <c r="B5" s="428">
        <f ca="1">ROUND(B2/(IF(B1="",'数据-汇总表'!D3,INDIRECT("'数据-取费表'!R"&amp;$K$1))/666.67),0)</f>
        <v>173</v>
      </c>
      <c r="C5" s="429" t="s">
        <v>469</v>
      </c>
      <c r="D5" s="420"/>
      <c r="E5" s="420"/>
      <c r="F5" s="420"/>
      <c r="G5" s="420"/>
      <c r="H5" s="420"/>
      <c r="I5" s="420"/>
      <c r="J5" s="420"/>
      <c r="K5" s="420"/>
    </row>
    <row r="6" spans="1:31" s="2093" customFormat="1" ht="16.5" customHeight="1">
      <c r="A6" s="2780" t="s">
        <v>1841</v>
      </c>
      <c r="B6" s="2781"/>
      <c r="C6" s="2782">
        <f>SUM(C10:K10)</f>
        <v>39926</v>
      </c>
      <c r="D6" s="2781"/>
      <c r="E6" s="2781"/>
      <c r="F6" s="2781"/>
      <c r="G6" s="2781"/>
      <c r="H6" s="2781"/>
      <c r="I6" s="2781"/>
      <c r="J6" s="2781"/>
      <c r="K6" s="2783"/>
      <c r="L6" s="2093">
        <f ca="1">B2/C6</f>
        <v>0.2740570054601012</v>
      </c>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4745</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84143.78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3557</v>
      </c>
      <c r="M9" s="2096">
        <f>E9/L9</f>
        <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5">
        <f>'不动产比较法-住宅'!B2</f>
        <v>39926</v>
      </c>
      <c r="D10" s="2975"/>
      <c r="E10" s="2975"/>
      <c r="F10" s="2789"/>
      <c r="G10" s="2789"/>
      <c r="H10" s="2789"/>
      <c r="I10" s="2789"/>
      <c r="J10" s="2789"/>
      <c r="K10" s="2790"/>
      <c r="L10" s="2096">
        <f>E10/L9</f>
        <v>0</v>
      </c>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16829</v>
      </c>
      <c r="D13" s="2796"/>
      <c r="E13" s="2797"/>
      <c r="F13" s="2798"/>
      <c r="G13" s="2764"/>
      <c r="H13" s="2765"/>
      <c r="I13" s="2765"/>
      <c r="J13" s="2765"/>
      <c r="K13" s="2766"/>
    </row>
    <row r="14" spans="1:31" s="2098" customFormat="1" ht="13.5" customHeight="1">
      <c r="A14" s="2794" t="s">
        <v>1848</v>
      </c>
      <c r="B14" s="2795" t="s">
        <v>480</v>
      </c>
      <c r="C14" s="53">
        <f ca="1">ROUND(C13*F14,0)</f>
        <v>505</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841</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1262</v>
      </c>
      <c r="D16" s="2796">
        <f ca="1">IF(B1="",'数据-汇总表'!E3,INDIRECT("'数据-取费表'!K"&amp;$K$1)+INDIRECT("'数据-取费表'!S"&amp;$K$1))</f>
        <v>84143.78</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252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19689</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84143.78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631</v>
      </c>
      <c r="D20" s="2806"/>
      <c r="E20" s="2760"/>
      <c r="F20" s="2807"/>
      <c r="G20" s="3034"/>
      <c r="H20" s="2762"/>
      <c r="I20" s="2763" t="s">
        <v>2647</v>
      </c>
      <c r="J20" s="2769"/>
      <c r="K20" s="2770"/>
    </row>
    <row r="21" spans="1:14" s="2098" customFormat="1" ht="13.5" customHeight="1">
      <c r="A21" s="2794" t="s">
        <v>1855</v>
      </c>
      <c r="B21" s="2795" t="s">
        <v>491</v>
      </c>
      <c r="C21" s="53">
        <f ca="1">ROUND(D21*E21/10000,0)</f>
        <v>631</v>
      </c>
      <c r="D21" s="2796">
        <f ca="1">IF(B1="",'数据-汇总表'!E5,IF(INDIRECT("'数据-取费表'!c"&amp;$K$1)="住宅",INDIRECT("'数据-取费表'!k"&amp;$K$1),0))</f>
        <v>84143.78</v>
      </c>
      <c r="E21" s="53">
        <f>'数据-取费表'!B27</f>
        <v>75</v>
      </c>
      <c r="F21" s="2799"/>
      <c r="G21" s="26"/>
      <c r="H21" s="51"/>
      <c r="I21" s="51"/>
      <c r="J21" s="51"/>
      <c r="K21" s="2771"/>
    </row>
    <row r="22" spans="1:14" s="2098" customFormat="1" ht="13.5" customHeight="1">
      <c r="A22" s="2794" t="s">
        <v>1856</v>
      </c>
      <c r="B22" s="2795" t="s">
        <v>492</v>
      </c>
      <c r="C22" s="53">
        <f ca="1">ROUND(D22*E22/10000,0)</f>
        <v>0</v>
      </c>
      <c r="D22" s="2796">
        <f ca="1">IF(B1="",'数据-汇总表'!E6,IF(INDIRECT("'数据-取费表'!c"&amp;$K$1)="住宅",INDIRECT("'数据-取费表'!s"&amp;$K$1),INDIRECT("'数据-取费表'!k"&amp;$K$1)+INDIRECT("'数据-取费表'!s"&amp;$K$1)))</f>
        <v>0</v>
      </c>
      <c r="E22" s="53">
        <f>'数据-取费表'!B28</f>
        <v>75</v>
      </c>
      <c r="F22" s="2799"/>
      <c r="G22" s="26"/>
      <c r="H22" s="51"/>
      <c r="I22" s="51"/>
      <c r="J22" s="51"/>
      <c r="K22" s="2771"/>
    </row>
    <row r="23" spans="1:14" s="2098" customFormat="1" ht="13.5" customHeight="1">
      <c r="A23" s="2802" t="s">
        <v>1857</v>
      </c>
      <c r="B23" s="2981" t="s">
        <v>2830</v>
      </c>
      <c r="C23" s="2804">
        <f ca="1">ROUND((C18+C19+C20)*F23,0)</f>
        <v>305</v>
      </c>
      <c r="D23" s="466"/>
      <c r="E23" s="466"/>
      <c r="F23" s="2808">
        <f>'数据-取费表'!B37</f>
        <v>1.4999999999999999E-2</v>
      </c>
      <c r="G23" s="2764" t="s">
        <v>2428</v>
      </c>
      <c r="H23" s="2765"/>
      <c r="I23" s="2765"/>
      <c r="J23" s="2765"/>
      <c r="K23" s="2766"/>
      <c r="L23" s="2100"/>
      <c r="M23" s="2100"/>
      <c r="N23" s="2100"/>
    </row>
    <row r="24" spans="1:14" s="2098" customFormat="1" ht="13.5" customHeight="1">
      <c r="A24" s="2802" t="s">
        <v>1858</v>
      </c>
      <c r="B24" s="2981" t="s">
        <v>2833</v>
      </c>
      <c r="C24" s="2804">
        <f>ROUND(C6*F24,0)</f>
        <v>599</v>
      </c>
      <c r="D24" s="473"/>
      <c r="E24" s="471"/>
      <c r="F24" s="2808">
        <f>'数据-取费表'!B38</f>
        <v>1.4999999999999999E-2</v>
      </c>
      <c r="G24" s="2773" t="s">
        <v>499</v>
      </c>
      <c r="H24" s="2767"/>
      <c r="I24" s="2767"/>
      <c r="J24" s="2767"/>
      <c r="K24" s="277"/>
      <c r="L24" s="2100"/>
      <c r="M24" s="2100"/>
      <c r="N24" s="2100"/>
    </row>
    <row r="25" spans="1:14" s="2101" customFormat="1" ht="13.5" customHeight="1">
      <c r="A25" s="2802" t="s">
        <v>1859</v>
      </c>
      <c r="B25" s="2981" t="s">
        <v>2831</v>
      </c>
      <c r="C25" s="465">
        <f>ROUND(F25/(1+'数据-取费表'!C42),4)</f>
        <v>2.9000000000000001E-2</v>
      </c>
      <c r="D25" s="460" t="s">
        <v>2825</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2" t="s">
        <v>2832</v>
      </c>
      <c r="C26" s="2809">
        <f ca="1">C28</f>
        <v>1008</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2834</v>
      </c>
      <c r="C28" s="2812">
        <f ca="1">ROUND(IF('数据-取费表'!B22&lt;=1,(C18+C19+C20+C23+C24)*F26*'数据-取费表'!B24/2,(C18+C19+C20+C23+C24)*(POWER((1+F26),'数据-取费表'!B24/2)-1)),0)</f>
        <v>1008</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ROUND(C6*F29/(1+'数据-取费表'!C42),0)</f>
        <v>2091</v>
      </c>
      <c r="D29" s="466"/>
      <c r="E29" s="466"/>
      <c r="F29" s="2983">
        <f>'数据-取费表'!B41</f>
        <v>5.5000000000000007E-2</v>
      </c>
      <c r="G29" s="2773" t="s">
        <v>498</v>
      </c>
      <c r="H29" s="2765"/>
      <c r="I29" s="2765"/>
      <c r="J29" s="2765"/>
      <c r="K29" s="2766"/>
    </row>
    <row r="30" spans="1:14" s="2103" customFormat="1" ht="13.5" customHeight="1">
      <c r="A30" s="1617" t="s">
        <v>1862</v>
      </c>
      <c r="B30" s="2814" t="s">
        <v>500</v>
      </c>
      <c r="C30" s="2809">
        <f ca="1">C31</f>
        <v>24323</v>
      </c>
      <c r="D30" s="475">
        <f ca="1">C32</f>
        <v>0.12909999999999999</v>
      </c>
      <c r="E30" s="467" t="s">
        <v>495</v>
      </c>
      <c r="F30" s="469"/>
      <c r="G30" s="2772" t="s">
        <v>2969</v>
      </c>
      <c r="H30" s="2765"/>
      <c r="I30" s="2765"/>
      <c r="J30" s="2765"/>
      <c r="K30" s="2766"/>
    </row>
    <row r="31" spans="1:14" s="2102" customFormat="1" ht="13.5" customHeight="1">
      <c r="A31" s="801" t="s">
        <v>1855</v>
      </c>
      <c r="B31" s="2810"/>
      <c r="C31" s="448">
        <f ca="1">C18+C19+C20+C23+C24+C26+C29</f>
        <v>24323</v>
      </c>
      <c r="D31" s="470"/>
      <c r="E31" s="471"/>
      <c r="F31" s="472"/>
      <c r="G31" s="259"/>
      <c r="H31" s="2767"/>
      <c r="I31" s="2767"/>
      <c r="J31" s="2767"/>
      <c r="K31" s="277"/>
    </row>
    <row r="32" spans="1:14" s="2102" customFormat="1" ht="13.5" customHeight="1">
      <c r="A32" s="801" t="s">
        <v>1856</v>
      </c>
      <c r="B32" s="2810"/>
      <c r="C32" s="53">
        <f ca="1">ROUND(C25+D26,4)</f>
        <v>0.12909999999999999</v>
      </c>
      <c r="D32" s="470"/>
      <c r="E32" s="471"/>
      <c r="F32" s="472"/>
      <c r="G32" s="259"/>
      <c r="H32" s="2767"/>
      <c r="I32" s="2767"/>
      <c r="J32" s="2767"/>
      <c r="K32" s="277"/>
    </row>
    <row r="33" spans="1:11" s="2104" customFormat="1" ht="13.5" customHeight="1">
      <c r="A33" s="2980" t="s">
        <v>2829</v>
      </c>
      <c r="B33" s="2978" t="s">
        <v>2827</v>
      </c>
      <c r="C33" s="476">
        <f ca="1">C35</f>
        <v>2122</v>
      </c>
      <c r="D33" s="465">
        <f ca="1">C34</f>
        <v>0.10290000000000001</v>
      </c>
      <c r="E33" s="467" t="s">
        <v>495</v>
      </c>
      <c r="F33" s="477">
        <f ca="1">IF(B1="",'数据-取费表'!Q16,INDIRECT("'数据-取费表'!q"&amp;$K$1))</f>
        <v>0.1</v>
      </c>
      <c r="G33" s="2768"/>
      <c r="H33" s="2769"/>
      <c r="I33" s="2769"/>
      <c r="J33" s="2769"/>
      <c r="K33" s="2770"/>
    </row>
    <row r="34" spans="1:11" s="2105" customFormat="1" ht="13.5" customHeight="1">
      <c r="A34" s="373" t="s">
        <v>1855</v>
      </c>
      <c r="B34" s="2815" t="s">
        <v>501</v>
      </c>
      <c r="C34" s="470">
        <f ca="1">ROUND((1+C25)*F33,4)</f>
        <v>0.10290000000000001</v>
      </c>
      <c r="D34" s="470"/>
      <c r="E34" s="471"/>
      <c r="F34" s="478"/>
      <c r="G34" s="259" t="s">
        <v>2287</v>
      </c>
      <c r="H34" s="2767"/>
      <c r="I34" s="2767"/>
      <c r="J34" s="2767"/>
      <c r="K34" s="277"/>
    </row>
    <row r="35" spans="1:11" s="2105" customFormat="1" ht="13.5" customHeight="1" thickBot="1">
      <c r="A35" s="1618" t="s">
        <v>1856</v>
      </c>
      <c r="B35" s="2979" t="s">
        <v>2835</v>
      </c>
      <c r="C35" s="1610">
        <f ca="1">ROUND((C18+C19+C20+C23+C24)*F33,0)</f>
        <v>2122</v>
      </c>
      <c r="D35" s="1611"/>
      <c r="E35" s="2816"/>
      <c r="F35" s="1612"/>
      <c r="G35" s="2774"/>
      <c r="H35" s="2775"/>
      <c r="I35" s="2775"/>
      <c r="J35" s="2775"/>
      <c r="K35" s="2776"/>
    </row>
    <row r="36" spans="1:11" s="2067" customFormat="1" ht="13.5" customHeight="1" thickBot="1">
      <c r="A36" s="282" t="s">
        <v>1843</v>
      </c>
      <c r="B36" s="2778"/>
      <c r="C36" s="2817">
        <f ca="1">ROUND((C6-C30-C33)/(1+D30+D33),0)</f>
        <v>10942</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16829</v>
      </c>
      <c r="D13" s="449"/>
      <c r="E13" s="363"/>
      <c r="F13" s="450"/>
      <c r="G13" s="442"/>
      <c r="H13" s="445"/>
      <c r="I13" s="445"/>
      <c r="J13" s="445"/>
      <c r="K13" s="446"/>
    </row>
    <row r="14" spans="1:41" s="2098" customFormat="1" ht="13.5" customHeight="1">
      <c r="A14" s="1615" t="s">
        <v>1848</v>
      </c>
      <c r="B14" s="447" t="s">
        <v>480</v>
      </c>
      <c r="C14" s="53">
        <f ca="1">ROUND(C13*F14,0)</f>
        <v>505</v>
      </c>
      <c r="D14" s="449"/>
      <c r="E14" s="363"/>
      <c r="F14" s="451">
        <f>'数据-取费表'!B33</f>
        <v>0.03</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841</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1262</v>
      </c>
      <c r="D16" s="449">
        <f ca="1">IF(B1="",'数据-汇总表'!E3,INDIRECT("'数据-取费表'!K"&amp;$K$1)+INDIRECT("'数据-取费表'!S"&amp;$K$1))</f>
        <v>84143.78</v>
      </c>
      <c r="E16" s="53">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252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19689</v>
      </c>
      <c r="D18" s="459"/>
      <c r="E18" s="460"/>
      <c r="F18" s="460"/>
      <c r="G18" s="1320" t="s">
        <v>2429</v>
      </c>
      <c r="H18" s="445"/>
      <c r="I18" s="445"/>
      <c r="J18" s="445"/>
      <c r="K18" s="446"/>
    </row>
    <row r="19" spans="1:14" s="2101" customFormat="1" ht="13.5" customHeight="1">
      <c r="A19" s="1616" t="s">
        <v>1853</v>
      </c>
      <c r="B19" s="457" t="s">
        <v>493</v>
      </c>
      <c r="C19" s="458">
        <f ca="1">ROUND(C18*F19,0)</f>
        <v>295</v>
      </c>
      <c r="D19" s="460"/>
      <c r="E19" s="460"/>
      <c r="F19" s="464">
        <f>'数据-取费表'!B37</f>
        <v>1.4999999999999999E-2</v>
      </c>
      <c r="G19" s="442" t="s">
        <v>503</v>
      </c>
      <c r="H19" s="445"/>
      <c r="I19" s="445"/>
      <c r="J19" s="445"/>
      <c r="K19" s="446"/>
      <c r="L19" s="2103"/>
      <c r="M19" s="2103"/>
      <c r="N19" s="2103"/>
    </row>
    <row r="20" spans="1:14" s="2101" customFormat="1" ht="13.5" customHeight="1">
      <c r="A20" s="1616" t="s">
        <v>1854</v>
      </c>
      <c r="B20" s="457" t="s">
        <v>504</v>
      </c>
      <c r="C20" s="2976">
        <f>F20</f>
        <v>1.4999999999999999E-2</v>
      </c>
      <c r="D20" s="467" t="s">
        <v>505</v>
      </c>
      <c r="E20" s="467"/>
      <c r="F20" s="484">
        <f>'数据-取费表'!B38</f>
        <v>1.4999999999999999E-2</v>
      </c>
      <c r="G20" s="1320" t="s">
        <v>506</v>
      </c>
      <c r="H20" s="445"/>
      <c r="I20" s="445"/>
      <c r="J20" s="445"/>
      <c r="K20" s="446"/>
      <c r="L20" s="2103"/>
      <c r="M20" s="2103"/>
      <c r="N20" s="2103"/>
    </row>
    <row r="21" spans="1:14" s="2103" customFormat="1" ht="13.5" customHeight="1">
      <c r="A21" s="1616" t="s">
        <v>1857</v>
      </c>
      <c r="B21" s="459" t="s">
        <v>494</v>
      </c>
      <c r="C21" s="468">
        <f ca="1">C22</f>
        <v>949</v>
      </c>
      <c r="D21" s="465">
        <f ca="1">C23</f>
        <v>6.9999999999999999E-4</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1" t="s">
        <v>2432</v>
      </c>
      <c r="C22" s="485">
        <f ca="1">ROUND(IF('数据-取费表'!B22&lt;=1,(C18+C19)*F21*'数据-取费表'!B20/2,(C18+C19)*(POWER((1+F21),'数据-取费表'!B20/2)-1)),0)</f>
        <v>949</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6.9999999999999999E-4</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8" t="s">
        <v>2828</v>
      </c>
      <c r="C24" s="476">
        <f ca="1">C25</f>
        <v>1998</v>
      </c>
      <c r="D24" s="487">
        <f ca="1">C26</f>
        <v>1.5E-3</v>
      </c>
      <c r="E24" s="467" t="s">
        <v>507</v>
      </c>
      <c r="F24" s="477">
        <f ca="1">IF(B1="",'数据-取费表'!Q16,INDIRECT("'数据-取费表'!q"&amp;$K$1))</f>
        <v>0.1</v>
      </c>
      <c r="G24" s="442"/>
      <c r="H24" s="445"/>
      <c r="I24" s="445"/>
      <c r="J24" s="445"/>
      <c r="K24" s="446"/>
    </row>
    <row r="25" spans="1:14" s="2102" customFormat="1" ht="13.5" customHeight="1">
      <c r="A25" s="1615" t="s">
        <v>1847</v>
      </c>
      <c r="B25" s="1321" t="s">
        <v>2433</v>
      </c>
      <c r="C25" s="488">
        <f ca="1">ROUND((C18+C19)*F24,0)</f>
        <v>1998</v>
      </c>
      <c r="D25" s="470"/>
      <c r="E25" s="471"/>
      <c r="F25" s="478"/>
      <c r="G25" s="1319" t="s">
        <v>2430</v>
      </c>
      <c r="H25" s="455"/>
      <c r="I25" s="455"/>
      <c r="J25" s="455"/>
      <c r="K25" s="456"/>
    </row>
    <row r="26" spans="1:14" s="2102" customFormat="1" ht="13.5" customHeight="1">
      <c r="A26" s="1615" t="s">
        <v>1848</v>
      </c>
      <c r="B26" s="1321" t="s">
        <v>509</v>
      </c>
      <c r="C26" s="489">
        <f ca="1">ROUND(F20*F24,4)</f>
        <v>1.5E-3</v>
      </c>
      <c r="D26" s="470"/>
      <c r="E26" s="479"/>
      <c r="F26" s="478"/>
      <c r="G26" s="1319" t="s">
        <v>510</v>
      </c>
      <c r="H26" s="455"/>
      <c r="I26" s="455"/>
      <c r="J26" s="455"/>
      <c r="K26" s="456"/>
    </row>
    <row r="27" spans="1:14" s="2102" customFormat="1" ht="13.5" customHeight="1">
      <c r="A27" s="1619" t="s">
        <v>1866</v>
      </c>
      <c r="B27" s="457" t="s">
        <v>511</v>
      </c>
      <c r="C27" s="2977">
        <f>ROUND(F27/(1+'数据-取费表'!C42),4)</f>
        <v>5.2400000000000002E-2</v>
      </c>
      <c r="D27" s="460" t="s">
        <v>2826</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24646</v>
      </c>
      <c r="D28" s="475"/>
      <c r="E28" s="467"/>
      <c r="F28" s="469"/>
      <c r="G28" s="1320"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01" t="s">
        <v>522</v>
      </c>
      <c r="D6" s="3402"/>
      <c r="E6" s="3425" t="s">
        <v>523</v>
      </c>
      <c r="F6" s="3426"/>
      <c r="G6" s="3401" t="s">
        <v>524</v>
      </c>
      <c r="H6" s="3402"/>
      <c r="I6" s="3401" t="s">
        <v>525</v>
      </c>
      <c r="J6" s="3402"/>
      <c r="K6" s="512" t="s">
        <v>526</v>
      </c>
      <c r="L6" s="2115"/>
      <c r="M6" s="2116"/>
      <c r="N6" s="2116"/>
      <c r="O6" s="2116"/>
      <c r="P6" s="3403" t="s">
        <v>527</v>
      </c>
      <c r="Q6" s="3404"/>
      <c r="R6" s="3389" t="s">
        <v>523</v>
      </c>
      <c r="S6" s="3390"/>
      <c r="T6" s="3389" t="s">
        <v>524</v>
      </c>
      <c r="U6" s="3390"/>
      <c r="V6" s="3409" t="s">
        <v>525</v>
      </c>
      <c r="W6" s="3409"/>
      <c r="X6" s="1550"/>
      <c r="Y6" s="3389" t="s">
        <v>527</v>
      </c>
      <c r="Z6" s="3390"/>
      <c r="AA6" s="3384" t="s">
        <v>523</v>
      </c>
      <c r="AB6" s="3385" t="s">
        <v>524</v>
      </c>
      <c r="AC6" s="3384" t="s">
        <v>525</v>
      </c>
    </row>
    <row r="7" spans="1:29" ht="15">
      <c r="A7" s="513"/>
      <c r="B7" s="514"/>
      <c r="C7" s="3412" t="s">
        <v>2927</v>
      </c>
      <c r="D7" s="3413"/>
      <c r="E7" s="3427" t="s">
        <v>2928</v>
      </c>
      <c r="F7" s="3428"/>
      <c r="G7" s="3412" t="s">
        <v>2929</v>
      </c>
      <c r="H7" s="3413"/>
      <c r="I7" s="3412" t="s">
        <v>2930</v>
      </c>
      <c r="J7" s="3413"/>
      <c r="K7" s="512"/>
      <c r="L7" s="2115"/>
      <c r="M7" s="2116"/>
      <c r="N7" s="2116"/>
      <c r="O7" s="2116"/>
      <c r="P7" s="3405"/>
      <c r="Q7" s="3406"/>
      <c r="R7" s="3391"/>
      <c r="S7" s="3392"/>
      <c r="T7" s="3391"/>
      <c r="U7" s="3392"/>
      <c r="V7" s="3409"/>
      <c r="W7" s="3409"/>
      <c r="X7" s="1550"/>
      <c r="Y7" s="3391"/>
      <c r="Z7" s="3392"/>
      <c r="AA7" s="3385"/>
      <c r="AB7" s="3385"/>
      <c r="AC7" s="3385"/>
    </row>
    <row r="8" spans="1:29" ht="15.75" thickBot="1">
      <c r="A8" s="515"/>
      <c r="B8" s="516"/>
      <c r="C8" s="3410" t="s">
        <v>2931</v>
      </c>
      <c r="D8" s="3411"/>
      <c r="E8" s="3429" t="s">
        <v>2931</v>
      </c>
      <c r="F8" s="3430"/>
      <c r="G8" s="3410" t="s">
        <v>2931</v>
      </c>
      <c r="H8" s="3411"/>
      <c r="I8" s="3410" t="s">
        <v>2931</v>
      </c>
      <c r="J8" s="3411"/>
      <c r="K8" s="512" t="s">
        <v>528</v>
      </c>
      <c r="L8" s="2115"/>
      <c r="M8" s="2116"/>
      <c r="N8" s="2116"/>
      <c r="O8" s="2116"/>
      <c r="P8" s="3407"/>
      <c r="Q8" s="3408"/>
      <c r="R8" s="3391"/>
      <c r="S8" s="3392"/>
      <c r="T8" s="3393"/>
      <c r="U8" s="3394"/>
      <c r="V8" s="3409"/>
      <c r="W8" s="3409"/>
      <c r="X8" s="1550"/>
      <c r="Y8" s="3393"/>
      <c r="Z8" s="3394"/>
      <c r="AA8" s="3386"/>
      <c r="AB8" s="3386"/>
      <c r="AC8" s="3386"/>
    </row>
    <row r="9" spans="1:29" s="1213" customFormat="1" ht="15.75" thickBot="1">
      <c r="A9" s="2863"/>
      <c r="B9" s="2870" t="s">
        <v>529</v>
      </c>
      <c r="C9" s="517">
        <f>'数据-取费表'!B2</f>
        <v>44036</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87" t="s">
        <v>530</v>
      </c>
      <c r="Q9" s="3396"/>
      <c r="R9" s="1551" t="s">
        <v>8</v>
      </c>
      <c r="S9" s="1552">
        <f t="shared" ref="S9:S17" si="0">F9</f>
        <v>0</v>
      </c>
      <c r="T9" s="1551" t="s">
        <v>8</v>
      </c>
      <c r="U9" s="1552">
        <f t="shared" ref="U9:U17" si="1">H9</f>
        <v>0</v>
      </c>
      <c r="V9" s="1551" t="s">
        <v>8</v>
      </c>
      <c r="W9" s="1552">
        <f t="shared" ref="W9:W17" si="2">J9</f>
        <v>0</v>
      </c>
      <c r="X9" s="1553"/>
      <c r="Y9" s="3387" t="s">
        <v>530</v>
      </c>
      <c r="Z9" s="3388"/>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87" t="s">
        <v>533</v>
      </c>
      <c r="Q10" s="3388"/>
      <c r="R10" s="1551" t="s">
        <v>8</v>
      </c>
      <c r="S10" s="1552">
        <f t="shared" si="0"/>
        <v>0</v>
      </c>
      <c r="T10" s="1551" t="s">
        <v>8</v>
      </c>
      <c r="U10" s="1552">
        <f t="shared" si="1"/>
        <v>0</v>
      </c>
      <c r="V10" s="1551" t="s">
        <v>8</v>
      </c>
      <c r="W10" s="1552">
        <f t="shared" si="2"/>
        <v>0</v>
      </c>
      <c r="X10" s="1553"/>
      <c r="Y10" s="3387" t="s">
        <v>533</v>
      </c>
      <c r="Z10" s="3388"/>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5" t="s">
        <v>535</v>
      </c>
      <c r="Q11" s="1144" t="str">
        <f t="shared" ref="Q11:Q17" si="6">B11</f>
        <v>用途</v>
      </c>
      <c r="R11" s="1551" t="s">
        <v>8</v>
      </c>
      <c r="S11" s="1552">
        <f t="shared" si="0"/>
        <v>100</v>
      </c>
      <c r="T11" s="1551" t="s">
        <v>8</v>
      </c>
      <c r="U11" s="1552">
        <f t="shared" si="1"/>
        <v>100</v>
      </c>
      <c r="V11" s="1551" t="s">
        <v>8</v>
      </c>
      <c r="W11" s="1552">
        <f t="shared" si="2"/>
        <v>100</v>
      </c>
      <c r="X11" s="1553"/>
      <c r="Y11" s="3352"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395"/>
      <c r="Q12" s="1144" t="str">
        <f t="shared" si="6"/>
        <v>土地使用年限（年）</v>
      </c>
      <c r="R12" s="1551" t="s">
        <v>8</v>
      </c>
      <c r="S12" s="1552">
        <f t="shared" si="0"/>
        <v>101</v>
      </c>
      <c r="T12" s="1551" t="s">
        <v>8</v>
      </c>
      <c r="U12" s="1552">
        <f t="shared" si="1"/>
        <v>101</v>
      </c>
      <c r="V12" s="1551" t="s">
        <v>8</v>
      </c>
      <c r="W12" s="1552">
        <f t="shared" si="2"/>
        <v>101</v>
      </c>
      <c r="X12" s="1553"/>
      <c r="Y12" s="3352"/>
      <c r="Z12" s="1143" t="str">
        <f t="shared" si="7"/>
        <v>土地使用年限（年）</v>
      </c>
      <c r="AA12" s="1554">
        <f t="shared" si="3"/>
        <v>0.99009900990099009</v>
      </c>
      <c r="AB12" s="1554">
        <f t="shared" si="4"/>
        <v>0.99009900990099009</v>
      </c>
      <c r="AC12" s="1554">
        <f t="shared" si="5"/>
        <v>0.99009900990099009</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5"/>
      <c r="Q13" s="1144" t="str">
        <f t="shared" si="6"/>
        <v>容积率</v>
      </c>
      <c r="R13" s="1551" t="s">
        <v>8</v>
      </c>
      <c r="S13" s="1552" t="e">
        <f t="shared" si="0"/>
        <v>#N/A</v>
      </c>
      <c r="T13" s="1551" t="s">
        <v>8</v>
      </c>
      <c r="U13" s="1552" t="e">
        <f t="shared" si="1"/>
        <v>#N/A</v>
      </c>
      <c r="V13" s="1551" t="s">
        <v>8</v>
      </c>
      <c r="W13" s="1552" t="e">
        <f t="shared" si="2"/>
        <v>#N/A</v>
      </c>
      <c r="X13" s="1553"/>
      <c r="Y13" s="3352"/>
      <c r="Z13" s="1143" t="str">
        <f t="shared" si="7"/>
        <v>容积率</v>
      </c>
      <c r="AA13" s="1554" t="e">
        <f t="shared" si="3"/>
        <v>#N/A</v>
      </c>
      <c r="AB13" s="1554" t="e">
        <f t="shared" si="4"/>
        <v>#N/A</v>
      </c>
      <c r="AC13" s="1554" t="e">
        <f t="shared" si="5"/>
        <v>#N/A</v>
      </c>
    </row>
    <row r="14" spans="1:29" s="1213"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5"/>
      <c r="Q14" s="1144">
        <f t="shared" si="6"/>
        <v>111</v>
      </c>
      <c r="R14" s="1551" t="s">
        <v>8</v>
      </c>
      <c r="S14" s="1552">
        <f t="shared" si="0"/>
        <v>100</v>
      </c>
      <c r="T14" s="1551" t="s">
        <v>8</v>
      </c>
      <c r="U14" s="1552">
        <f t="shared" si="1"/>
        <v>100</v>
      </c>
      <c r="V14" s="1551" t="s">
        <v>8</v>
      </c>
      <c r="W14" s="1552">
        <f t="shared" si="2"/>
        <v>100</v>
      </c>
      <c r="X14" s="1553"/>
      <c r="Y14" s="3352"/>
      <c r="Z14" s="1143">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5"/>
      <c r="Q15" s="1144">
        <f t="shared" si="6"/>
        <v>111</v>
      </c>
      <c r="R15" s="1551" t="s">
        <v>8</v>
      </c>
      <c r="S15" s="1552">
        <f t="shared" si="0"/>
        <v>100</v>
      </c>
      <c r="T15" s="1551" t="s">
        <v>8</v>
      </c>
      <c r="U15" s="1552">
        <f t="shared" si="1"/>
        <v>100</v>
      </c>
      <c r="V15" s="1551" t="s">
        <v>8</v>
      </c>
      <c r="W15" s="1552">
        <f t="shared" si="2"/>
        <v>100</v>
      </c>
      <c r="X15" s="1553"/>
      <c r="Y15" s="3352"/>
      <c r="Z15" s="1143">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5"/>
      <c r="Q16" s="1144">
        <f t="shared" si="6"/>
        <v>111</v>
      </c>
      <c r="R16" s="1551" t="s">
        <v>8</v>
      </c>
      <c r="S16" s="1552">
        <f t="shared" si="0"/>
        <v>100</v>
      </c>
      <c r="T16" s="1551" t="s">
        <v>8</v>
      </c>
      <c r="U16" s="1552">
        <f t="shared" si="1"/>
        <v>100</v>
      </c>
      <c r="V16" s="1551" t="s">
        <v>8</v>
      </c>
      <c r="W16" s="1552">
        <f t="shared" si="2"/>
        <v>100</v>
      </c>
      <c r="X16" s="1553"/>
      <c r="Y16" s="3352"/>
      <c r="Z16" s="1143">
        <f t="shared" si="7"/>
        <v>111</v>
      </c>
      <c r="AA16" s="1554">
        <f t="shared" si="3"/>
        <v>1</v>
      </c>
      <c r="AB16" s="1554">
        <f t="shared" si="4"/>
        <v>1</v>
      </c>
      <c r="AC16" s="1554">
        <f t="shared" si="5"/>
        <v>1</v>
      </c>
    </row>
    <row r="17" spans="1:29" ht="57">
      <c r="A17" s="2861"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97" t="s">
        <v>540</v>
      </c>
      <c r="Q17" s="1555" t="str">
        <f t="shared" si="6"/>
        <v>产业集聚程度</v>
      </c>
      <c r="R17" s="1556" t="s">
        <v>8</v>
      </c>
      <c r="S17" s="1557">
        <f t="shared" si="0"/>
        <v>100</v>
      </c>
      <c r="T17" s="1556" t="s">
        <v>8</v>
      </c>
      <c r="U17" s="1557">
        <f t="shared" si="1"/>
        <v>100</v>
      </c>
      <c r="V17" s="1556" t="s">
        <v>8</v>
      </c>
      <c r="W17" s="1557">
        <f t="shared" si="2"/>
        <v>100</v>
      </c>
      <c r="X17" s="1550"/>
      <c r="Y17" s="3397"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398"/>
      <c r="Q18" s="1555"/>
      <c r="R18" s="1556"/>
      <c r="S18" s="1557"/>
      <c r="T18" s="1556"/>
      <c r="U18" s="1557"/>
      <c r="V18" s="1556"/>
      <c r="W18" s="1557"/>
      <c r="X18" s="1550"/>
      <c r="Y18" s="3398"/>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398"/>
      <c r="Q19" s="1555" t="str">
        <f>B19</f>
        <v>交通便捷度</v>
      </c>
      <c r="R19" s="1556" t="s">
        <v>8</v>
      </c>
      <c r="S19" s="1557">
        <f>F19</f>
        <v>100</v>
      </c>
      <c r="T19" s="1556" t="s">
        <v>8</v>
      </c>
      <c r="U19" s="1557">
        <f>H19</f>
        <v>100</v>
      </c>
      <c r="V19" s="1556" t="s">
        <v>8</v>
      </c>
      <c r="W19" s="1557">
        <f>J19</f>
        <v>100</v>
      </c>
      <c r="X19" s="1550"/>
      <c r="Y19" s="3398"/>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398"/>
      <c r="Q20" s="1555"/>
      <c r="R20" s="1556"/>
      <c r="S20" s="1557"/>
      <c r="T20" s="1556"/>
      <c r="U20" s="1557"/>
      <c r="V20" s="1556"/>
      <c r="W20" s="1557"/>
      <c r="X20" s="1550"/>
      <c r="Y20" s="3398"/>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398"/>
      <c r="Q21" s="1555" t="str">
        <f t="shared" ref="Q21:Q35" si="8">B21</f>
        <v>区域土地利用方向</v>
      </c>
      <c r="R21" s="1556" t="s">
        <v>8</v>
      </c>
      <c r="S21" s="1557">
        <f>F21</f>
        <v>100</v>
      </c>
      <c r="T21" s="1556" t="s">
        <v>8</v>
      </c>
      <c r="U21" s="1557">
        <f>H21</f>
        <v>100</v>
      </c>
      <c r="V21" s="1556" t="s">
        <v>8</v>
      </c>
      <c r="W21" s="1557">
        <f>J21</f>
        <v>100</v>
      </c>
      <c r="X21" s="1550"/>
      <c r="Y21" s="3398"/>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398"/>
      <c r="Q22" s="1555"/>
      <c r="R22" s="1556"/>
      <c r="S22" s="1557"/>
      <c r="T22" s="1556"/>
      <c r="U22" s="1557"/>
      <c r="V22" s="1556"/>
      <c r="W22" s="1557"/>
      <c r="X22" s="1550"/>
      <c r="Y22" s="3398"/>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398"/>
      <c r="Q23" s="1555" t="str">
        <f t="shared" si="8"/>
        <v>环境状况</v>
      </c>
      <c r="R23" s="1556" t="s">
        <v>8</v>
      </c>
      <c r="S23" s="1557">
        <f>F23</f>
        <v>100</v>
      </c>
      <c r="T23" s="1556" t="s">
        <v>8</v>
      </c>
      <c r="U23" s="1557">
        <f>H23</f>
        <v>100</v>
      </c>
      <c r="V23" s="1556" t="s">
        <v>8</v>
      </c>
      <c r="W23" s="1557">
        <f>J23</f>
        <v>100</v>
      </c>
      <c r="X23" s="1550"/>
      <c r="Y23" s="3398"/>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398"/>
      <c r="Q24" s="1555"/>
      <c r="R24" s="1556"/>
      <c r="S24" s="1557"/>
      <c r="T24" s="1556"/>
      <c r="U24" s="1557"/>
      <c r="V24" s="1556"/>
      <c r="W24" s="1557"/>
      <c r="X24" s="1550"/>
      <c r="Y24" s="3398"/>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398"/>
      <c r="Q25" s="1144" t="str">
        <f t="shared" si="8"/>
        <v>公共配套设施</v>
      </c>
      <c r="R25" s="1551" t="s">
        <v>8</v>
      </c>
      <c r="S25" s="1552">
        <f>F25</f>
        <v>100</v>
      </c>
      <c r="T25" s="1551" t="s">
        <v>8</v>
      </c>
      <c r="U25" s="1552">
        <f>H25</f>
        <v>100</v>
      </c>
      <c r="V25" s="1551" t="s">
        <v>8</v>
      </c>
      <c r="W25" s="1552">
        <f>J25</f>
        <v>100</v>
      </c>
      <c r="X25" s="1553"/>
      <c r="Y25" s="3398"/>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398"/>
      <c r="Q26" s="1144"/>
      <c r="R26" s="1551"/>
      <c r="S26" s="1552"/>
      <c r="T26" s="1551"/>
      <c r="U26" s="1552"/>
      <c r="V26" s="1551"/>
      <c r="W26" s="1552"/>
      <c r="X26" s="1553"/>
      <c r="Y26" s="3398"/>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398"/>
      <c r="Q27" s="2539" t="str">
        <f>B27</f>
        <v>基础设施水平</v>
      </c>
      <c r="R27" s="1551" t="s">
        <v>8</v>
      </c>
      <c r="S27" s="1552">
        <f>F27</f>
        <v>100</v>
      </c>
      <c r="T27" s="1551" t="s">
        <v>8</v>
      </c>
      <c r="U27" s="1552">
        <f>H27</f>
        <v>100</v>
      </c>
      <c r="V27" s="1551" t="s">
        <v>8</v>
      </c>
      <c r="W27" s="1552">
        <f>J27</f>
        <v>100</v>
      </c>
      <c r="X27" s="1553"/>
      <c r="Y27" s="3398"/>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398"/>
      <c r="Q28" s="2539"/>
      <c r="R28" s="1551"/>
      <c r="S28" s="1552"/>
      <c r="T28" s="1551"/>
      <c r="U28" s="1552"/>
      <c r="V28" s="1551"/>
      <c r="W28" s="1552"/>
      <c r="X28" s="1553"/>
      <c r="Y28" s="3398"/>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398"/>
      <c r="Q29" s="1555" t="str">
        <f t="shared" si="8"/>
        <v>临街状况</v>
      </c>
      <c r="R29" s="1556" t="s">
        <v>8</v>
      </c>
      <c r="S29" s="1557">
        <f t="shared" ref="S29:S42" si="9">F29</f>
        <v>100</v>
      </c>
      <c r="T29" s="1556" t="s">
        <v>8</v>
      </c>
      <c r="U29" s="1557">
        <f t="shared" ref="U29:U42" si="10">H29</f>
        <v>100</v>
      </c>
      <c r="V29" s="1556" t="s">
        <v>8</v>
      </c>
      <c r="W29" s="1557">
        <f t="shared" ref="W29:W42" si="11">J29</f>
        <v>100</v>
      </c>
      <c r="X29" s="1550"/>
      <c r="Y29" s="3398"/>
      <c r="Z29" s="1558" t="str">
        <f t="shared" ref="Z29:Z42" si="12">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398"/>
      <c r="Q30" s="1555" t="str">
        <f t="shared" si="8"/>
        <v>毗邻道路的类型与等级</v>
      </c>
      <c r="R30" s="1556" t="s">
        <v>8</v>
      </c>
      <c r="S30" s="1557">
        <f t="shared" si="9"/>
        <v>100</v>
      </c>
      <c r="T30" s="1556" t="s">
        <v>8</v>
      </c>
      <c r="U30" s="1557">
        <f t="shared" si="10"/>
        <v>100</v>
      </c>
      <c r="V30" s="1556" t="s">
        <v>8</v>
      </c>
      <c r="W30" s="1557">
        <f t="shared" si="11"/>
        <v>100</v>
      </c>
      <c r="X30" s="1550"/>
      <c r="Y30" s="3398"/>
      <c r="Z30" s="1558" t="str">
        <f t="shared" si="12"/>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398"/>
      <c r="Q31" s="1555"/>
      <c r="R31" s="1556"/>
      <c r="S31" s="1557"/>
      <c r="T31" s="1556"/>
      <c r="U31" s="1557"/>
      <c r="V31" s="1556"/>
      <c r="W31" s="1557"/>
      <c r="X31" s="1550"/>
      <c r="Y31" s="3398"/>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398"/>
      <c r="Q32" s="1555" t="str">
        <f t="shared" si="8"/>
        <v>土地级别</v>
      </c>
      <c r="R32" s="1556" t="s">
        <v>8</v>
      </c>
      <c r="S32" s="1557">
        <f t="shared" si="9"/>
        <v>100</v>
      </c>
      <c r="T32" s="1556" t="s">
        <v>8</v>
      </c>
      <c r="U32" s="1557">
        <f t="shared" si="10"/>
        <v>100</v>
      </c>
      <c r="V32" s="1556" t="s">
        <v>8</v>
      </c>
      <c r="W32" s="1557">
        <f t="shared" si="11"/>
        <v>100</v>
      </c>
      <c r="X32" s="1550"/>
      <c r="Y32" s="3398"/>
      <c r="Z32" s="1558" t="str">
        <f t="shared" si="12"/>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398"/>
      <c r="Q33" s="1555">
        <f t="shared" si="8"/>
        <v>111</v>
      </c>
      <c r="R33" s="1556" t="s">
        <v>8</v>
      </c>
      <c r="S33" s="1557">
        <f t="shared" si="9"/>
        <v>100</v>
      </c>
      <c r="T33" s="1556" t="s">
        <v>8</v>
      </c>
      <c r="U33" s="1557">
        <f t="shared" si="10"/>
        <v>100</v>
      </c>
      <c r="V33" s="1556" t="s">
        <v>8</v>
      </c>
      <c r="W33" s="1557">
        <f t="shared" si="11"/>
        <v>100</v>
      </c>
      <c r="X33" s="1550"/>
      <c r="Y33" s="3398"/>
      <c r="Z33" s="1558">
        <f t="shared" si="12"/>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399" t="s">
        <v>550</v>
      </c>
      <c r="Q34" s="1555">
        <f t="shared" si="8"/>
        <v>111</v>
      </c>
      <c r="R34" s="1556" t="s">
        <v>8</v>
      </c>
      <c r="S34" s="1557">
        <f t="shared" si="9"/>
        <v>100</v>
      </c>
      <c r="T34" s="1556" t="s">
        <v>8</v>
      </c>
      <c r="U34" s="1557">
        <f t="shared" si="10"/>
        <v>100</v>
      </c>
      <c r="V34" s="1556" t="s">
        <v>8</v>
      </c>
      <c r="W34" s="1557">
        <f t="shared" si="11"/>
        <v>100</v>
      </c>
      <c r="X34" s="1550"/>
      <c r="Y34" s="3400" t="s">
        <v>550</v>
      </c>
      <c r="Z34" s="1558">
        <f t="shared" si="12"/>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00"/>
      <c r="Q35" s="1555">
        <f t="shared" si="8"/>
        <v>111</v>
      </c>
      <c r="R35" s="1560" t="s">
        <v>8</v>
      </c>
      <c r="S35" s="1561">
        <f t="shared" si="9"/>
        <v>100</v>
      </c>
      <c r="T35" s="1560" t="s">
        <v>8</v>
      </c>
      <c r="U35" s="1561">
        <f t="shared" si="10"/>
        <v>100</v>
      </c>
      <c r="V35" s="1560" t="s">
        <v>8</v>
      </c>
      <c r="W35" s="1561">
        <f t="shared" si="11"/>
        <v>100</v>
      </c>
      <c r="X35" s="1562"/>
      <c r="Y35" s="3400"/>
      <c r="Z35" s="1563">
        <f t="shared" si="12"/>
        <v>111</v>
      </c>
      <c r="AA35" s="1559">
        <f t="shared" si="3"/>
        <v>1</v>
      </c>
      <c r="AB35" s="1559">
        <f t="shared" si="4"/>
        <v>1</v>
      </c>
      <c r="AC35" s="1559">
        <f t="shared" si="5"/>
        <v>1</v>
      </c>
    </row>
    <row r="36" spans="1:29" ht="15">
      <c r="A36" s="2859"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00"/>
      <c r="Q36" s="1555" t="str">
        <f>B36</f>
        <v>宗地面积</v>
      </c>
      <c r="R36" s="1556" t="s">
        <v>8</v>
      </c>
      <c r="S36" s="1557" t="e">
        <f t="shared" si="9"/>
        <v>#N/A</v>
      </c>
      <c r="T36" s="1556" t="s">
        <v>8</v>
      </c>
      <c r="U36" s="1557" t="e">
        <f t="shared" si="10"/>
        <v>#N/A</v>
      </c>
      <c r="V36" s="1556" t="s">
        <v>8</v>
      </c>
      <c r="W36" s="1557" t="e">
        <f t="shared" si="11"/>
        <v>#N/A</v>
      </c>
      <c r="X36" s="1550"/>
      <c r="Y36" s="3400"/>
      <c r="Z36" s="1558" t="str">
        <f t="shared" si="12"/>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00"/>
      <c r="Q37" s="1555" t="str">
        <f t="shared" ref="Q37:Q42" si="13">B37</f>
        <v>宗地形状</v>
      </c>
      <c r="R37" s="1556" t="s">
        <v>8</v>
      </c>
      <c r="S37" s="1557">
        <f t="shared" si="9"/>
        <v>100</v>
      </c>
      <c r="T37" s="1556" t="s">
        <v>8</v>
      </c>
      <c r="U37" s="1557">
        <f t="shared" si="10"/>
        <v>100</v>
      </c>
      <c r="V37" s="1556" t="s">
        <v>8</v>
      </c>
      <c r="W37" s="1557">
        <f t="shared" si="11"/>
        <v>100</v>
      </c>
      <c r="X37" s="1550"/>
      <c r="Y37" s="3400"/>
      <c r="Z37" s="1558" t="str">
        <f t="shared" si="12"/>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00"/>
      <c r="Q38" s="1555" t="str">
        <f t="shared" si="13"/>
        <v>宗地开发程度</v>
      </c>
      <c r="R38" s="1551" t="s">
        <v>8</v>
      </c>
      <c r="S38" s="1552">
        <f t="shared" si="9"/>
        <v>100</v>
      </c>
      <c r="T38" s="1551" t="s">
        <v>8</v>
      </c>
      <c r="U38" s="1552">
        <f t="shared" si="10"/>
        <v>100</v>
      </c>
      <c r="V38" s="1551" t="s">
        <v>8</v>
      </c>
      <c r="W38" s="1552">
        <f t="shared" si="11"/>
        <v>100</v>
      </c>
      <c r="X38" s="1553"/>
      <c r="Y38" s="3400"/>
      <c r="Z38" s="1143" t="str">
        <f t="shared" si="12"/>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0" t="s">
        <v>601</v>
      </c>
      <c r="Q39" s="1555" t="str">
        <f t="shared" si="13"/>
        <v>工程地质条件</v>
      </c>
      <c r="R39" s="1556" t="s">
        <v>8</v>
      </c>
      <c r="S39" s="1557">
        <f t="shared" si="9"/>
        <v>100</v>
      </c>
      <c r="T39" s="1556" t="s">
        <v>8</v>
      </c>
      <c r="U39" s="1557">
        <f t="shared" si="10"/>
        <v>100</v>
      </c>
      <c r="V39" s="1556" t="s">
        <v>8</v>
      </c>
      <c r="W39" s="1557">
        <f t="shared" si="11"/>
        <v>100</v>
      </c>
      <c r="X39" s="1550"/>
      <c r="Y39" s="3400" t="s">
        <v>601</v>
      </c>
      <c r="Z39" s="1558" t="str">
        <f t="shared" si="12"/>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00"/>
      <c r="Q40" s="1555">
        <f t="shared" si="13"/>
        <v>111</v>
      </c>
      <c r="R40" s="1556" t="s">
        <v>8</v>
      </c>
      <c r="S40" s="1557">
        <f t="shared" si="9"/>
        <v>100</v>
      </c>
      <c r="T40" s="1556" t="s">
        <v>8</v>
      </c>
      <c r="U40" s="1557">
        <f t="shared" si="10"/>
        <v>100</v>
      </c>
      <c r="V40" s="1556" t="s">
        <v>8</v>
      </c>
      <c r="W40" s="1557">
        <f t="shared" si="11"/>
        <v>100</v>
      </c>
      <c r="X40" s="1550"/>
      <c r="Y40" s="3400"/>
      <c r="Z40" s="1558">
        <f t="shared" si="12"/>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00"/>
      <c r="Q41" s="1555">
        <f t="shared" si="13"/>
        <v>111</v>
      </c>
      <c r="R41" s="1556" t="s">
        <v>8</v>
      </c>
      <c r="S41" s="1557">
        <f t="shared" si="9"/>
        <v>100</v>
      </c>
      <c r="T41" s="1556" t="s">
        <v>8</v>
      </c>
      <c r="U41" s="1557">
        <f t="shared" si="10"/>
        <v>100</v>
      </c>
      <c r="V41" s="1556" t="s">
        <v>8</v>
      </c>
      <c r="W41" s="1557">
        <f t="shared" si="11"/>
        <v>100</v>
      </c>
      <c r="X41" s="1550"/>
      <c r="Y41" s="3400"/>
      <c r="Z41" s="1558">
        <f t="shared" si="12"/>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00"/>
      <c r="Q42" s="1555">
        <f t="shared" si="13"/>
        <v>111</v>
      </c>
      <c r="R42" s="1560" t="s">
        <v>8</v>
      </c>
      <c r="S42" s="1561">
        <f t="shared" si="9"/>
        <v>100</v>
      </c>
      <c r="T42" s="1560" t="s">
        <v>8</v>
      </c>
      <c r="U42" s="1561">
        <f t="shared" si="10"/>
        <v>100</v>
      </c>
      <c r="V42" s="1560" t="s">
        <v>8</v>
      </c>
      <c r="W42" s="1561">
        <f t="shared" si="11"/>
        <v>100</v>
      </c>
      <c r="X42" s="1562"/>
      <c r="Y42" s="3400"/>
      <c r="Z42" s="1563">
        <f t="shared" si="12"/>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395" t="str">
        <f>A43</f>
        <v>成交单价</v>
      </c>
      <c r="Q43" s="3395"/>
      <c r="R43" s="3409">
        <f>E43</f>
        <v>0</v>
      </c>
      <c r="S43" s="3409"/>
      <c r="T43" s="3409">
        <f>G43</f>
        <v>0</v>
      </c>
      <c r="U43" s="3409"/>
      <c r="V43" s="3409">
        <f>I43</f>
        <v>0</v>
      </c>
      <c r="W43" s="3409"/>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395" t="str">
        <f>A44</f>
        <v>比较价格（元/平方米）</v>
      </c>
      <c r="Q44" s="3395"/>
      <c r="R44" s="3419" t="e">
        <f>ROUND(PRODUCT(R43,AA9:AA42),0)</f>
        <v>#DIV/0!</v>
      </c>
      <c r="S44" s="3419"/>
      <c r="T44" s="3419" t="e">
        <f>ROUND(PRODUCT(T43,AB9:AB42),0)</f>
        <v>#DIV/0!</v>
      </c>
      <c r="U44" s="3419"/>
      <c r="V44" s="3419" t="e">
        <f>ROUND(PRODUCT(V43,AC9:AC42),0)</f>
        <v>#DIV/0!</v>
      </c>
      <c r="W44" s="3419"/>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416" t="str">
        <f>A45</f>
        <v>估价对象XX用房的比较价格（楼面单价，元/平方米）</v>
      </c>
      <c r="Q45" s="3417"/>
      <c r="R45" s="3418" t="e">
        <f>ROUND(AVERAGE(R44:V44),0)</f>
        <v>#DIV/0!</v>
      </c>
      <c r="S45" s="3418"/>
      <c r="T45" s="3418"/>
      <c r="U45" s="3418"/>
      <c r="V45" s="3418"/>
      <c r="W45" s="3418"/>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20" t="s">
        <v>2281</v>
      </c>
      <c r="H52" s="3421"/>
      <c r="I52" s="1934" t="s">
        <v>1942</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84143.78</v>
      </c>
      <c r="F53" s="1932" t="e">
        <f t="shared" ref="F53:F62" si="14">ROUND(B53*E53/10000,0)</f>
        <v>#DIV/0!</v>
      </c>
      <c r="G53" s="3422"/>
      <c r="H53" s="3423"/>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5">IF($C$52="北京市系数",I54,J54)</f>
        <v>0</v>
      </c>
      <c r="D54" s="2211">
        <v>0.25</v>
      </c>
      <c r="E54" s="637"/>
      <c r="F54" s="1932" t="e">
        <f t="shared" si="14"/>
        <v>#DIV/0!</v>
      </c>
      <c r="G54" s="3424"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6">ROUND($C$45*C55*D55,0)</f>
        <v>#DIV/0!</v>
      </c>
      <c r="C55" s="376">
        <f t="shared" si="15"/>
        <v>0</v>
      </c>
      <c r="D55" s="2211">
        <v>0.25</v>
      </c>
      <c r="E55" s="637"/>
      <c r="F55" s="1932" t="e">
        <f t="shared" si="14"/>
        <v>#DIV/0!</v>
      </c>
      <c r="G55" s="3424"/>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6"/>
        <v>#DIV/0!</v>
      </c>
      <c r="C56" s="376">
        <f t="shared" si="15"/>
        <v>0</v>
      </c>
      <c r="D56" s="2211">
        <v>0.25</v>
      </c>
      <c r="E56" s="637"/>
      <c r="F56" s="1932" t="e">
        <f t="shared" si="14"/>
        <v>#DIV/0!</v>
      </c>
      <c r="G56" s="3424"/>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6"/>
        <v>#DIV/0!</v>
      </c>
      <c r="C57" s="376">
        <f t="shared" si="15"/>
        <v>0</v>
      </c>
      <c r="D57" s="2211">
        <v>0.25</v>
      </c>
      <c r="E57" s="637"/>
      <c r="F57" s="1932" t="e">
        <f t="shared" si="14"/>
        <v>#DIV/0!</v>
      </c>
      <c r="G57" s="3424"/>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6"/>
        <v>#DIV/0!</v>
      </c>
      <c r="C58" s="376">
        <f t="shared" si="15"/>
        <v>0</v>
      </c>
      <c r="D58" s="2211">
        <v>0.25</v>
      </c>
      <c r="E58" s="639">
        <f>'数据-汇总表'!E11</f>
        <v>0</v>
      </c>
      <c r="F58" s="1932" t="e">
        <f t="shared" si="14"/>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6"/>
        <v>#DIV/0!</v>
      </c>
      <c r="C59" s="376">
        <f t="shared" si="15"/>
        <v>0</v>
      </c>
      <c r="D59" s="2211">
        <v>0.25</v>
      </c>
      <c r="E59" s="639">
        <f>'数据-汇总表'!E12</f>
        <v>0</v>
      </c>
      <c r="F59" s="1932" t="e">
        <f t="shared" si="14"/>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6"/>
        <v>#DIV/0!</v>
      </c>
      <c r="C60" s="376">
        <f t="shared" si="15"/>
        <v>0</v>
      </c>
      <c r="D60" s="2211">
        <v>0.25</v>
      </c>
      <c r="E60" s="639">
        <f>'数据-汇总表'!E13</f>
        <v>0</v>
      </c>
      <c r="F60" s="1932" t="e">
        <f t="shared" si="14"/>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6"/>
        <v>#DIV/0!</v>
      </c>
      <c r="C61" s="376">
        <f t="shared" si="15"/>
        <v>0</v>
      </c>
      <c r="D61" s="2211">
        <v>0.25</v>
      </c>
      <c r="E61" s="639">
        <f>'数据-汇总表'!E14</f>
        <v>0</v>
      </c>
      <c r="F61" s="1932" t="e">
        <f t="shared" si="14"/>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6"/>
        <v>#DIV/0!</v>
      </c>
      <c r="C62" s="376">
        <f t="shared" si="15"/>
        <v>0</v>
      </c>
      <c r="D62" s="2211">
        <v>0.25</v>
      </c>
      <c r="E62" s="639">
        <f>'数据-汇总表'!E15</f>
        <v>0</v>
      </c>
      <c r="F62" s="1932" t="e">
        <f t="shared" si="14"/>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42071.89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2020-7-1</v>
      </c>
      <c r="D65" s="2751">
        <f>EDATE(C65,-3)</f>
        <v>43922</v>
      </c>
      <c r="E65" s="2751">
        <f t="shared" ref="E65:N65" si="17">EDATE(D65,-3)</f>
        <v>43831</v>
      </c>
      <c r="F65" s="2751">
        <f t="shared" si="17"/>
        <v>43739</v>
      </c>
      <c r="G65" s="2751">
        <f t="shared" si="17"/>
        <v>43647</v>
      </c>
      <c r="H65" s="2751">
        <f t="shared" si="17"/>
        <v>43556</v>
      </c>
      <c r="I65" s="2751">
        <f t="shared" si="17"/>
        <v>43466</v>
      </c>
      <c r="J65" s="2751">
        <f t="shared" si="17"/>
        <v>43374</v>
      </c>
      <c r="K65" s="2751">
        <f t="shared" si="17"/>
        <v>43282</v>
      </c>
      <c r="L65" s="2751">
        <f t="shared" si="17"/>
        <v>43191</v>
      </c>
      <c r="M65" s="2751">
        <f t="shared" si="17"/>
        <v>43101</v>
      </c>
      <c r="N65" s="2751">
        <f t="shared" si="17"/>
        <v>43009</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7" t="str">
        <f>YEAR(C65)&amp;"-"&amp;ROUNDUP(MONTH(C65)/3,0)</f>
        <v>2020-3</v>
      </c>
      <c r="D67" s="2753" t="str">
        <f t="shared" ref="D67:N67" si="18">YEAR(D65)&amp;"-"&amp;ROUNDUP(MONTH(D65)/3,0)</f>
        <v>2020-2</v>
      </c>
      <c r="E67" s="2753" t="str">
        <f t="shared" si="18"/>
        <v>2020-1</v>
      </c>
      <c r="F67" s="2753" t="str">
        <f t="shared" si="18"/>
        <v>2019-4</v>
      </c>
      <c r="G67" s="2753" t="str">
        <f t="shared" si="18"/>
        <v>2019-3</v>
      </c>
      <c r="H67" s="2753" t="str">
        <f t="shared" si="18"/>
        <v>2019-2</v>
      </c>
      <c r="I67" s="2753" t="str">
        <f t="shared" si="18"/>
        <v>2019-1</v>
      </c>
      <c r="J67" s="2753" t="str">
        <f t="shared" si="18"/>
        <v>2018-4</v>
      </c>
      <c r="K67" s="2753" t="str">
        <f t="shared" si="18"/>
        <v>2018-3</v>
      </c>
      <c r="L67" s="2753" t="str">
        <f t="shared" si="18"/>
        <v>2018-2</v>
      </c>
      <c r="M67" s="2753" t="str">
        <f t="shared" si="18"/>
        <v>2018-1</v>
      </c>
      <c r="N67" s="2753" t="str">
        <f t="shared" si="18"/>
        <v>2017-4</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2645</v>
      </c>
      <c r="B68" s="477" t="str">
        <f>"北京市平均增长率"&amp;TEXT(基准地价!P24,"0.00%")</f>
        <v>北京市平均增长率0.00%</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38" t="str">
        <f t="shared" si="24"/>
        <v>(含)-</v>
      </c>
      <c r="L109" s="3039" t="str">
        <f t="shared" si="24"/>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7" t="s">
        <v>2758</v>
      </c>
      <c r="S1" s="2887" t="s">
        <v>2759</v>
      </c>
      <c r="T1" s="2887" t="s">
        <v>2780</v>
      </c>
      <c r="U1" s="2887" t="s">
        <v>2781</v>
      </c>
      <c r="V1" s="2887"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8">
        <v>1</v>
      </c>
      <c r="S2" s="2888" t="e">
        <f>ROUND(IF(G3&gt;1,IF(R2&lt;7,SUMPRODUCT((B93:B98=R2)*(C92:N92=G2)*(C93:N98)),SUMIF(C92:N92,G2,C100:N100)),IF(R2&lt;7,SUMPRODUCT((B102:B107=R2)*(C92:N92=G2)*(C102:N107)),SUMIF(C92:N92,G2,C109:N109))),4)</f>
        <v>#REF!</v>
      </c>
      <c r="T2" s="2888" t="e">
        <f>ROUND($C$5*$C$18*$C$19*$C$20*S2*$C$24,0)</f>
        <v>#DIV/0!</v>
      </c>
      <c r="U2" s="2877"/>
      <c r="V2" s="2888" t="e">
        <f>ROUND(T2*U2/10000,0)</f>
        <v>#DIV/0!</v>
      </c>
      <c r="W2" s="2171"/>
      <c r="X2" s="2171"/>
      <c r="Y2" s="2171"/>
      <c r="Z2" s="2171"/>
      <c r="AA2" s="2171"/>
      <c r="AB2" s="2171"/>
      <c r="AC2" s="2172"/>
    </row>
    <row r="3" spans="1:39" ht="15.75">
      <c r="A3" s="1404" t="s">
        <v>1686</v>
      </c>
      <c r="B3" s="1035" t="e">
        <f>ROUND(B2*10000/D1,0)</f>
        <v>#DIV/0!</v>
      </c>
      <c r="C3" s="1400" t="s">
        <v>927</v>
      </c>
      <c r="D3" s="1401" t="s">
        <v>928</v>
      </c>
      <c r="E3" s="1405"/>
      <c r="F3" s="1406"/>
      <c r="G3" s="1036" t="e">
        <f>IF(F3="宗地容积率",'数据-汇总表'!I4,IF(F3="估价对象容积率",'数据-汇总表'!I6,'数据-汇总表'!I7))</f>
        <v>#REF!</v>
      </c>
      <c r="H3" s="1407" t="s">
        <v>929</v>
      </c>
      <c r="I3" s="1037">
        <v>8</v>
      </c>
      <c r="J3" s="1403" t="s">
        <v>930</v>
      </c>
      <c r="K3" s="1403"/>
      <c r="L3" s="1867" t="s">
        <v>2237</v>
      </c>
      <c r="M3" s="1868">
        <f>SUMPRODUCT((区片价!B29:B48=I2)*(区片价!C3:F3=E2)*(区片价!C29:F48))</f>
        <v>0</v>
      </c>
      <c r="N3" s="1869">
        <f>SUMPRODUCT((因素修正幅度!B29:B48=I2)*(因素修正幅度!C3:F3=E2)*(因素修正幅度!C29:F48))</f>
        <v>0</v>
      </c>
      <c r="O3" s="1403"/>
      <c r="P3" s="1394"/>
      <c r="Q3" s="2171"/>
      <c r="R3" s="2888">
        <v>2</v>
      </c>
      <c r="S3" s="2888" t="e">
        <f>ROUND(IF(G3&gt;1,IF(R3&lt;7,SUMPRODUCT((B93:B98=R3)*(C92:N92=G2)*(C93:N98)),SUMIF(C92:N92,G2,C100:N100)),IF(R3&lt;7,SUMPRODUCT((B102:B107=R3)*(C92:N92=G2)*(C102:N107)),SUMIF(C92:N92,G2,C109:N109))),4)</f>
        <v>#REF!</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2"/>
      <c r="L4" s="1867" t="s">
        <v>2238</v>
      </c>
      <c r="M4" s="1868">
        <f>SUMPRODUCT((区片价!B49:B75=I2)*(区片价!C3:F3=E2)*(区片价!C49:F75))</f>
        <v>0</v>
      </c>
      <c r="N4" s="1869">
        <f>SUMPRODUCT((因素修正幅度!B49:B75=I2)*(因素修正幅度!C3:F3=E2)*(因素修正幅度!C49:F75))</f>
        <v>0</v>
      </c>
      <c r="O4" s="3142"/>
      <c r="P4" s="1394"/>
      <c r="Q4" s="2171"/>
      <c r="R4" s="2888">
        <v>3</v>
      </c>
      <c r="S4" s="2888" t="e">
        <f>ROUND(IF(G3&gt;1,IF(R4&lt;7,SUMPRODUCT((B93:B98=R4)*(C92:N92=G2)*(C93:N98)),SUMIF(C92:N92,G2,C100:N100)),IF(R4&lt;7,SUMPRODUCT((B102:B107=R4)*(C92:N92=G2)*(C102:N107)),SUMIF(C92:N92,G2,C109:N109))),4)</f>
        <v>#REF!</v>
      </c>
      <c r="T4" s="2888" t="e">
        <f t="shared" si="0"/>
        <v>#DIV/0!</v>
      </c>
      <c r="U4" s="2877"/>
      <c r="V4" s="2888" t="e">
        <f t="shared" si="1"/>
        <v>#DIV/0!</v>
      </c>
      <c r="W4" s="2171"/>
      <c r="X4" s="2171"/>
      <c r="Y4" s="2171"/>
      <c r="Z4" s="2171"/>
      <c r="AA4" s="2171"/>
      <c r="AB4" s="2171"/>
      <c r="AC4" s="2172"/>
    </row>
    <row r="5" spans="1:39" s="1414" customFormat="1" ht="15.75" thickBot="1">
      <c r="A5" s="1620" t="s">
        <v>1822</v>
      </c>
      <c r="B5" s="1408" t="s">
        <v>931</v>
      </c>
      <c r="C5" s="1038" t="e">
        <f>ROUND(IF(E2="商业",C6*C7+C16,(IF(E2="住宅",C6*C12+C16,C6+C16))),0)</f>
        <v>#DIV/0!</v>
      </c>
      <c r="D5" s="3066" t="e">
        <f>ROUND(C6+C16,0)</f>
        <v>#DIV/0!</v>
      </c>
      <c r="E5" s="3066"/>
      <c r="F5" s="1409"/>
      <c r="G5" s="1410"/>
      <c r="H5" s="1410"/>
      <c r="I5" s="1410"/>
      <c r="J5" s="1411"/>
      <c r="K5" s="3143"/>
      <c r="L5" s="1867" t="s">
        <v>2239</v>
      </c>
      <c r="M5" s="1868">
        <f>SUMPRODUCT((区片价!B76:B109=I2)*(区片价!C3:F3=E2)*(区片价!C76:F109))</f>
        <v>0</v>
      </c>
      <c r="N5" s="1869">
        <f>SUMPRODUCT((因素修正幅度!B76:B109=I2)*(因素修正幅度!C3:F3=E2)*(因素修正幅度!C76:F109))</f>
        <v>0</v>
      </c>
      <c r="O5" s="3143"/>
      <c r="P5" s="1577"/>
      <c r="Q5" s="2171"/>
      <c r="R5" s="2888">
        <v>4</v>
      </c>
      <c r="S5" s="2888" t="e">
        <f>ROUND(IF(G3&gt;1,IF(R5&lt;7,SUMPRODUCT((B93:B98=R5)*(C92:N92=G2)*(C93:N98)),SUMIF(C92:N92,G2,C100:N100)),IF(R5&lt;7,SUMPRODUCT((B102:B107=R5)*(C92:N92=G2)*(C102:N107)),SUMIF(C92:N92,G2,C109:N109))),4)</f>
        <v>#REF!</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931</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8">
        <v>5</v>
      </c>
      <c r="S6" s="2888" t="e">
        <f>ROUND(IF(G3&gt;1,IF(R6&lt;7,SUMPRODUCT((B93:B98=R6)*(C92:N92=G2)*(C93:N98)),SUMIF(C92:N92,G2,C100:N100)),IF(R6&lt;7,SUMPRODUCT((B102:B107=R6)*(C92:N92=G2)*(C102:N107)),SUMIF(C92:N92,G2,C109:N109))),4)</f>
        <v>#REF!</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32" t="str">
        <f>IF(E2="商业",IF(C8="不临58条商业街","",2),"")</f>
        <v/>
      </c>
      <c r="B7" s="1420" t="s">
        <v>932</v>
      </c>
      <c r="C7" s="1040" t="e">
        <f>IF(C8="不临58条商业街",1,ROUND(1+(1.6*E8+1.2*E9+0.8*E10+0.4*E11)*C9,4))</f>
        <v>#DIV/0!</v>
      </c>
      <c r="D7" s="1421" t="s">
        <v>933</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8">
        <v>6</v>
      </c>
      <c r="S7" s="2888" t="e">
        <f>ROUND(IF(G3&gt;1,IF(R7&lt;7,SUMPRODUCT((B93:B98=R7)*(C92:N92=G2)*(C93:N98)),SUMIF(C92:N92,G2,C100:N100)),IF(R7&lt;7,SUMPRODUCT((B102:B107=R7)*(C92:N92=G2)*(C102:N107)),SUMIF(C92:N92,G2,C109:N109))),4)</f>
        <v>#REF!</v>
      </c>
      <c r="T7" s="2888" t="e">
        <f t="shared" si="0"/>
        <v>#DIV/0!</v>
      </c>
      <c r="U7" s="2877"/>
      <c r="V7" s="2888" t="e">
        <f t="shared" si="1"/>
        <v>#DIV/0!</v>
      </c>
      <c r="W7" s="2886" t="s">
        <v>2761</v>
      </c>
      <c r="X7" s="2878">
        <f>G2</f>
        <v>0</v>
      </c>
      <c r="Y7" s="2878" t="s">
        <v>2762</v>
      </c>
      <c r="Z7" s="2879" t="e">
        <f>G3</f>
        <v>#REF!</v>
      </c>
      <c r="AA7" s="2174"/>
      <c r="AB7" s="2174"/>
      <c r="AC7" s="2175"/>
      <c r="AD7" s="2880"/>
      <c r="AE7" s="2880"/>
      <c r="AF7" s="2880"/>
      <c r="AG7" s="2880"/>
      <c r="AH7" s="2880"/>
      <c r="AI7" s="2880"/>
      <c r="AJ7" s="2881"/>
    </row>
    <row r="8" spans="1:39" ht="15">
      <c r="A8" s="3433"/>
      <c r="B8" s="1407" t="s">
        <v>934</v>
      </c>
      <c r="C8" s="1513"/>
      <c r="D8" s="1042" t="s">
        <v>935</v>
      </c>
      <c r="E8" s="1043" t="e">
        <f>ROUND(C11/E7,4)</f>
        <v>#DIV/0!</v>
      </c>
      <c r="F8" s="1425" t="s">
        <v>936</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43" t="s">
        <v>2779</v>
      </c>
      <c r="X8" s="3444"/>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33"/>
      <c r="B9" s="1407" t="s">
        <v>937</v>
      </c>
      <c r="C9" s="1044">
        <f>SUMIF(修正!C59:C119,C8,修正!E59:E119)</f>
        <v>0</v>
      </c>
      <c r="D9" s="1045" t="s">
        <v>938</v>
      </c>
      <c r="E9" s="1045" t="e">
        <f>ROUND(C11/E7,4)</f>
        <v>#DIV/0!</v>
      </c>
      <c r="F9" s="1425" t="s">
        <v>939</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42" t="s">
        <v>2775</v>
      </c>
      <c r="X9" s="2882" t="s">
        <v>2776</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33"/>
      <c r="B10" s="1407" t="s">
        <v>940</v>
      </c>
      <c r="C10" s="1045">
        <f>SUMIF(修正!C59:C119,C8,修正!F59:F119)</f>
        <v>0</v>
      </c>
      <c r="D10" s="1045" t="s">
        <v>941</v>
      </c>
      <c r="E10" s="1045" t="e">
        <f>ROUND(C11/E7,4)</f>
        <v>#DIV/0!</v>
      </c>
      <c r="F10" s="1425" t="s">
        <v>942</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42"/>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33"/>
      <c r="B11" s="1428" t="s">
        <v>943</v>
      </c>
      <c r="C11" s="1046">
        <f>C10/4</f>
        <v>0</v>
      </c>
      <c r="D11" s="1046" t="s">
        <v>944</v>
      </c>
      <c r="E11" s="1046" t="e">
        <f>ROUND(C11/E7,4)</f>
        <v>#DIV/0!</v>
      </c>
      <c r="F11" s="1429" t="s">
        <v>945</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42" t="s">
        <v>2777</v>
      </c>
      <c r="X11" s="1045" t="s">
        <v>2762</v>
      </c>
      <c r="Y11" s="1635" t="e">
        <f>$G$3</f>
        <v>#REF!</v>
      </c>
      <c r="Z11" s="1635" t="e">
        <f t="shared" ref="Z11:AJ11" si="3">$G$3</f>
        <v>#REF!</v>
      </c>
      <c r="AA11" s="1635" t="e">
        <f t="shared" si="3"/>
        <v>#REF!</v>
      </c>
      <c r="AB11" s="1635" t="e">
        <f t="shared" si="3"/>
        <v>#REF!</v>
      </c>
      <c r="AC11" s="1635" t="e">
        <f t="shared" si="3"/>
        <v>#REF!</v>
      </c>
      <c r="AD11" s="1635" t="e">
        <f t="shared" si="3"/>
        <v>#REF!</v>
      </c>
      <c r="AE11" s="1635" t="e">
        <f t="shared" si="3"/>
        <v>#REF!</v>
      </c>
      <c r="AF11" s="1635" t="e">
        <f t="shared" si="3"/>
        <v>#REF!</v>
      </c>
      <c r="AG11" s="1635" t="e">
        <f t="shared" si="3"/>
        <v>#REF!</v>
      </c>
      <c r="AH11" s="1635" t="e">
        <f t="shared" si="3"/>
        <v>#REF!</v>
      </c>
      <c r="AI11" s="1635" t="e">
        <f t="shared" si="3"/>
        <v>#REF!</v>
      </c>
      <c r="AJ11" s="1635" t="e">
        <f t="shared" si="3"/>
        <v>#REF!</v>
      </c>
    </row>
    <row r="12" spans="1:39" ht="25.5" thickBot="1">
      <c r="A12" s="3432" t="s">
        <v>1870</v>
      </c>
      <c r="B12" s="1432" t="s">
        <v>946</v>
      </c>
      <c r="C12" s="1040">
        <f>ROUND(C15*D15*E15*F15*G15*H15*I15*J15,4)</f>
        <v>1</v>
      </c>
      <c r="D12" s="1433" t="s">
        <v>947</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42"/>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34"/>
      <c r="B13" s="1437" t="s">
        <v>1695</v>
      </c>
      <c r="C13" s="1438" t="s">
        <v>1696</v>
      </c>
      <c r="D13" s="1082" t="s">
        <v>1697</v>
      </c>
      <c r="E13" s="1082" t="s">
        <v>1698</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442"/>
      <c r="X13" s="2885"/>
      <c r="Y13" s="2884" t="e">
        <f>(-0.163*(Y12^2)-0.59*Y12+7617)*(10^(-4))/Y11</f>
        <v>#REF!</v>
      </c>
      <c r="Z13" s="2884" t="e">
        <f t="shared" ref="Z13:AJ13" si="5">(-0.163*(Z12^2)-0.59*Z12+7617)*(10^(-4))/Z11</f>
        <v>#REF!</v>
      </c>
      <c r="AA13" s="2884" t="e">
        <f t="shared" si="5"/>
        <v>#REF!</v>
      </c>
      <c r="AB13" s="2884" t="e">
        <f t="shared" si="5"/>
        <v>#REF!</v>
      </c>
      <c r="AC13" s="2884" t="e">
        <f t="shared" si="5"/>
        <v>#REF!</v>
      </c>
      <c r="AD13" s="2884" t="e">
        <f t="shared" si="5"/>
        <v>#REF!</v>
      </c>
      <c r="AE13" s="2884" t="e">
        <f t="shared" si="5"/>
        <v>#REF!</v>
      </c>
      <c r="AF13" s="2884" t="e">
        <f t="shared" si="5"/>
        <v>#REF!</v>
      </c>
      <c r="AG13" s="2884" t="e">
        <f t="shared" si="5"/>
        <v>#REF!</v>
      </c>
      <c r="AH13" s="2884" t="e">
        <f t="shared" si="5"/>
        <v>#REF!</v>
      </c>
      <c r="AI13" s="2884" t="e">
        <f t="shared" si="5"/>
        <v>#REF!</v>
      </c>
      <c r="AJ13" s="2884" t="e">
        <f t="shared" si="5"/>
        <v>#REF!</v>
      </c>
    </row>
    <row r="14" spans="1:39" ht="12.75" customHeight="1">
      <c r="A14" s="3434"/>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35"/>
      <c r="B15" s="3163" t="s">
        <v>1699</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32" t="s">
        <v>1837</v>
      </c>
      <c r="B16" s="1420" t="s">
        <v>950</v>
      </c>
      <c r="C16" s="1049" t="e">
        <f>ROUND(IF(F17="与级别开发程度一致",0,(G17-E17)/C17),0)</f>
        <v>#DIV/0!</v>
      </c>
      <c r="D16" s="3450" t="s">
        <v>954</v>
      </c>
      <c r="E16" s="3451"/>
      <c r="F16" s="3450" t="s">
        <v>951</v>
      </c>
      <c r="G16" s="3451"/>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36"/>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956</v>
      </c>
      <c r="C19" s="1050">
        <f>ROUND(IF(H19="按公示增长率计算",SUMPRODUCT((地价!A3:A30=YEAR(G19)&amp;"-"&amp;ROUNDUP(MONTH(G19)/3,0))*(地价!X2:AB2=E2)*(地价!X3:AB30)),IF(H19="地价指数",M20/M19,(1+I19)^O19)),4)</f>
        <v>0</v>
      </c>
      <c r="D19" s="1459" t="s">
        <v>957</v>
      </c>
      <c r="E19" s="1051">
        <v>41640</v>
      </c>
      <c r="F19" s="1459" t="s">
        <v>958</v>
      </c>
      <c r="G19" s="1052">
        <f>'数据-取费表'!B2</f>
        <v>44036</v>
      </c>
      <c r="H19" s="1460" t="s">
        <v>2988</v>
      </c>
      <c r="I19" s="2737" t="str">
        <f>IF(H19="季度增幅（自定义）",SUMIF(N21:N24,E2,O21:O24),"")</f>
        <v/>
      </c>
      <c r="J19" s="1456"/>
      <c r="K19" s="3143"/>
      <c r="L19" s="2986" t="s">
        <v>2837</v>
      </c>
      <c r="M19" s="2987">
        <f>ROUND(SUMIF(地价!B2:F2,E2,地价!B30:F30),0)</f>
        <v>0</v>
      </c>
      <c r="N19" s="2739" t="s">
        <v>1676</v>
      </c>
      <c r="O19" s="2738">
        <f>ROUNDDOWN(DATEDIF(E19,G19,"M")/3,0)</f>
        <v>26</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8" t="s">
        <v>2838</v>
      </c>
      <c r="M20" s="3152">
        <f>ROUND(SUMPRODUCT((地价!A4:A30=YEAR(G19)&amp;"-"&amp;ROUNDUP(MONTH(G19)/3,0))*(地价!B2:F2=E2)*(地价!B4:F30)),0)</f>
        <v>0</v>
      </c>
      <c r="N20" s="2742" t="s">
        <v>2641</v>
      </c>
      <c r="O20" s="2740" t="s">
        <v>2640</v>
      </c>
      <c r="P20" s="2741" t="s">
        <v>2646</v>
      </c>
      <c r="Q20" s="2876"/>
      <c r="R20" s="2177"/>
      <c r="S20" s="2177"/>
      <c r="T20" s="2177"/>
      <c r="U20" s="2177"/>
      <c r="V20" s="2177"/>
      <c r="W20" s="2177"/>
      <c r="X20" s="2177"/>
      <c r="Y20" s="1457"/>
      <c r="Z20" s="1457"/>
      <c r="AA20" s="1457"/>
      <c r="AB20" s="1457"/>
      <c r="AC20" s="1457"/>
      <c r="AD20" s="1457"/>
    </row>
    <row r="21" spans="1:40" s="1414" customFormat="1" ht="14.25">
      <c r="A21" s="1624" t="s">
        <v>1836</v>
      </c>
      <c r="B21" s="1465" t="s">
        <v>2757</v>
      </c>
      <c r="C21" s="1151" t="e">
        <f>IF(B21="容积率修正",IF(G3&lt;=10,D22,J22),C23)</f>
        <v>#REF!</v>
      </c>
      <c r="D21" s="1466"/>
      <c r="E21" s="1466"/>
      <c r="F21" s="1466"/>
      <c r="G21" s="1466"/>
      <c r="H21" s="1466"/>
      <c r="I21" s="1466"/>
      <c r="J21" s="1467"/>
      <c r="K21" s="3143"/>
      <c r="L21" s="1466"/>
      <c r="M21" s="1466"/>
      <c r="N21" s="1463" t="s">
        <v>975</v>
      </c>
      <c r="O21" s="1526"/>
      <c r="P21" s="2729">
        <f>SUMPRODUCT((地价!A3:A30=YEAR(G19)&amp;"-"&amp;ROUNDUP(MONTH(G19)/3,0))*(地价!AD2:AH2=N21)*(地价!AD3:AH30))</f>
        <v>0</v>
      </c>
      <c r="Q21" s="2876"/>
      <c r="R21" s="2177"/>
      <c r="S21" s="2177"/>
      <c r="T21" s="2177"/>
      <c r="U21" s="2177"/>
      <c r="V21" s="2177"/>
      <c r="W21" s="2177"/>
      <c r="X21" s="2177"/>
      <c r="Y21" s="1396"/>
      <c r="Z21" s="1396"/>
      <c r="AA21" s="1396"/>
      <c r="AB21" s="1396"/>
      <c r="AC21" s="1457"/>
      <c r="AD21" s="1457"/>
    </row>
    <row r="22" spans="1:40" s="1414" customFormat="1" ht="14.25">
      <c r="A22" s="1625" t="s">
        <v>1869</v>
      </c>
      <c r="B22" s="1468" t="s">
        <v>976</v>
      </c>
      <c r="C22" s="1053" t="s">
        <v>1701</v>
      </c>
      <c r="D22" s="1053" t="e">
        <f>IF(E22=G22,F22,IF(G3&lt;=10,ROUND(F22+(H22-F22)*(G3-E22)/(G22-E22),4),"——"))</f>
        <v>#REF!</v>
      </c>
      <c r="E22" s="1036" t="e">
        <f>ROUNDDOWN(G3,1)</f>
        <v>#REF!</v>
      </c>
      <c r="F22" s="10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36" t="e">
        <f>ROUNDUP(G3,1)</f>
        <v>#REF!</v>
      </c>
      <c r="H22" s="10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53" t="s">
        <v>977</v>
      </c>
      <c r="J22" s="1053" t="e">
        <f>IF(G3&gt;10,D113,"——")</f>
        <v>#REF!</v>
      </c>
      <c r="K22" s="3146"/>
      <c r="L22" s="1466"/>
      <c r="M22" s="1466"/>
      <c r="N22" s="1463" t="s">
        <v>978</v>
      </c>
      <c r="O22" s="1526"/>
      <c r="P22" s="2729">
        <f>SUMPRODUCT((地价!A3:A30=YEAR(G19)&amp;"-"&amp;ROUNDUP(MONTH(G19)/3,0))*(地价!AD2:AH2=N22)*(地价!AD3:AH30))</f>
        <v>0</v>
      </c>
      <c r="Q22" s="2876"/>
      <c r="R22" s="2177"/>
      <c r="S22" s="2177"/>
      <c r="T22" s="2177"/>
      <c r="U22" s="2177"/>
      <c r="V22" s="2177"/>
      <c r="W22" s="2177"/>
      <c r="X22" s="2177"/>
      <c r="Y22" s="1457"/>
      <c r="Z22" s="1457"/>
      <c r="AA22" s="1457"/>
      <c r="AB22" s="1457"/>
      <c r="AC22" s="1457"/>
      <c r="AD22" s="1457"/>
    </row>
    <row r="23" spans="1:40" ht="15.75" thickBot="1">
      <c r="A23" s="1625" t="s">
        <v>1870</v>
      </c>
      <c r="B23" s="1468" t="s">
        <v>979</v>
      </c>
      <c r="C23" s="1054" t="e">
        <f>ROUND(IF(G3&gt;1,IF(I3&lt;7,SUMPRODUCT((B93:B98=I3)*(C92:N92=G2)*(C93:N98)),SUMIF(C92:N92,G2,C100:N100)),IF(I3&lt;7,SUMPRODUCT((B102:B107=I3)*(C92:N92=G2)*(C102:N107)),SUMIF(C92:N92,G2,C109:N109))),4)</f>
        <v>#REF!</v>
      </c>
      <c r="D23" s="1514"/>
      <c r="E23" s="1514"/>
      <c r="F23" s="1515"/>
      <c r="G23" s="1516"/>
      <c r="H23" s="1517"/>
      <c r="I23" s="1518"/>
      <c r="J23" s="1518"/>
      <c r="K23" s="3147"/>
      <c r="L23" s="1394"/>
      <c r="M23" s="1394"/>
      <c r="N23" s="1463" t="s">
        <v>923</v>
      </c>
      <c r="O23" s="1526"/>
      <c r="P23" s="2729">
        <f>SUMPRODUCT((地价!A3:A30=YEAR(G19)&amp;"-"&amp;ROUNDUP(MONTH(G19)/3,0))*(地价!AD2:AH2=N23)*(地价!AD3:AH30))</f>
        <v>0</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980</v>
      </c>
      <c r="C24" s="1055">
        <f>SUMIF(A44:A87,E2,B44:B87)</f>
        <v>0</v>
      </c>
      <c r="D24" s="1519"/>
      <c r="E24" s="1520"/>
      <c r="F24" s="1520"/>
      <c r="G24" s="1520"/>
      <c r="H24" s="1520"/>
      <c r="I24" s="1520"/>
      <c r="J24" s="1520"/>
      <c r="K24" s="3147"/>
      <c r="L24" s="1466"/>
      <c r="M24" s="1466"/>
      <c r="N24" s="1463" t="s">
        <v>981</v>
      </c>
      <c r="O24" s="3151"/>
      <c r="P24" s="2729">
        <f>SUMPRODUCT((地价!A3:A30=YEAR(G19)&amp;"-"&amp;ROUNDUP(MONTH(G19)/3,0))*(地价!AD2:AH2=N24)*(地价!AD3:AH30))</f>
        <v>0</v>
      </c>
      <c r="Q24" s="2876"/>
      <c r="R24" s="2177"/>
      <c r="S24" s="2177"/>
      <c r="T24" s="2177"/>
      <c r="U24" s="2177"/>
      <c r="V24" s="2177"/>
      <c r="W24" s="2177"/>
      <c r="X24" s="2177"/>
      <c r="Y24" s="1457"/>
      <c r="Z24" s="1457"/>
      <c r="AA24" s="1457"/>
      <c r="AB24" s="1457"/>
      <c r="AC24" s="1457"/>
      <c r="AD24" s="1457"/>
    </row>
    <row r="25" spans="1:40" ht="15" thickBot="1">
      <c r="A25" s="1623" t="s">
        <v>1872</v>
      </c>
      <c r="B25" s="1470" t="s">
        <v>982</v>
      </c>
      <c r="C25" s="1471"/>
      <c r="D25" s="1423"/>
      <c r="E25" s="1423"/>
      <c r="F25" s="1472"/>
      <c r="G25" s="1423"/>
      <c r="H25" s="1423"/>
      <c r="I25" s="1423"/>
      <c r="J25" s="1424"/>
      <c r="K25" s="1449"/>
      <c r="L25" s="2177"/>
      <c r="M25" s="2177"/>
      <c r="N25" s="3153" t="s">
        <v>2644</v>
      </c>
      <c r="O25" s="3154"/>
      <c r="P25" s="2408">
        <f>SUMPRODUCT((地价!A3:A30=YEAR(G19)&amp;"-"&amp;ROUNDUP(MONTH(G19)/3,0))*(地价!AD2:AH2=N25)*(地价!AD3:AH30))</f>
        <v>0</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1700</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39" t="s">
        <v>2958</v>
      </c>
      <c r="B33" s="1508" t="s">
        <v>999</v>
      </c>
      <c r="C33" s="1056" t="e">
        <f>ROUND(D5*C19*C20*C24*F33,0)</f>
        <v>#DIV/0!</v>
      </c>
      <c r="D33" s="1521"/>
      <c r="E33" s="1045" t="e">
        <f>ROUND(C33*D33/10000,0)</f>
        <v>#DIV/0!</v>
      </c>
      <c r="F33" s="1045">
        <f>SUMIF(修正!A45:A56,G2,修正!B45:B56)</f>
        <v>0</v>
      </c>
      <c r="G33" s="1045" t="e">
        <f>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0"/>
      <c r="B34" s="1438" t="s">
        <v>1000</v>
      </c>
      <c r="C34" s="1056" t="e">
        <f>ROUND(D5*C19*C20*C24*F34,0)</f>
        <v>#DIV/0!</v>
      </c>
      <c r="D34" s="1521"/>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0"/>
      <c r="B35" s="1438" t="s">
        <v>1001</v>
      </c>
      <c r="C35" s="1056" t="e">
        <f>ROUND(D5*C19*C20*C24*F35,0)</f>
        <v>#DIV/0!</v>
      </c>
      <c r="D35" s="1521"/>
      <c r="E35" s="1045" t="e">
        <f t="shared" si="6"/>
        <v>#DIV/0!</v>
      </c>
      <c r="F35" s="1045">
        <f>SUMIF(修正!A45:A56,G2,修正!D45:D56)</f>
        <v>0</v>
      </c>
      <c r="G35" s="1045" t="e">
        <f>ROUND(IF(E2="工业",C35*$M$39,C35*$M$38),0)</f>
        <v>#DIV/0!</v>
      </c>
      <c r="H35" s="1045">
        <f t="shared" si="7"/>
        <v>0</v>
      </c>
      <c r="I35" s="1045" t="e">
        <f t="shared" si="8"/>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1"/>
      <c r="B36" s="1438" t="s">
        <v>1002</v>
      </c>
      <c r="C36" s="1056" t="e">
        <f>ROUND(D5*C19*C20*C24*F36,0)</f>
        <v>#DIV/0!</v>
      </c>
      <c r="D36" s="1521"/>
      <c r="E36" s="1045" t="e">
        <f t="shared" si="6"/>
        <v>#DIV/0!</v>
      </c>
      <c r="F36" s="1045">
        <f>SUMIF(修正!A45:A56,G2,修正!E45:E56)</f>
        <v>0</v>
      </c>
      <c r="G36" s="1045" t="e">
        <f>ROUND(IF(E2="工业",C36*$M$39,C36*$M$38),0)</f>
        <v>#DIV/0!</v>
      </c>
      <c r="H36" s="1045">
        <f t="shared" si="7"/>
        <v>0</v>
      </c>
      <c r="I36" s="1045" t="e">
        <f t="shared" si="8"/>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6"/>
        <v>#DIV/0!</v>
      </c>
      <c r="F37" s="1056">
        <f>SUMIF(修正!A45:A56,G2,修正!F45:F56)</f>
        <v>0</v>
      </c>
      <c r="G37" s="1045" t="e">
        <f>ROUND(IF(E2="工业",C37*$M$39,C37*$M$38),0)</f>
        <v>#DIV/0!</v>
      </c>
      <c r="H37" s="1045">
        <f t="shared" si="7"/>
        <v>0</v>
      </c>
      <c r="I37" s="1045" t="e">
        <f t="shared" si="8"/>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6"/>
        <v>#DIV/0!</v>
      </c>
      <c r="F38" s="1056">
        <f>SUMIF(修正!A45:A56,G2,修正!G45:G56)</f>
        <v>0</v>
      </c>
      <c r="G38" s="1045" t="e">
        <f>ROUND(IF(E2="工业",C38*$M$39,C38*$M$38),0)</f>
        <v>#DIV/0!</v>
      </c>
      <c r="H38" s="1045">
        <f t="shared" si="7"/>
        <v>0</v>
      </c>
      <c r="I38" s="1045" t="e">
        <f t="shared" si="8"/>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6"/>
        <v>#DIV/0!</v>
      </c>
      <c r="F39" s="1058">
        <f>SUMIF(修正!A45:A56,G2,修正!H45:H56)</f>
        <v>0</v>
      </c>
      <c r="G39" s="1048" t="e">
        <f>ROUND(IF(E2="工业",C39*$M$39,C39*$M$38),0)</f>
        <v>#DIV/0!</v>
      </c>
      <c r="H39" s="1048">
        <f t="shared" si="7"/>
        <v>0</v>
      </c>
      <c r="I39" s="1048" t="e">
        <f t="shared" si="8"/>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2982</v>
      </c>
      <c r="C41" s="837" t="e">
        <f>ROUND(POWER(1+E41,H41-G41)*(POWER(1+E41,G41)-1)/(POWER(1+E41,H41)-1),4)</f>
        <v>#DIV/0!</v>
      </c>
      <c r="D41" s="376" t="s">
        <v>2980</v>
      </c>
      <c r="E41" s="3140">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2247</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3" t="s">
        <v>2935</v>
      </c>
      <c r="C50" s="1047"/>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2" t="s">
        <v>2934</v>
      </c>
      <c r="C52" s="1047"/>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2248</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3" t="s">
        <v>2936</v>
      </c>
      <c r="C61" s="1047"/>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2" t="s">
        <v>2934</v>
      </c>
      <c r="C63" s="1047"/>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2249</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2" t="s">
        <v>2934</v>
      </c>
      <c r="C75" s="1152"/>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2250</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398"/>
      <c r="AD81" s="1397"/>
      <c r="AJ81" s="1396"/>
      <c r="AN81" s="1397"/>
    </row>
    <row r="82" spans="1:40" ht="24">
      <c r="A82" s="1060" t="s">
        <v>1022</v>
      </c>
      <c r="B82" s="2369">
        <f>估价对象房地状况!G17</f>
        <v>0</v>
      </c>
      <c r="C82" s="1047"/>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398"/>
      <c r="AD82" s="1397"/>
      <c r="AJ82" s="1396"/>
      <c r="AN82" s="1397"/>
    </row>
    <row r="83" spans="1:40" ht="14.25">
      <c r="A83" s="1060" t="s">
        <v>1034</v>
      </c>
      <c r="B83" s="2369">
        <f>估价对象房地状况!G22</f>
        <v>0</v>
      </c>
      <c r="C83" s="1047"/>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398"/>
      <c r="AD83" s="1397"/>
      <c r="AJ83" s="1396"/>
      <c r="AN83" s="1397"/>
    </row>
    <row r="84" spans="1:40" ht="24">
      <c r="A84" s="1060" t="s">
        <v>1026</v>
      </c>
      <c r="B84" s="2370" t="str">
        <f>估价对象房地状况!G19</f>
        <v>估价对象所在区域公共配套设施齐备情况</v>
      </c>
      <c r="C84" s="1047"/>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398"/>
      <c r="AD84" s="1397"/>
      <c r="AJ84" s="1396"/>
      <c r="AN84" s="1397"/>
    </row>
    <row r="85" spans="1:40" ht="24">
      <c r="A85" s="1060" t="s">
        <v>1027</v>
      </c>
      <c r="B85" s="2370" t="str">
        <f>估价对象房地状况!G20</f>
        <v>估价对象所在区域基础设施水平</v>
      </c>
      <c r="C85" s="1047"/>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398"/>
      <c r="AD85" s="1397"/>
      <c r="AJ85" s="1396"/>
      <c r="AN85" s="1397"/>
    </row>
    <row r="86" spans="1:40" ht="24">
      <c r="A86" s="1060" t="s">
        <v>1025</v>
      </c>
      <c r="B86" s="3042" t="s">
        <v>2934</v>
      </c>
      <c r="C86" s="1047"/>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398"/>
      <c r="AD87" s="1397"/>
      <c r="AJ87" s="1396"/>
      <c r="AN87" s="1397"/>
    </row>
    <row r="90" spans="1:40">
      <c r="A90" s="3437" t="s">
        <v>1633</v>
      </c>
      <c r="B90" s="3437"/>
      <c r="C90" s="3437"/>
      <c r="D90" s="3437"/>
      <c r="E90" s="3437"/>
      <c r="F90" s="3437"/>
      <c r="G90" s="3437"/>
      <c r="H90" s="3437"/>
      <c r="I90" s="3437"/>
      <c r="J90" s="3437"/>
      <c r="K90" s="2411"/>
      <c r="L90" s="2411"/>
      <c r="M90" s="2411"/>
      <c r="N90" s="2411"/>
    </row>
    <row r="91" spans="1:40">
      <c r="A91" s="3438" t="s">
        <v>1443</v>
      </c>
      <c r="B91" s="3438" t="s">
        <v>1634</v>
      </c>
      <c r="C91" s="1133" t="s">
        <v>1635</v>
      </c>
      <c r="D91" s="1134"/>
      <c r="E91" s="1134"/>
      <c r="F91" s="1134"/>
      <c r="G91" s="1134"/>
      <c r="H91" s="1134"/>
      <c r="I91" s="1134"/>
      <c r="J91" s="1135"/>
      <c r="K91" s="1127"/>
      <c r="L91" s="1127"/>
      <c r="M91" s="1127"/>
      <c r="N91" s="1127"/>
    </row>
    <row r="92" spans="1:40">
      <c r="A92" s="3438"/>
      <c r="B92" s="3438"/>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5"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6"/>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6"/>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6"/>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6"/>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6"/>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6"/>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447"/>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5" t="s">
        <v>1637</v>
      </c>
      <c r="B101" s="1140" t="s">
        <v>906</v>
      </c>
      <c r="C101" s="1141" t="e">
        <f>$G$3</f>
        <v>#REF!</v>
      </c>
      <c r="D101" s="1141" t="e">
        <f t="shared" ref="D101:N101" si="30">$G$3</f>
        <v>#REF!</v>
      </c>
      <c r="E101" s="1141" t="e">
        <f t="shared" si="30"/>
        <v>#REF!</v>
      </c>
      <c r="F101" s="1141" t="e">
        <f t="shared" si="30"/>
        <v>#REF!</v>
      </c>
      <c r="G101" s="1141" t="e">
        <f t="shared" si="30"/>
        <v>#REF!</v>
      </c>
      <c r="H101" s="1141" t="e">
        <f t="shared" si="30"/>
        <v>#REF!</v>
      </c>
      <c r="I101" s="1141" t="e">
        <f t="shared" si="30"/>
        <v>#REF!</v>
      </c>
      <c r="J101" s="1141" t="e">
        <f t="shared" si="30"/>
        <v>#REF!</v>
      </c>
      <c r="K101" s="1141" t="e">
        <f t="shared" si="30"/>
        <v>#REF!</v>
      </c>
      <c r="L101" s="1141" t="e">
        <f t="shared" si="30"/>
        <v>#REF!</v>
      </c>
      <c r="M101" s="1141" t="e">
        <f t="shared" si="30"/>
        <v>#REF!</v>
      </c>
      <c r="N101" s="1141" t="e">
        <f t="shared" si="30"/>
        <v>#REF!</v>
      </c>
    </row>
    <row r="102" spans="1:14">
      <c r="A102" s="3446"/>
      <c r="B102" s="1136">
        <v>1</v>
      </c>
      <c r="C102" s="1137" t="e">
        <f>1.9362/C101</f>
        <v>#REF!</v>
      </c>
      <c r="D102" s="1137" t="e">
        <f>1.9362/D101</f>
        <v>#REF!</v>
      </c>
      <c r="E102" s="1137" t="e">
        <f>1.8629/E101</f>
        <v>#REF!</v>
      </c>
      <c r="F102" s="1137" t="e">
        <f>1.8629/F101</f>
        <v>#REF!</v>
      </c>
      <c r="G102" s="1137" t="e">
        <f>1.8629/G101</f>
        <v>#REF!</v>
      </c>
      <c r="H102" s="1137" t="e">
        <f>1.8629/H101</f>
        <v>#REF!</v>
      </c>
      <c r="I102" s="1137" t="e">
        <f>1.8629/I101</f>
        <v>#REF!</v>
      </c>
      <c r="J102" s="1137" t="e">
        <f>1.942/J101</f>
        <v>#REF!</v>
      </c>
      <c r="K102" s="1137" t="e">
        <f>1.942/K101</f>
        <v>#REF!</v>
      </c>
      <c r="L102" s="1137" t="e">
        <f>1.942/L101</f>
        <v>#REF!</v>
      </c>
      <c r="M102" s="1137" t="e">
        <f>1.942/M101</f>
        <v>#REF!</v>
      </c>
      <c r="N102" s="1137" t="e">
        <f>1.942/N101</f>
        <v>#REF!</v>
      </c>
    </row>
    <row r="103" spans="1:14">
      <c r="A103" s="3446"/>
      <c r="B103" s="1136">
        <v>2</v>
      </c>
      <c r="C103" s="1137" t="e">
        <f>1.4198/C101</f>
        <v>#REF!</v>
      </c>
      <c r="D103" s="1137" t="e">
        <f>1.4198/D101</f>
        <v>#REF!</v>
      </c>
      <c r="E103" s="1137" t="e">
        <f>1.3372/E101</f>
        <v>#REF!</v>
      </c>
      <c r="F103" s="1137" t="e">
        <f>1.3372/F101</f>
        <v>#REF!</v>
      </c>
      <c r="G103" s="1137" t="e">
        <f>1.3372/G101</f>
        <v>#REF!</v>
      </c>
      <c r="H103" s="1137" t="e">
        <f>1.3372/H101</f>
        <v>#REF!</v>
      </c>
      <c r="I103" s="1137" t="e">
        <f>1.3372/I101</f>
        <v>#REF!</v>
      </c>
      <c r="J103" s="1137" t="e">
        <f>1.2799/J101</f>
        <v>#REF!</v>
      </c>
      <c r="K103" s="1137" t="e">
        <f>1.2799/K101</f>
        <v>#REF!</v>
      </c>
      <c r="L103" s="1137" t="e">
        <f>1.2799/L101</f>
        <v>#REF!</v>
      </c>
      <c r="M103" s="1137" t="e">
        <f>1.2799/M101</f>
        <v>#REF!</v>
      </c>
      <c r="N103" s="1137" t="e">
        <f>1.2799/N101</f>
        <v>#REF!</v>
      </c>
    </row>
    <row r="104" spans="1:14">
      <c r="A104" s="3446"/>
      <c r="B104" s="1136">
        <v>3</v>
      </c>
      <c r="C104" s="1137" t="e">
        <f>1.1594/C101</f>
        <v>#REF!</v>
      </c>
      <c r="D104" s="1137" t="e">
        <f>1.1594/D101</f>
        <v>#REF!</v>
      </c>
      <c r="E104" s="1137" t="e">
        <f>1.0788/E101</f>
        <v>#REF!</v>
      </c>
      <c r="F104" s="1137" t="e">
        <f>1.0788/F101</f>
        <v>#REF!</v>
      </c>
      <c r="G104" s="1137" t="e">
        <f>1.0788/G101</f>
        <v>#REF!</v>
      </c>
      <c r="H104" s="1137" t="e">
        <f>1.0788/H101</f>
        <v>#REF!</v>
      </c>
      <c r="I104" s="1137" t="e">
        <f>1.0788/I101</f>
        <v>#REF!</v>
      </c>
      <c r="J104" s="1137" t="e">
        <f>1.0072/J101</f>
        <v>#REF!</v>
      </c>
      <c r="K104" s="1137" t="e">
        <f>1.0072/K101</f>
        <v>#REF!</v>
      </c>
      <c r="L104" s="1137" t="e">
        <f>1.0072/L101</f>
        <v>#REF!</v>
      </c>
      <c r="M104" s="1137" t="e">
        <f>1.0072/M101</f>
        <v>#REF!</v>
      </c>
      <c r="N104" s="1137" t="e">
        <f>1.0072/N101</f>
        <v>#REF!</v>
      </c>
    </row>
    <row r="105" spans="1:14">
      <c r="A105" s="3446"/>
      <c r="B105" s="1136">
        <v>4</v>
      </c>
      <c r="C105" s="1137" t="e">
        <f>0.9622/C101</f>
        <v>#REF!</v>
      </c>
      <c r="D105" s="1137" t="e">
        <f>0.9622/D101</f>
        <v>#REF!</v>
      </c>
      <c r="E105" s="1137" t="e">
        <f>0.8656/E101</f>
        <v>#REF!</v>
      </c>
      <c r="F105" s="1137" t="e">
        <f>0.8656/F101</f>
        <v>#REF!</v>
      </c>
      <c r="G105" s="1137" t="e">
        <f>0.8656/G101</f>
        <v>#REF!</v>
      </c>
      <c r="H105" s="1137" t="e">
        <f>0.8656/H101</f>
        <v>#REF!</v>
      </c>
      <c r="I105" s="1137" t="e">
        <f>0.8656/I101</f>
        <v>#REF!</v>
      </c>
      <c r="J105" s="1137" t="e">
        <f>0.7525/J101</f>
        <v>#REF!</v>
      </c>
      <c r="K105" s="1137" t="e">
        <f>0.7525/K101</f>
        <v>#REF!</v>
      </c>
      <c r="L105" s="1137" t="e">
        <f>0.7525/L101</f>
        <v>#REF!</v>
      </c>
      <c r="M105" s="1137" t="e">
        <f>0.7525/M101</f>
        <v>#REF!</v>
      </c>
      <c r="N105" s="1137" t="e">
        <f>0.7525/N101</f>
        <v>#REF!</v>
      </c>
    </row>
    <row r="106" spans="1:14">
      <c r="A106" s="3446"/>
      <c r="B106" s="1136">
        <v>5</v>
      </c>
      <c r="C106" s="1137" t="e">
        <f>0.8417/C101</f>
        <v>#REF!</v>
      </c>
      <c r="D106" s="1137" t="e">
        <f>0.8417/D101</f>
        <v>#REF!</v>
      </c>
      <c r="E106" s="1137" t="e">
        <f>0.7371/E101</f>
        <v>#REF!</v>
      </c>
      <c r="F106" s="1137" t="e">
        <f>0.7371/F101</f>
        <v>#REF!</v>
      </c>
      <c r="G106" s="1137" t="e">
        <f>0.7371/G101</f>
        <v>#REF!</v>
      </c>
      <c r="H106" s="1137" t="e">
        <f>0.7371/H101</f>
        <v>#REF!</v>
      </c>
      <c r="I106" s="1137" t="e">
        <f>0.7371/I101</f>
        <v>#REF!</v>
      </c>
      <c r="J106" s="1137" t="e">
        <f>0.5659/J101</f>
        <v>#REF!</v>
      </c>
      <c r="K106" s="1137" t="e">
        <f>0.5659/K101</f>
        <v>#REF!</v>
      </c>
      <c r="L106" s="1137" t="e">
        <f>0.5659/L101</f>
        <v>#REF!</v>
      </c>
      <c r="M106" s="1137" t="e">
        <f>0.5659/M101</f>
        <v>#REF!</v>
      </c>
      <c r="N106" s="1137" t="e">
        <f>0.5659/N101</f>
        <v>#REF!</v>
      </c>
    </row>
    <row r="107" spans="1:14">
      <c r="A107" s="3446"/>
      <c r="B107" s="1136">
        <v>6</v>
      </c>
      <c r="C107" s="1137" t="e">
        <f>0.7608/C101</f>
        <v>#REF!</v>
      </c>
      <c r="D107" s="1137" t="e">
        <f>0.7608/D101</f>
        <v>#REF!</v>
      </c>
      <c r="E107" s="1137" t="e">
        <f>0.6482/E101</f>
        <v>#REF!</v>
      </c>
      <c r="F107" s="1137" t="e">
        <f>0.6482/F101</f>
        <v>#REF!</v>
      </c>
      <c r="G107" s="1137" t="e">
        <f>0.6482/G101</f>
        <v>#REF!</v>
      </c>
      <c r="H107" s="1137" t="e">
        <f>0.6482/H101</f>
        <v>#REF!</v>
      </c>
      <c r="I107" s="1137" t="e">
        <f>0.6482/I101</f>
        <v>#REF!</v>
      </c>
      <c r="J107" s="1137" t="e">
        <f>0.4525/J101</f>
        <v>#REF!</v>
      </c>
      <c r="K107" s="1137" t="e">
        <f>0.4525/K101</f>
        <v>#REF!</v>
      </c>
      <c r="L107" s="1137" t="e">
        <f>0.4525/L101</f>
        <v>#REF!</v>
      </c>
      <c r="M107" s="1137" t="e">
        <f>0.4525/M101</f>
        <v>#REF!</v>
      </c>
      <c r="N107" s="1137" t="e">
        <f>0.4525/N101</f>
        <v>#REF!</v>
      </c>
    </row>
    <row r="108" spans="1:14">
      <c r="A108" s="3446"/>
      <c r="B108" s="3448"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447"/>
      <c r="B109" s="3449"/>
      <c r="C109" s="1139" t="e">
        <f>(-0.163*(C108^2)-0.59*C108+7617)*(10^(-4))/C101</f>
        <v>#REF!</v>
      </c>
      <c r="D109" s="1139" t="e">
        <f>(-0.163*(D108^2)-0.59*D108+7617)*(10^(-4))/D101</f>
        <v>#REF!</v>
      </c>
      <c r="E109" s="1139" t="e">
        <f>(-0.161*(E108^2)-7.509*E108+6533)*(10^(-4))/E101</f>
        <v>#REF!</v>
      </c>
      <c r="F109" s="1139" t="e">
        <f>(-0.161*(F108^2)-7.509*F108+6533)*(10^(-4))/F101</f>
        <v>#REF!</v>
      </c>
      <c r="G109" s="1139" t="e">
        <f>(-0.161*(G108^2)-7.509*G108+6533)*(10^(-4))/G101</f>
        <v>#REF!</v>
      </c>
      <c r="H109" s="1139" t="e">
        <f>(-0.161*(H108^2)-7.509*H108+6533)*(10^(-4))/H101</f>
        <v>#REF!</v>
      </c>
      <c r="I109" s="1139" t="e">
        <f>(-0.161*(I108^2)-7.509*I108+6533)*(10^(-4))/I101</f>
        <v>#REF!</v>
      </c>
      <c r="J109" s="1139" t="e">
        <f>(-0.214*(J108^2)-21.991*J108+4665)*(10^(-4))/J101</f>
        <v>#REF!</v>
      </c>
      <c r="K109" s="1139" t="e">
        <f>(-0.214*(K108^2)-21.991*K108+4665)*(10^(-4))/K101</f>
        <v>#REF!</v>
      </c>
      <c r="L109" s="1139" t="e">
        <f>(-0.214*(L108^2)-21.991*L108+4665)*(10^(-4))/L101</f>
        <v>#REF!</v>
      </c>
      <c r="M109" s="1139" t="e">
        <f>(-0.214*(M108^2)-21.991*M108+4665)*(10^(-4))/M101</f>
        <v>#REF!</v>
      </c>
      <c r="N109" s="1139" t="e">
        <f>(-0.214*(N108^2)-21.991*N108+4665)*(10^(-4))/N101</f>
        <v>#REF!</v>
      </c>
    </row>
    <row r="110" spans="1:14">
      <c r="A110" s="3431" t="s">
        <v>1639</v>
      </c>
      <c r="B110" s="3431"/>
      <c r="C110" s="3431"/>
      <c r="D110" s="3431"/>
      <c r="E110" s="3431"/>
      <c r="F110" s="3431"/>
      <c r="G110" s="3431"/>
      <c r="H110" s="3431"/>
      <c r="I110" s="3431"/>
      <c r="J110" s="3431"/>
      <c r="K110" s="2409"/>
      <c r="L110" s="2409"/>
      <c r="M110" s="2409"/>
      <c r="N110" s="2409"/>
    </row>
    <row r="112" spans="1:14" ht="12.75" thickBot="1"/>
    <row r="113" spans="1:13" ht="25.5" thickBot="1">
      <c r="A113" s="1013" t="s">
        <v>896</v>
      </c>
      <c r="B113" s="2412" t="e">
        <f>G3</f>
        <v>#REF!</v>
      </c>
      <c r="C113" s="1014" t="s">
        <v>897</v>
      </c>
      <c r="D113" s="1015" t="e">
        <f>SUMPRODUCT((A115:A118=F113)*(B114:M114=H113)*B115:M118)</f>
        <v>#REF!</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t="e">
        <f>ROUND(0.9335-0.0094*B113,4)</f>
        <v>#REF!</v>
      </c>
      <c r="C115" s="1027" t="e">
        <f>B115</f>
        <v>#REF!</v>
      </c>
      <c r="D115" s="1027" t="e">
        <f>ROUND(0.8331-0.0109*B113,4)</f>
        <v>#REF!</v>
      </c>
      <c r="E115" s="1027" t="e">
        <f>D115</f>
        <v>#REF!</v>
      </c>
      <c r="F115" s="1027" t="e">
        <f>E115</f>
        <v>#REF!</v>
      </c>
      <c r="G115" s="1027" t="e">
        <f>F115</f>
        <v>#REF!</v>
      </c>
      <c r="H115" s="1027" t="e">
        <f>G115</f>
        <v>#REF!</v>
      </c>
      <c r="I115" s="1027" t="e">
        <f>ROUND(0.689-0.0155*B113,4)</f>
        <v>#REF!</v>
      </c>
      <c r="J115" s="1027" t="e">
        <f t="shared" ref="J115:M118" si="32">I115</f>
        <v>#REF!</v>
      </c>
      <c r="K115" s="1027" t="e">
        <f t="shared" si="32"/>
        <v>#REF!</v>
      </c>
      <c r="L115" s="1027" t="e">
        <f t="shared" si="32"/>
        <v>#REF!</v>
      </c>
      <c r="M115" s="1028" t="e">
        <f t="shared" si="32"/>
        <v>#REF!</v>
      </c>
    </row>
    <row r="116" spans="1:13" ht="12.75">
      <c r="A116" s="1026" t="s">
        <v>901</v>
      </c>
      <c r="B116" s="1027" t="e">
        <f>ROUND(0.949-0.012*B113,4)</f>
        <v>#REF!</v>
      </c>
      <c r="C116" s="1027" t="e">
        <f>B116</f>
        <v>#REF!</v>
      </c>
      <c r="D116" s="1027" t="e">
        <f>ROUND(0.8567-0.013*B113,4)</f>
        <v>#REF!</v>
      </c>
      <c r="E116" s="1027" t="e">
        <f t="shared" ref="E116:H117" si="33">D116</f>
        <v>#REF!</v>
      </c>
      <c r="F116" s="1027" t="e">
        <f t="shared" si="33"/>
        <v>#REF!</v>
      </c>
      <c r="G116" s="1027" t="e">
        <f t="shared" si="33"/>
        <v>#REF!</v>
      </c>
      <c r="H116" s="1027" t="e">
        <f t="shared" si="33"/>
        <v>#REF!</v>
      </c>
      <c r="I116" s="1027" t="e">
        <f>ROUND(0.7694-0.014*B113,4)</f>
        <v>#REF!</v>
      </c>
      <c r="J116" s="1027" t="e">
        <f t="shared" si="32"/>
        <v>#REF!</v>
      </c>
      <c r="K116" s="1027" t="e">
        <f t="shared" si="32"/>
        <v>#REF!</v>
      </c>
      <c r="L116" s="1027" t="e">
        <f t="shared" si="32"/>
        <v>#REF!</v>
      </c>
      <c r="M116" s="1028" t="e">
        <f t="shared" si="32"/>
        <v>#REF!</v>
      </c>
    </row>
    <row r="117" spans="1:13" ht="12.75">
      <c r="A117" s="1029" t="s">
        <v>902</v>
      </c>
      <c r="B117" s="1027" t="e">
        <f>ROUND(0.8808-0.006*B113,4)</f>
        <v>#REF!</v>
      </c>
      <c r="C117" s="1027" t="e">
        <f>B117</f>
        <v>#REF!</v>
      </c>
      <c r="D117" s="1027" t="e">
        <f>ROUND(0.8748-0.008*B113,4)</f>
        <v>#REF!</v>
      </c>
      <c r="E117" s="1027" t="e">
        <f t="shared" si="33"/>
        <v>#REF!</v>
      </c>
      <c r="F117" s="1027" t="e">
        <f t="shared" si="33"/>
        <v>#REF!</v>
      </c>
      <c r="G117" s="1027" t="e">
        <f t="shared" si="33"/>
        <v>#REF!</v>
      </c>
      <c r="H117" s="1027" t="e">
        <f t="shared" si="33"/>
        <v>#REF!</v>
      </c>
      <c r="I117" s="1027" t="e">
        <f>ROUND(0.7412-0.0095*B113,4)</f>
        <v>#REF!</v>
      </c>
      <c r="J117" s="1027" t="e">
        <f t="shared" si="32"/>
        <v>#REF!</v>
      </c>
      <c r="K117" s="1027" t="e">
        <f t="shared" si="32"/>
        <v>#REF!</v>
      </c>
      <c r="L117" s="1027" t="e">
        <f t="shared" si="32"/>
        <v>#REF!</v>
      </c>
      <c r="M117" s="1028" t="e">
        <f t="shared" si="32"/>
        <v>#REF!</v>
      </c>
    </row>
    <row r="118" spans="1:13" ht="13.5" thickBot="1">
      <c r="A118" s="1030" t="s">
        <v>903</v>
      </c>
      <c r="B118" s="1031" t="e">
        <f>ROUND(0.7275-0.01*B113,4)</f>
        <v>#REF!</v>
      </c>
      <c r="C118" s="1031" t="e">
        <f>B118</f>
        <v>#REF!</v>
      </c>
      <c r="D118" s="1031" t="e">
        <f>ROUND(0.7043-0.012*B113,4)</f>
        <v>#REF!</v>
      </c>
      <c r="E118" s="1031" t="e">
        <f>D118</f>
        <v>#REF!</v>
      </c>
      <c r="F118" s="1031" t="e">
        <f>E118</f>
        <v>#REF!</v>
      </c>
      <c r="G118" s="1031" t="e">
        <f>ROUND(0.6299-0.0122*B113,4)</f>
        <v>#REF!</v>
      </c>
      <c r="H118" s="1031" t="e">
        <f>G118</f>
        <v>#REF!</v>
      </c>
      <c r="I118" s="1031" t="e">
        <f>ROUND(0.5667-0.0136*B113,4)</f>
        <v>#REF!</v>
      </c>
      <c r="J118" s="1031" t="e">
        <f t="shared" si="32"/>
        <v>#REF!</v>
      </c>
      <c r="K118" s="1031" t="e">
        <f t="shared" si="32"/>
        <v>#REF!</v>
      </c>
      <c r="L118" s="1031" t="e">
        <f t="shared" si="32"/>
        <v>#REF!</v>
      </c>
      <c r="M118" s="1032" t="e">
        <f t="shared" si="32"/>
        <v>#REF!</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SUM(J6:J10,J13)</f>
        <v>155</v>
      </c>
      <c r="K15" s="3057">
        <f>SUM(K6:K10,K13)</f>
        <v>155</v>
      </c>
      <c r="L15" s="3057">
        <f>SUM(L6:L10,L13)</f>
        <v>155</v>
      </c>
      <c r="M15" s="3057">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38" t="s">
        <v>1007</v>
      </c>
      <c r="B18" s="1147" t="s">
        <v>1446</v>
      </c>
      <c r="C18" s="1124" t="s">
        <v>1447</v>
      </c>
      <c r="D18" s="1125"/>
      <c r="E18" s="1147">
        <v>1</v>
      </c>
      <c r="F18" s="1126" t="s">
        <v>1448</v>
      </c>
      <c r="G18" s="1127"/>
      <c r="H18" s="1098"/>
      <c r="I18" s="1098"/>
    </row>
    <row r="19" spans="1:9" s="1581" customFormat="1" ht="19.5" customHeight="1">
      <c r="A19" s="3438"/>
      <c r="B19" s="3438" t="s">
        <v>1449</v>
      </c>
      <c r="C19" s="1124" t="s">
        <v>1450</v>
      </c>
      <c r="D19" s="1125"/>
      <c r="E19" s="1147">
        <v>0.9</v>
      </c>
      <c r="F19" s="1126" t="s">
        <v>1451</v>
      </c>
      <c r="G19" s="1127"/>
      <c r="H19" s="1098"/>
      <c r="I19" s="1098"/>
    </row>
    <row r="20" spans="1:9" s="1581" customFormat="1" ht="19.5" customHeight="1">
      <c r="A20" s="3438"/>
      <c r="B20" s="3438"/>
      <c r="C20" s="1124" t="s">
        <v>1452</v>
      </c>
      <c r="D20" s="1125"/>
      <c r="E20" s="1147">
        <v>1.1000000000000001</v>
      </c>
      <c r="F20" s="1126" t="s">
        <v>1453</v>
      </c>
      <c r="G20" s="1127"/>
      <c r="H20" s="1098"/>
      <c r="I20" s="1098"/>
    </row>
    <row r="21" spans="1:9" s="1581" customFormat="1" ht="19.5" customHeight="1">
      <c r="A21" s="3438"/>
      <c r="B21" s="3438"/>
      <c r="C21" s="1124" t="s">
        <v>1454</v>
      </c>
      <c r="D21" s="1125"/>
      <c r="E21" s="1147">
        <v>0.8</v>
      </c>
      <c r="F21" s="1126" t="s">
        <v>1455</v>
      </c>
      <c r="G21" s="1127"/>
      <c r="H21" s="1098"/>
      <c r="I21" s="1098"/>
    </row>
    <row r="22" spans="1:9" s="1581" customFormat="1" ht="19.5" customHeight="1">
      <c r="A22" s="3438"/>
      <c r="B22" s="3438"/>
      <c r="C22" s="1124" t="s">
        <v>1456</v>
      </c>
      <c r="D22" s="1125"/>
      <c r="E22" s="1147">
        <v>0.5</v>
      </c>
      <c r="F22" s="1126"/>
      <c r="G22" s="1127"/>
      <c r="H22" s="1098"/>
      <c r="I22" s="1098"/>
    </row>
    <row r="23" spans="1:9" s="1581" customFormat="1" ht="19.5" customHeight="1">
      <c r="A23" s="3438" t="s">
        <v>1029</v>
      </c>
      <c r="B23" s="1147" t="s">
        <v>1446</v>
      </c>
      <c r="C23" s="1124" t="s">
        <v>1457</v>
      </c>
      <c r="D23" s="1125"/>
      <c r="E23" s="1147">
        <v>1</v>
      </c>
      <c r="F23" s="1126" t="s">
        <v>1458</v>
      </c>
      <c r="G23" s="1127"/>
      <c r="H23" s="1098"/>
      <c r="I23" s="1098"/>
    </row>
    <row r="24" spans="1:9" s="1581" customFormat="1" ht="19.5" customHeight="1">
      <c r="A24" s="3438"/>
      <c r="B24" s="3438" t="s">
        <v>1449</v>
      </c>
      <c r="C24" s="1124" t="s">
        <v>1459</v>
      </c>
      <c r="D24" s="1125"/>
      <c r="E24" s="1147">
        <v>0.5</v>
      </c>
      <c r="F24" s="1126"/>
      <c r="G24" s="1127"/>
      <c r="H24" s="1098"/>
      <c r="I24" s="1098"/>
    </row>
    <row r="25" spans="1:9" s="1581" customFormat="1" ht="19.5" customHeight="1">
      <c r="A25" s="3438"/>
      <c r="B25" s="3438"/>
      <c r="C25" s="1124" t="s">
        <v>1460</v>
      </c>
      <c r="D25" s="1125"/>
      <c r="E25" s="1147">
        <v>1.1000000000000001</v>
      </c>
      <c r="F25" s="1126"/>
      <c r="G25" s="1127"/>
      <c r="H25" s="1098"/>
      <c r="I25" s="1098"/>
    </row>
    <row r="26" spans="1:9" s="1581" customFormat="1" ht="19.5" customHeight="1">
      <c r="A26" s="3438"/>
      <c r="B26" s="3438"/>
      <c r="C26" s="1124" t="s">
        <v>1461</v>
      </c>
      <c r="D26" s="1125"/>
      <c r="E26" s="1147">
        <v>1.1000000000000001</v>
      </c>
      <c r="F26" s="1126"/>
      <c r="G26" s="1127"/>
      <c r="H26" s="1098"/>
      <c r="I26" s="1098"/>
    </row>
    <row r="27" spans="1:9" s="1581" customFormat="1" ht="19.5" customHeight="1">
      <c r="A27" s="3438"/>
      <c r="B27" s="3438"/>
      <c r="C27" s="1124" t="s">
        <v>1462</v>
      </c>
      <c r="D27" s="1125"/>
      <c r="E27" s="1147">
        <v>0.9</v>
      </c>
      <c r="F27" s="1126" t="s">
        <v>1463</v>
      </c>
      <c r="G27" s="1127"/>
      <c r="H27" s="1098"/>
      <c r="I27" s="1098"/>
    </row>
    <row r="28" spans="1:9" s="1581" customFormat="1" ht="19.5" customHeight="1">
      <c r="A28" s="3438"/>
      <c r="B28" s="3438"/>
      <c r="C28" s="1124" t="s">
        <v>1464</v>
      </c>
      <c r="D28" s="1125"/>
      <c r="E28" s="1147">
        <v>0.9</v>
      </c>
      <c r="F28" s="1126" t="s">
        <v>1465</v>
      </c>
      <c r="G28" s="1127"/>
      <c r="H28" s="1098"/>
      <c r="I28" s="1098"/>
    </row>
    <row r="29" spans="1:9" s="1581" customFormat="1" ht="19.5" customHeight="1">
      <c r="A29" s="3438"/>
      <c r="B29" s="3438"/>
      <c r="C29" s="1124" t="s">
        <v>1466</v>
      </c>
      <c r="D29" s="1125"/>
      <c r="E29" s="1147">
        <v>0.9</v>
      </c>
      <c r="F29" s="1126" t="s">
        <v>1467</v>
      </c>
      <c r="G29" s="1127"/>
      <c r="H29" s="1098"/>
      <c r="I29" s="1098"/>
    </row>
    <row r="30" spans="1:9" s="1581" customFormat="1" ht="19.5" customHeight="1">
      <c r="A30" s="3438"/>
      <c r="B30" s="3438"/>
      <c r="C30" s="1124" t="s">
        <v>1468</v>
      </c>
      <c r="D30" s="1125"/>
      <c r="E30" s="1147">
        <v>0.9</v>
      </c>
      <c r="F30" s="1126" t="s">
        <v>1469</v>
      </c>
      <c r="G30" s="1127"/>
      <c r="H30" s="1098"/>
      <c r="I30" s="1098"/>
    </row>
    <row r="31" spans="1:9" s="1581" customFormat="1" ht="19.5" customHeight="1">
      <c r="A31" s="3438"/>
      <c r="B31" s="3438"/>
      <c r="C31" s="1124" t="s">
        <v>1470</v>
      </c>
      <c r="D31" s="1125"/>
      <c r="E31" s="1147">
        <v>0.8</v>
      </c>
      <c r="F31" s="1126" t="s">
        <v>1471</v>
      </c>
      <c r="G31" s="1127"/>
      <c r="H31" s="1098"/>
      <c r="I31" s="1098"/>
    </row>
    <row r="32" spans="1:9" s="1581" customFormat="1" ht="19.5" customHeight="1">
      <c r="A32" s="3438"/>
      <c r="B32" s="3438"/>
      <c r="C32" s="1124" t="s">
        <v>1472</v>
      </c>
      <c r="D32" s="1125"/>
      <c r="E32" s="1147">
        <v>0.8</v>
      </c>
      <c r="F32" s="1126" t="s">
        <v>1473</v>
      </c>
      <c r="G32" s="1127"/>
      <c r="H32" s="1098"/>
      <c r="I32" s="1098"/>
    </row>
    <row r="33" spans="1:9" s="1581" customFormat="1" ht="19.5" customHeight="1">
      <c r="A33" s="3438" t="s">
        <v>1474</v>
      </c>
      <c r="B33" s="1147" t="s">
        <v>1446</v>
      </c>
      <c r="C33" s="1124" t="s">
        <v>1475</v>
      </c>
      <c r="D33" s="1125"/>
      <c r="E33" s="1147">
        <v>1</v>
      </c>
      <c r="F33" s="1126" t="s">
        <v>1476</v>
      </c>
      <c r="G33" s="1127"/>
      <c r="H33" s="1098"/>
      <c r="I33" s="1098"/>
    </row>
    <row r="34" spans="1:9" s="1581" customFormat="1" ht="19.5" customHeight="1">
      <c r="A34" s="3438"/>
      <c r="B34" s="1147" t="s">
        <v>1449</v>
      </c>
      <c r="C34" s="1124" t="s">
        <v>1477</v>
      </c>
      <c r="D34" s="1125"/>
      <c r="E34" s="1147">
        <v>1.5</v>
      </c>
      <c r="F34" s="1126" t="s">
        <v>1478</v>
      </c>
      <c r="G34" s="1127"/>
      <c r="H34" s="1098"/>
      <c r="I34" s="1098"/>
    </row>
    <row r="35" spans="1:9" s="1581" customFormat="1" ht="19.5" customHeight="1">
      <c r="A35" s="3438" t="s">
        <v>1432</v>
      </c>
      <c r="B35" s="1147" t="s">
        <v>1446</v>
      </c>
      <c r="C35" s="1124" t="s">
        <v>1479</v>
      </c>
      <c r="D35" s="1125"/>
      <c r="E35" s="1147">
        <v>1</v>
      </c>
      <c r="F35" s="1126" t="s">
        <v>1480</v>
      </c>
      <c r="G35" s="1127"/>
      <c r="H35" s="1098"/>
      <c r="I35" s="1098"/>
    </row>
    <row r="36" spans="1:9" s="1581" customFormat="1" ht="19.5" customHeight="1">
      <c r="A36" s="3438"/>
      <c r="B36" s="3438" t="s">
        <v>1449</v>
      </c>
      <c r="C36" s="1124" t="s">
        <v>1481</v>
      </c>
      <c r="D36" s="1125"/>
      <c r="E36" s="1147">
        <v>1</v>
      </c>
      <c r="F36" s="1126" t="s">
        <v>1482</v>
      </c>
      <c r="G36" s="1127"/>
      <c r="H36" s="1098"/>
      <c r="I36" s="1098"/>
    </row>
    <row r="37" spans="1:9" s="1581" customFormat="1" ht="19.5" customHeight="1">
      <c r="A37" s="3438"/>
      <c r="B37" s="3438"/>
      <c r="C37" s="1124" t="s">
        <v>1483</v>
      </c>
      <c r="D37" s="1125"/>
      <c r="E37" s="1147">
        <v>1.5</v>
      </c>
      <c r="F37" s="1126" t="s">
        <v>1484</v>
      </c>
      <c r="G37" s="1127"/>
      <c r="H37" s="1098"/>
      <c r="I37" s="1098"/>
    </row>
    <row r="38" spans="1:9" s="1581" customFormat="1" ht="19.5" customHeight="1">
      <c r="A38" s="3438"/>
      <c r="B38" s="3438"/>
      <c r="C38" s="1124" t="s">
        <v>1485</v>
      </c>
      <c r="D38" s="1125"/>
      <c r="E38" s="1147">
        <v>1</v>
      </c>
      <c r="F38" s="1126" t="s">
        <v>1486</v>
      </c>
      <c r="G38" s="1127"/>
      <c r="H38" s="1098"/>
      <c r="I38" s="1098"/>
    </row>
    <row r="39" spans="1:9" s="1581" customFormat="1" ht="19.5" customHeight="1">
      <c r="A39" s="3438"/>
      <c r="B39" s="3438"/>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38" t="s">
        <v>1501</v>
      </c>
      <c r="C61" s="1061" t="s">
        <v>1502</v>
      </c>
      <c r="D61" s="1061" t="s">
        <v>1503</v>
      </c>
      <c r="E61" s="1132">
        <v>0.5</v>
      </c>
      <c r="F61" s="1147">
        <v>80</v>
      </c>
      <c r="H61" s="1098">
        <f>SUMIF(C59:C119,基准地价!C8,E59:E119)</f>
        <v>0</v>
      </c>
    </row>
    <row r="62" spans="1:8" s="1098" customFormat="1" ht="24">
      <c r="A62" s="1147">
        <v>2</v>
      </c>
      <c r="B62" s="3438"/>
      <c r="C62" s="1061" t="s">
        <v>1504</v>
      </c>
      <c r="D62" s="1061" t="s">
        <v>1505</v>
      </c>
      <c r="E62" s="1132">
        <v>0.5</v>
      </c>
      <c r="F62" s="1147">
        <v>80</v>
      </c>
    </row>
    <row r="63" spans="1:8" s="1098" customFormat="1" ht="36">
      <c r="A63" s="1147">
        <v>3</v>
      </c>
      <c r="B63" s="3438"/>
      <c r="C63" s="1061" t="s">
        <v>1506</v>
      </c>
      <c r="D63" s="1061" t="s">
        <v>1507</v>
      </c>
      <c r="E63" s="1132">
        <v>0.5</v>
      </c>
      <c r="F63" s="1147">
        <v>80</v>
      </c>
    </row>
    <row r="64" spans="1:8" s="1098" customFormat="1" ht="36">
      <c r="A64" s="1147">
        <v>4</v>
      </c>
      <c r="B64" s="3438"/>
      <c r="C64" s="1061" t="s">
        <v>1508</v>
      </c>
      <c r="D64" s="1061" t="s">
        <v>1509</v>
      </c>
      <c r="E64" s="1132">
        <v>0.4</v>
      </c>
      <c r="F64" s="1147">
        <v>60</v>
      </c>
    </row>
    <row r="65" spans="1:6" s="1098" customFormat="1" ht="36">
      <c r="A65" s="1147">
        <v>5</v>
      </c>
      <c r="B65" s="3438"/>
      <c r="C65" s="1061" t="s">
        <v>1510</v>
      </c>
      <c r="D65" s="1061" t="s">
        <v>1511</v>
      </c>
      <c r="E65" s="1132">
        <v>0.2</v>
      </c>
      <c r="F65" s="1147">
        <v>30</v>
      </c>
    </row>
    <row r="66" spans="1:6" s="1098" customFormat="1" ht="36">
      <c r="A66" s="1147">
        <v>6</v>
      </c>
      <c r="B66" s="3438"/>
      <c r="C66" s="1061" t="s">
        <v>1512</v>
      </c>
      <c r="D66" s="1061" t="s">
        <v>1513</v>
      </c>
      <c r="E66" s="1132">
        <v>0.3</v>
      </c>
      <c r="F66" s="1147">
        <v>50</v>
      </c>
    </row>
    <row r="67" spans="1:6" s="1098" customFormat="1" ht="36">
      <c r="A67" s="1147">
        <v>7</v>
      </c>
      <c r="B67" s="3438"/>
      <c r="C67" s="1061" t="s">
        <v>1514</v>
      </c>
      <c r="D67" s="1061" t="s">
        <v>1515</v>
      </c>
      <c r="E67" s="1132">
        <v>0.2</v>
      </c>
      <c r="F67" s="1147">
        <v>30</v>
      </c>
    </row>
    <row r="68" spans="1:6" s="1098" customFormat="1" ht="36">
      <c r="A68" s="1147">
        <v>8</v>
      </c>
      <c r="B68" s="3438"/>
      <c r="C68" s="1061" t="s">
        <v>1516</v>
      </c>
      <c r="D68" s="1061" t="s">
        <v>1517</v>
      </c>
      <c r="E68" s="1132">
        <v>0.2</v>
      </c>
      <c r="F68" s="1147">
        <v>30</v>
      </c>
    </row>
    <row r="69" spans="1:6" s="1098" customFormat="1" ht="36">
      <c r="A69" s="1147">
        <v>9</v>
      </c>
      <c r="B69" s="3438"/>
      <c r="C69" s="1061" t="s">
        <v>1518</v>
      </c>
      <c r="D69" s="1061" t="s">
        <v>1519</v>
      </c>
      <c r="E69" s="1132">
        <v>0.2</v>
      </c>
      <c r="F69" s="1147">
        <v>30</v>
      </c>
    </row>
    <row r="70" spans="1:6" s="1098" customFormat="1" ht="48">
      <c r="A70" s="1147">
        <v>10</v>
      </c>
      <c r="B70" s="3438"/>
      <c r="C70" s="1061" t="s">
        <v>1520</v>
      </c>
      <c r="D70" s="1061" t="s">
        <v>1521</v>
      </c>
      <c r="E70" s="1132">
        <v>0.2</v>
      </c>
      <c r="F70" s="1147">
        <v>30</v>
      </c>
    </row>
    <row r="71" spans="1:6" s="1098" customFormat="1" ht="48">
      <c r="A71" s="1147">
        <v>11</v>
      </c>
      <c r="B71" s="3438"/>
      <c r="C71" s="1061" t="s">
        <v>1522</v>
      </c>
      <c r="D71" s="1061" t="s">
        <v>1523</v>
      </c>
      <c r="E71" s="1132">
        <v>0.2</v>
      </c>
      <c r="F71" s="1147">
        <v>30</v>
      </c>
    </row>
    <row r="72" spans="1:6" s="1098" customFormat="1" ht="36">
      <c r="A72" s="1147">
        <v>12</v>
      </c>
      <c r="B72" s="3438"/>
      <c r="C72" s="1061" t="s">
        <v>1524</v>
      </c>
      <c r="D72" s="1061" t="s">
        <v>1525</v>
      </c>
      <c r="E72" s="1132">
        <v>0.5</v>
      </c>
      <c r="F72" s="1147">
        <v>80</v>
      </c>
    </row>
    <row r="73" spans="1:6" s="1098" customFormat="1" ht="24">
      <c r="A73" s="1147">
        <v>13</v>
      </c>
      <c r="B73" s="3438"/>
      <c r="C73" s="1061" t="s">
        <v>1526</v>
      </c>
      <c r="D73" s="1061" t="s">
        <v>1527</v>
      </c>
      <c r="E73" s="1132">
        <v>0.4</v>
      </c>
      <c r="F73" s="1147">
        <v>60</v>
      </c>
    </row>
    <row r="74" spans="1:6" s="1098" customFormat="1" ht="24">
      <c r="A74" s="1147">
        <v>14</v>
      </c>
      <c r="B74" s="3438"/>
      <c r="C74" s="1061" t="s">
        <v>1528</v>
      </c>
      <c r="D74" s="1061" t="s">
        <v>1529</v>
      </c>
      <c r="E74" s="1132">
        <v>0.2</v>
      </c>
      <c r="F74" s="1147">
        <v>30</v>
      </c>
    </row>
    <row r="75" spans="1:6" s="1098" customFormat="1" ht="24">
      <c r="A75" s="1147">
        <v>15</v>
      </c>
      <c r="B75" s="3438"/>
      <c r="C75" s="1061" t="s">
        <v>1530</v>
      </c>
      <c r="D75" s="1061" t="s">
        <v>1531</v>
      </c>
      <c r="E75" s="1132">
        <v>0.2</v>
      </c>
      <c r="F75" s="1147">
        <v>30</v>
      </c>
    </row>
    <row r="76" spans="1:6" s="1098" customFormat="1" ht="24">
      <c r="A76" s="1147">
        <v>16</v>
      </c>
      <c r="B76" s="3438" t="s">
        <v>1532</v>
      </c>
      <c r="C76" s="1061" t="s">
        <v>1533</v>
      </c>
      <c r="D76" s="1061" t="s">
        <v>1534</v>
      </c>
      <c r="E76" s="1132">
        <v>0.5</v>
      </c>
      <c r="F76" s="1147">
        <v>80</v>
      </c>
    </row>
    <row r="77" spans="1:6" s="1098" customFormat="1" ht="24">
      <c r="A77" s="1147">
        <v>17</v>
      </c>
      <c r="B77" s="3438"/>
      <c r="C77" s="1061" t="s">
        <v>1535</v>
      </c>
      <c r="D77" s="1061" t="s">
        <v>1536</v>
      </c>
      <c r="E77" s="1132">
        <v>0.5</v>
      </c>
      <c r="F77" s="1147">
        <v>80</v>
      </c>
    </row>
    <row r="78" spans="1:6" s="1098" customFormat="1" ht="24">
      <c r="A78" s="1147">
        <v>18</v>
      </c>
      <c r="B78" s="3438"/>
      <c r="C78" s="1061" t="s">
        <v>1537</v>
      </c>
      <c r="D78" s="1061" t="s">
        <v>1538</v>
      </c>
      <c r="E78" s="1132">
        <v>0.2</v>
      </c>
      <c r="F78" s="1147">
        <v>30</v>
      </c>
    </row>
    <row r="79" spans="1:6" s="1098" customFormat="1" ht="24">
      <c r="A79" s="1147">
        <v>19</v>
      </c>
      <c r="B79" s="3438"/>
      <c r="C79" s="1061" t="s">
        <v>1539</v>
      </c>
      <c r="D79" s="1061" t="s">
        <v>1540</v>
      </c>
      <c r="E79" s="1132">
        <v>0.5</v>
      </c>
      <c r="F79" s="1147">
        <v>80</v>
      </c>
    </row>
    <row r="80" spans="1:6" s="1098" customFormat="1" ht="36">
      <c r="A80" s="1147">
        <v>20</v>
      </c>
      <c r="B80" s="3438"/>
      <c r="C80" s="1061" t="s">
        <v>1541</v>
      </c>
      <c r="D80" s="1061" t="s">
        <v>1542</v>
      </c>
      <c r="E80" s="1132">
        <v>0.2</v>
      </c>
      <c r="F80" s="1147">
        <v>30</v>
      </c>
    </row>
    <row r="81" spans="1:6" s="1098" customFormat="1" ht="36">
      <c r="A81" s="1147">
        <v>21</v>
      </c>
      <c r="B81" s="3438"/>
      <c r="C81" s="1061" t="s">
        <v>1543</v>
      </c>
      <c r="D81" s="1061" t="s">
        <v>1544</v>
      </c>
      <c r="E81" s="1132">
        <v>0.2</v>
      </c>
      <c r="F81" s="1147">
        <v>30</v>
      </c>
    </row>
    <row r="82" spans="1:6" s="1098" customFormat="1" ht="48">
      <c r="A82" s="1147">
        <v>22</v>
      </c>
      <c r="B82" s="3438"/>
      <c r="C82" s="1061" t="s">
        <v>1545</v>
      </c>
      <c r="D82" s="1061" t="s">
        <v>1546</v>
      </c>
      <c r="E82" s="1132">
        <v>0.2</v>
      </c>
      <c r="F82" s="1147">
        <v>30</v>
      </c>
    </row>
    <row r="83" spans="1:6" s="1098" customFormat="1" ht="48">
      <c r="A83" s="1147">
        <v>23</v>
      </c>
      <c r="B83" s="3438"/>
      <c r="C83" s="1061" t="s">
        <v>1547</v>
      </c>
      <c r="D83" s="1061" t="s">
        <v>1548</v>
      </c>
      <c r="E83" s="1132">
        <v>0.2</v>
      </c>
      <c r="F83" s="1147">
        <v>30</v>
      </c>
    </row>
    <row r="84" spans="1:6" s="1098" customFormat="1" ht="36">
      <c r="A84" s="1147">
        <v>24</v>
      </c>
      <c r="B84" s="3438"/>
      <c r="C84" s="1061" t="s">
        <v>1549</v>
      </c>
      <c r="D84" s="1061" t="s">
        <v>1550</v>
      </c>
      <c r="E84" s="1132">
        <v>0.2</v>
      </c>
      <c r="F84" s="1147">
        <v>30</v>
      </c>
    </row>
    <row r="85" spans="1:6" s="1098" customFormat="1" ht="36">
      <c r="A85" s="1147">
        <v>25</v>
      </c>
      <c r="B85" s="3438"/>
      <c r="C85" s="1061" t="s">
        <v>1551</v>
      </c>
      <c r="D85" s="1061" t="s">
        <v>1552</v>
      </c>
      <c r="E85" s="1132">
        <v>0.5</v>
      </c>
      <c r="F85" s="1147">
        <v>80</v>
      </c>
    </row>
    <row r="86" spans="1:6" s="1098" customFormat="1" ht="36">
      <c r="A86" s="1147">
        <v>26</v>
      </c>
      <c r="B86" s="3438"/>
      <c r="C86" s="1061" t="s">
        <v>1553</v>
      </c>
      <c r="D86" s="1061" t="s">
        <v>1554</v>
      </c>
      <c r="E86" s="1132">
        <v>0.2</v>
      </c>
      <c r="F86" s="1147">
        <v>30</v>
      </c>
    </row>
    <row r="87" spans="1:6" s="1098" customFormat="1" ht="36">
      <c r="A87" s="1147">
        <v>27</v>
      </c>
      <c r="B87" s="3438"/>
      <c r="C87" s="1061" t="s">
        <v>1555</v>
      </c>
      <c r="D87" s="1061" t="s">
        <v>1556</v>
      </c>
      <c r="E87" s="1132">
        <v>0.2</v>
      </c>
      <c r="F87" s="1147">
        <v>30</v>
      </c>
    </row>
    <row r="88" spans="1:6" s="1098" customFormat="1" ht="36">
      <c r="A88" s="1147">
        <v>28</v>
      </c>
      <c r="B88" s="3438"/>
      <c r="C88" s="1061" t="s">
        <v>1557</v>
      </c>
      <c r="D88" s="1061" t="s">
        <v>1558</v>
      </c>
      <c r="E88" s="1132">
        <v>0.2</v>
      </c>
      <c r="F88" s="1147">
        <v>30</v>
      </c>
    </row>
    <row r="89" spans="1:6" s="1098" customFormat="1" ht="24">
      <c r="A89" s="1147">
        <v>29</v>
      </c>
      <c r="B89" s="3438"/>
      <c r="C89" s="1061" t="s">
        <v>1559</v>
      </c>
      <c r="D89" s="1061" t="s">
        <v>1560</v>
      </c>
      <c r="E89" s="1132">
        <v>0.2</v>
      </c>
      <c r="F89" s="1147">
        <v>30</v>
      </c>
    </row>
    <row r="90" spans="1:6" s="1098" customFormat="1" ht="24">
      <c r="A90" s="1147">
        <v>30</v>
      </c>
      <c r="B90" s="3438"/>
      <c r="C90" s="1061" t="s">
        <v>1561</v>
      </c>
      <c r="D90" s="1061" t="s">
        <v>1562</v>
      </c>
      <c r="E90" s="1132">
        <v>0.2</v>
      </c>
      <c r="F90" s="1147">
        <v>30</v>
      </c>
    </row>
    <row r="91" spans="1:6" s="1098" customFormat="1" ht="36">
      <c r="A91" s="1147">
        <v>31</v>
      </c>
      <c r="B91" s="3438"/>
      <c r="C91" s="1061" t="s">
        <v>1563</v>
      </c>
      <c r="D91" s="1061" t="s">
        <v>1564</v>
      </c>
      <c r="E91" s="1132">
        <v>0.2</v>
      </c>
      <c r="F91" s="1147">
        <v>30</v>
      </c>
    </row>
    <row r="92" spans="1:6" s="1098" customFormat="1" ht="24">
      <c r="A92" s="1147">
        <v>32</v>
      </c>
      <c r="B92" s="3438" t="s">
        <v>1565</v>
      </c>
      <c r="C92" s="1147" t="s">
        <v>1566</v>
      </c>
      <c r="D92" s="1061" t="s">
        <v>1567</v>
      </c>
      <c r="E92" s="1132">
        <v>0.2</v>
      </c>
      <c r="F92" s="1147">
        <v>30</v>
      </c>
    </row>
    <row r="93" spans="1:6" s="1098" customFormat="1" ht="36">
      <c r="A93" s="1147">
        <v>33</v>
      </c>
      <c r="B93" s="3438"/>
      <c r="C93" s="1147" t="s">
        <v>1568</v>
      </c>
      <c r="D93" s="1061" t="s">
        <v>1569</v>
      </c>
      <c r="E93" s="1132">
        <v>0.2</v>
      </c>
      <c r="F93" s="1147">
        <v>30</v>
      </c>
    </row>
    <row r="94" spans="1:6" s="1098" customFormat="1" ht="48">
      <c r="A94" s="1147">
        <v>34</v>
      </c>
      <c r="B94" s="3438"/>
      <c r="C94" s="1147" t="s">
        <v>1570</v>
      </c>
      <c r="D94" s="1061" t="s">
        <v>1571</v>
      </c>
      <c r="E94" s="1132">
        <v>0.2</v>
      </c>
      <c r="F94" s="1147">
        <v>30</v>
      </c>
    </row>
    <row r="95" spans="1:6" s="1098" customFormat="1" ht="36">
      <c r="A95" s="1147">
        <v>35</v>
      </c>
      <c r="B95" s="3438"/>
      <c r="C95" s="1147" t="s">
        <v>1572</v>
      </c>
      <c r="D95" s="1061" t="s">
        <v>1573</v>
      </c>
      <c r="E95" s="1132">
        <v>0.2</v>
      </c>
      <c r="F95" s="1147">
        <v>30</v>
      </c>
    </row>
    <row r="96" spans="1:6" s="1098" customFormat="1" ht="48">
      <c r="A96" s="1147">
        <v>36</v>
      </c>
      <c r="B96" s="3438"/>
      <c r="C96" s="1061" t="s">
        <v>1574</v>
      </c>
      <c r="D96" s="1061" t="s">
        <v>1575</v>
      </c>
      <c r="E96" s="1132">
        <v>0.2</v>
      </c>
      <c r="F96" s="1147">
        <v>30</v>
      </c>
    </row>
    <row r="97" spans="1:6" s="1098" customFormat="1" ht="36">
      <c r="A97" s="1147">
        <v>37</v>
      </c>
      <c r="B97" s="3438"/>
      <c r="C97" s="1147" t="s">
        <v>1576</v>
      </c>
      <c r="D97" s="1061" t="s">
        <v>1577</v>
      </c>
      <c r="E97" s="1132">
        <v>0.2</v>
      </c>
      <c r="F97" s="1147">
        <v>30</v>
      </c>
    </row>
    <row r="98" spans="1:6" s="1098" customFormat="1" ht="36">
      <c r="A98" s="1147">
        <v>38</v>
      </c>
      <c r="B98" s="3438"/>
      <c r="C98" s="1147" t="s">
        <v>1578</v>
      </c>
      <c r="D98" s="1061" t="s">
        <v>1579</v>
      </c>
      <c r="E98" s="1132">
        <v>0.2</v>
      </c>
      <c r="F98" s="1147">
        <v>30</v>
      </c>
    </row>
    <row r="99" spans="1:6" s="1098" customFormat="1" ht="36">
      <c r="A99" s="1147">
        <v>39</v>
      </c>
      <c r="B99" s="3438" t="s">
        <v>1580</v>
      </c>
      <c r="C99" s="1147" t="s">
        <v>1581</v>
      </c>
      <c r="D99" s="1061" t="s">
        <v>1582</v>
      </c>
      <c r="E99" s="1132">
        <v>0.3</v>
      </c>
      <c r="F99" s="1147">
        <v>50</v>
      </c>
    </row>
    <row r="100" spans="1:6" s="1098" customFormat="1" ht="24">
      <c r="A100" s="1147">
        <v>40</v>
      </c>
      <c r="B100" s="3438"/>
      <c r="C100" s="1147" t="s">
        <v>1583</v>
      </c>
      <c r="D100" s="1061" t="s">
        <v>1584</v>
      </c>
      <c r="E100" s="1132">
        <v>0.2</v>
      </c>
      <c r="F100" s="1147">
        <v>30</v>
      </c>
    </row>
    <row r="101" spans="1:6" s="1098" customFormat="1" ht="36">
      <c r="A101" s="1147">
        <v>41</v>
      </c>
      <c r="B101" s="3438"/>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38" t="s">
        <v>1595</v>
      </c>
      <c r="C105" s="1147" t="s">
        <v>1596</v>
      </c>
      <c r="D105" s="1061" t="s">
        <v>1597</v>
      </c>
      <c r="E105" s="1132">
        <v>0.2</v>
      </c>
      <c r="F105" s="1147">
        <v>30</v>
      </c>
    </row>
    <row r="106" spans="1:6" s="1098" customFormat="1" ht="36">
      <c r="A106" s="1147">
        <v>46</v>
      </c>
      <c r="B106" s="3438"/>
      <c r="C106" s="1147" t="s">
        <v>1598</v>
      </c>
      <c r="D106" s="1061" t="s">
        <v>1599</v>
      </c>
      <c r="E106" s="1132">
        <v>0.2</v>
      </c>
      <c r="F106" s="1147">
        <v>30</v>
      </c>
    </row>
    <row r="107" spans="1:6" s="1098" customFormat="1" ht="36">
      <c r="A107" s="1147">
        <v>47</v>
      </c>
      <c r="B107" s="3438" t="s">
        <v>1600</v>
      </c>
      <c r="C107" s="1147" t="s">
        <v>1601</v>
      </c>
      <c r="D107" s="1061" t="s">
        <v>1602</v>
      </c>
      <c r="E107" s="1132">
        <v>0.3</v>
      </c>
      <c r="F107" s="1147">
        <v>50</v>
      </c>
    </row>
    <row r="108" spans="1:6" s="1098" customFormat="1" ht="36">
      <c r="A108" s="1147">
        <v>48</v>
      </c>
      <c r="B108" s="3438"/>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38" t="s">
        <v>1611</v>
      </c>
      <c r="C111" s="1147" t="s">
        <v>1612</v>
      </c>
      <c r="D111" s="1061" t="s">
        <v>1613</v>
      </c>
      <c r="E111" s="1132">
        <v>0.2</v>
      </c>
      <c r="F111" s="1147">
        <v>30</v>
      </c>
    </row>
    <row r="112" spans="1:6" s="1098" customFormat="1" ht="24">
      <c r="A112" s="1147">
        <v>52</v>
      </c>
      <c r="B112" s="3438"/>
      <c r="C112" s="1147" t="s">
        <v>1614</v>
      </c>
      <c r="D112" s="1061" t="s">
        <v>1615</v>
      </c>
      <c r="E112" s="1132">
        <v>0.2</v>
      </c>
      <c r="F112" s="1147">
        <v>30</v>
      </c>
    </row>
    <row r="113" spans="1:14" s="1098" customFormat="1" ht="24">
      <c r="A113" s="1147">
        <v>53</v>
      </c>
      <c r="B113" s="3438"/>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38" t="s">
        <v>1624</v>
      </c>
      <c r="C116" s="1147" t="s">
        <v>1625</v>
      </c>
      <c r="D116" s="1061" t="s">
        <v>1626</v>
      </c>
      <c r="E116" s="1132">
        <v>0.2</v>
      </c>
      <c r="F116" s="1147">
        <v>30</v>
      </c>
    </row>
    <row r="117" spans="1:14" ht="36">
      <c r="A117" s="1147">
        <v>57</v>
      </c>
      <c r="B117" s="3438"/>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37" t="s">
        <v>1633</v>
      </c>
      <c r="B121" s="3437"/>
      <c r="C121" s="3437"/>
      <c r="D121" s="3437"/>
      <c r="E121" s="3437"/>
      <c r="F121" s="3437"/>
      <c r="G121" s="3437"/>
      <c r="H121" s="3437"/>
      <c r="I121" s="3437"/>
      <c r="J121" s="3437"/>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2" t="s">
        <v>1039</v>
      </c>
      <c r="B1" s="3452"/>
      <c r="C1" s="3452"/>
      <c r="D1" s="3452"/>
      <c r="E1" s="3452"/>
      <c r="F1" s="3452"/>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3" t="s">
        <v>1052</v>
      </c>
      <c r="B2" s="3453"/>
      <c r="C2" s="3453"/>
      <c r="D2" s="3453"/>
      <c r="E2" s="3453"/>
      <c r="F2" s="3453"/>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4"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5"/>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t="e">
        <f>SUMPRODUCT((A105:A204=ROUNDDOWN(基准地价!G3,1))*(B104:M104=基准地价!G2)*(B105:M204))</f>
        <v>#REF!</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6" t="s">
        <v>2076</v>
      </c>
      <c r="B1" s="3456"/>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1096</v>
      </c>
      <c r="B6" s="1841" t="s">
        <v>2085</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2086</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2087</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2088</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2089</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2090</v>
      </c>
      <c r="C72" s="1851"/>
      <c r="D72" s="1851"/>
      <c r="E72" s="1851"/>
      <c r="F72" s="1843">
        <v>0.05</v>
      </c>
    </row>
    <row r="73" spans="1:6" ht="14.25" thickBot="1">
      <c r="A73" s="1837" t="s">
        <v>925</v>
      </c>
      <c r="B73" s="1841" t="s">
        <v>2091</v>
      </c>
      <c r="C73" s="1851"/>
      <c r="D73" s="1851"/>
      <c r="E73" s="1851"/>
      <c r="F73" s="1843">
        <v>0.05</v>
      </c>
    </row>
    <row r="74" spans="1:6" ht="14.25" thickBot="1">
      <c r="A74" s="1837" t="s">
        <v>925</v>
      </c>
      <c r="B74" s="1841" t="s">
        <v>2092</v>
      </c>
      <c r="C74" s="1851"/>
      <c r="D74" s="1851"/>
      <c r="E74" s="1851"/>
      <c r="F74" s="1843">
        <v>0.05</v>
      </c>
    </row>
    <row r="75" spans="1:6" ht="14.25" thickBot="1">
      <c r="A75" s="1845" t="s">
        <v>925</v>
      </c>
      <c r="B75" s="1852" t="s">
        <v>2093</v>
      </c>
      <c r="C75" s="1848"/>
      <c r="D75" s="1848"/>
      <c r="E75" s="1848"/>
      <c r="F75" s="1853">
        <v>0.05</v>
      </c>
    </row>
    <row r="76" spans="1:6" ht="14.25" thickBot="1">
      <c r="A76" s="1837" t="s">
        <v>1407</v>
      </c>
      <c r="B76" s="1838" t="s">
        <v>2094</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2095</v>
      </c>
      <c r="C102" s="1851"/>
      <c r="D102" s="1851"/>
      <c r="E102" s="1851"/>
      <c r="F102" s="1843">
        <v>0.05</v>
      </c>
    </row>
    <row r="103" spans="1:6" ht="24.75" thickBot="1">
      <c r="A103" s="1837" t="s">
        <v>1407</v>
      </c>
      <c r="B103" s="1841" t="s">
        <v>2096</v>
      </c>
      <c r="C103" s="1851"/>
      <c r="D103" s="1851"/>
      <c r="E103" s="1851"/>
      <c r="F103" s="1843">
        <v>0.05</v>
      </c>
    </row>
    <row r="104" spans="1:6" ht="14.25" thickBot="1">
      <c r="A104" s="1837" t="s">
        <v>1407</v>
      </c>
      <c r="B104" s="1841" t="s">
        <v>2097</v>
      </c>
      <c r="C104" s="1851"/>
      <c r="D104" s="1851"/>
      <c r="E104" s="1851"/>
      <c r="F104" s="1843">
        <v>0.05</v>
      </c>
    </row>
    <row r="105" spans="1:6" ht="14.25" thickBot="1">
      <c r="A105" s="1837" t="s">
        <v>1407</v>
      </c>
      <c r="B105" s="1841" t="s">
        <v>2098</v>
      </c>
      <c r="C105" s="1851"/>
      <c r="D105" s="1851"/>
      <c r="E105" s="1851"/>
      <c r="F105" s="1843">
        <v>0.05</v>
      </c>
    </row>
    <row r="106" spans="1:6" ht="14.25" thickBot="1">
      <c r="A106" s="1837" t="s">
        <v>1407</v>
      </c>
      <c r="B106" s="1841" t="s">
        <v>2099</v>
      </c>
      <c r="C106" s="1851"/>
      <c r="D106" s="1851"/>
      <c r="E106" s="1851"/>
      <c r="F106" s="1843">
        <v>0.05</v>
      </c>
    </row>
    <row r="107" spans="1:6" ht="24.75" thickBot="1">
      <c r="A107" s="1837" t="s">
        <v>1407</v>
      </c>
      <c r="B107" s="1841" t="s">
        <v>2100</v>
      </c>
      <c r="C107" s="1851"/>
      <c r="D107" s="1851"/>
      <c r="E107" s="1851"/>
      <c r="F107" s="1843">
        <v>0.05</v>
      </c>
    </row>
    <row r="108" spans="1:6" ht="24.75" thickBot="1">
      <c r="A108" s="1837" t="s">
        <v>1407</v>
      </c>
      <c r="B108" s="1841" t="s">
        <v>2101</v>
      </c>
      <c r="C108" s="1851"/>
      <c r="D108" s="1851"/>
      <c r="E108" s="1851"/>
      <c r="F108" s="1843">
        <v>0.05</v>
      </c>
    </row>
    <row r="109" spans="1:6" ht="24.75" thickBot="1">
      <c r="A109" s="1845" t="s">
        <v>1407</v>
      </c>
      <c r="B109" s="1852" t="s">
        <v>2102</v>
      </c>
      <c r="C109" s="1848"/>
      <c r="D109" s="1848"/>
      <c r="E109" s="1848"/>
      <c r="F109" s="1853">
        <v>0.05</v>
      </c>
    </row>
    <row r="110" spans="1:6" ht="14.25" thickBot="1">
      <c r="A110" s="1837" t="s">
        <v>1409</v>
      </c>
      <c r="B110" s="1838" t="s">
        <v>2103</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2104</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2105</v>
      </c>
      <c r="C138" s="1842">
        <v>0.105</v>
      </c>
      <c r="D138" s="1842">
        <v>0.125</v>
      </c>
      <c r="E138" s="1842">
        <v>0.112</v>
      </c>
      <c r="F138" s="1850"/>
    </row>
    <row r="139" spans="1:6" ht="14.25" thickBot="1">
      <c r="A139" s="1837" t="s">
        <v>1409</v>
      </c>
      <c r="B139" s="1841" t="s">
        <v>2106</v>
      </c>
      <c r="C139" s="1842">
        <v>0.127</v>
      </c>
      <c r="D139" s="1842">
        <v>0.127</v>
      </c>
      <c r="E139" s="1842">
        <v>0.122</v>
      </c>
      <c r="F139" s="1843">
        <v>0.13</v>
      </c>
    </row>
    <row r="140" spans="1:6" ht="14.25" thickBot="1">
      <c r="A140" s="1837" t="s">
        <v>1409</v>
      </c>
      <c r="B140" s="1841" t="s">
        <v>2107</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2108</v>
      </c>
      <c r="C144" s="1855">
        <v>0.126</v>
      </c>
      <c r="D144" s="1855">
        <v>0.126</v>
      </c>
      <c r="E144" s="1855">
        <v>0.121</v>
      </c>
      <c r="F144" s="1850"/>
    </row>
    <row r="145" spans="1:6" ht="14.25" thickBot="1">
      <c r="A145" s="1845" t="s">
        <v>1409</v>
      </c>
      <c r="B145" s="1856" t="s">
        <v>2109</v>
      </c>
      <c r="C145" s="1857"/>
      <c r="D145" s="1857"/>
      <c r="E145" s="1857"/>
      <c r="F145" s="1858">
        <v>0.05</v>
      </c>
    </row>
    <row r="146" spans="1:6" ht="24.75" thickBot="1">
      <c r="A146" s="1859" t="s">
        <v>1409</v>
      </c>
      <c r="B146" s="1844" t="s">
        <v>2110</v>
      </c>
      <c r="C146" s="1851"/>
      <c r="D146" s="1851"/>
      <c r="E146" s="1851"/>
      <c r="F146" s="1860">
        <v>0.05</v>
      </c>
    </row>
    <row r="147" spans="1:6" ht="24.75" thickBot="1">
      <c r="A147" s="1837" t="s">
        <v>1409</v>
      </c>
      <c r="B147" s="1841" t="s">
        <v>2111</v>
      </c>
      <c r="C147" s="1851"/>
      <c r="D147" s="1851"/>
      <c r="E147" s="1851"/>
      <c r="F147" s="1843">
        <v>0.05</v>
      </c>
    </row>
    <row r="148" spans="1:6" ht="24.75" thickBot="1">
      <c r="A148" s="1837" t="s">
        <v>1409</v>
      </c>
      <c r="B148" s="1841" t="s">
        <v>2112</v>
      </c>
      <c r="C148" s="1851"/>
      <c r="D148" s="1851"/>
      <c r="E148" s="1851"/>
      <c r="F148" s="1843">
        <v>0.05</v>
      </c>
    </row>
    <row r="149" spans="1:6" ht="24.75" thickBot="1">
      <c r="A149" s="1837" t="s">
        <v>1409</v>
      </c>
      <c r="B149" s="1841" t="s">
        <v>2113</v>
      </c>
      <c r="C149" s="1851"/>
      <c r="D149" s="1851"/>
      <c r="E149" s="1851"/>
      <c r="F149" s="1843">
        <v>0.05</v>
      </c>
    </row>
    <row r="150" spans="1:6" ht="24.75" thickBot="1">
      <c r="A150" s="1837" t="s">
        <v>1409</v>
      </c>
      <c r="B150" s="1841" t="s">
        <v>2114</v>
      </c>
      <c r="C150" s="1851"/>
      <c r="D150" s="1851"/>
      <c r="E150" s="1851"/>
      <c r="F150" s="1843">
        <v>0.05</v>
      </c>
    </row>
    <row r="151" spans="1:6" ht="24.75" thickBot="1">
      <c r="A151" s="1837" t="s">
        <v>1409</v>
      </c>
      <c r="B151" s="1841" t="s">
        <v>2115</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2116</v>
      </c>
      <c r="C153" s="1851"/>
      <c r="D153" s="1851"/>
      <c r="E153" s="1851"/>
      <c r="F153" s="1843">
        <v>0.05</v>
      </c>
    </row>
    <row r="154" spans="1:6" ht="14.25" thickBot="1">
      <c r="A154" s="1837" t="s">
        <v>1409</v>
      </c>
      <c r="B154" s="1841" t="s">
        <v>2117</v>
      </c>
      <c r="C154" s="1851"/>
      <c r="D154" s="1851"/>
      <c r="E154" s="1851"/>
      <c r="F154" s="1843">
        <v>0.05</v>
      </c>
    </row>
    <row r="155" spans="1:6" ht="24.75" thickBot="1">
      <c r="A155" s="1837" t="s">
        <v>1409</v>
      </c>
      <c r="B155" s="1841" t="s">
        <v>2118</v>
      </c>
      <c r="C155" s="1851"/>
      <c r="D155" s="1851"/>
      <c r="E155" s="1851"/>
      <c r="F155" s="1843">
        <v>0.05</v>
      </c>
    </row>
    <row r="156" spans="1:6" ht="24.75" thickBot="1">
      <c r="A156" s="1837" t="s">
        <v>1409</v>
      </c>
      <c r="B156" s="1841" t="s">
        <v>2119</v>
      </c>
      <c r="C156" s="1851"/>
      <c r="D156" s="1851"/>
      <c r="E156" s="1851"/>
      <c r="F156" s="1843">
        <v>0.05</v>
      </c>
    </row>
    <row r="157" spans="1:6" ht="14.25" thickBot="1">
      <c r="A157" s="1845" t="s">
        <v>1409</v>
      </c>
      <c r="B157" s="1852" t="s">
        <v>2120</v>
      </c>
      <c r="C157" s="1848"/>
      <c r="D157" s="1848"/>
      <c r="E157" s="1848"/>
      <c r="F157" s="1853">
        <v>0.05</v>
      </c>
    </row>
    <row r="158" spans="1:6" ht="14.25" thickBot="1">
      <c r="A158" s="1837" t="s">
        <v>1411</v>
      </c>
      <c r="B158" s="1838" t="s">
        <v>2121</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2122</v>
      </c>
      <c r="C171" s="1842">
        <v>0.127</v>
      </c>
      <c r="D171" s="1842">
        <v>0.126</v>
      </c>
      <c r="E171" s="1842">
        <v>0.126</v>
      </c>
      <c r="F171" s="1843">
        <v>0.11799999999999999</v>
      </c>
    </row>
    <row r="172" spans="1:6" ht="14.25" thickBot="1">
      <c r="A172" s="1837" t="s">
        <v>1411</v>
      </c>
      <c r="B172" s="1841" t="s">
        <v>2123</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2124</v>
      </c>
      <c r="C174" s="1842">
        <v>0.13</v>
      </c>
      <c r="D174" s="1842">
        <v>0.13</v>
      </c>
      <c r="E174" s="1842">
        <v>0.13</v>
      </c>
      <c r="F174" s="1843">
        <v>0.13</v>
      </c>
    </row>
    <row r="175" spans="1:6" ht="14.25" thickBot="1">
      <c r="A175" s="1837" t="s">
        <v>1411</v>
      </c>
      <c r="B175" s="1841" t="s">
        <v>2125</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2126</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2127</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2128</v>
      </c>
      <c r="C185" s="1842">
        <v>0.127</v>
      </c>
      <c r="D185" s="1842">
        <v>0.127</v>
      </c>
      <c r="E185" s="1842">
        <v>0.128</v>
      </c>
      <c r="F185" s="1843">
        <v>0.13</v>
      </c>
    </row>
    <row r="186" spans="1:6" ht="24.75" thickBot="1">
      <c r="A186" s="1837" t="s">
        <v>1411</v>
      </c>
      <c r="B186" s="1841" t="s">
        <v>2129</v>
      </c>
      <c r="C186" s="1851"/>
      <c r="D186" s="1851"/>
      <c r="E186" s="1851"/>
      <c r="F186" s="1843">
        <v>0.05</v>
      </c>
    </row>
    <row r="187" spans="1:6" ht="14.25" thickBot="1">
      <c r="A187" s="1837" t="s">
        <v>1411</v>
      </c>
      <c r="B187" s="1841" t="s">
        <v>2130</v>
      </c>
      <c r="C187" s="1851"/>
      <c r="D187" s="1851"/>
      <c r="E187" s="1851"/>
      <c r="F187" s="1843">
        <v>0.05</v>
      </c>
    </row>
    <row r="188" spans="1:6" ht="14.25" thickBot="1">
      <c r="A188" s="1837" t="s">
        <v>1411</v>
      </c>
      <c r="B188" s="1841" t="s">
        <v>2131</v>
      </c>
      <c r="C188" s="1851"/>
      <c r="D188" s="1851"/>
      <c r="E188" s="1851"/>
      <c r="F188" s="1843">
        <v>0.05</v>
      </c>
    </row>
    <row r="189" spans="1:6" ht="24.75" thickBot="1">
      <c r="A189" s="1837" t="s">
        <v>1411</v>
      </c>
      <c r="B189" s="1841" t="s">
        <v>2132</v>
      </c>
      <c r="C189" s="1851"/>
      <c r="D189" s="1851"/>
      <c r="E189" s="1851"/>
      <c r="F189" s="1843">
        <v>0.05</v>
      </c>
    </row>
    <row r="190" spans="1:6" ht="24.75" thickBot="1">
      <c r="A190" s="1837" t="s">
        <v>1411</v>
      </c>
      <c r="B190" s="1841" t="s">
        <v>2133</v>
      </c>
      <c r="C190" s="1851"/>
      <c r="D190" s="1851"/>
      <c r="E190" s="1851"/>
      <c r="F190" s="1843">
        <v>0.05</v>
      </c>
    </row>
    <row r="191" spans="1:6" ht="24.75" thickBot="1">
      <c r="A191" s="1837" t="s">
        <v>1411</v>
      </c>
      <c r="B191" s="1841" t="s">
        <v>2134</v>
      </c>
      <c r="C191" s="1851"/>
      <c r="D191" s="1851"/>
      <c r="E191" s="1851"/>
      <c r="F191" s="1843">
        <v>0.05</v>
      </c>
    </row>
    <row r="192" spans="1:6" ht="24.75" thickBot="1">
      <c r="A192" s="1837" t="s">
        <v>1411</v>
      </c>
      <c r="B192" s="1841" t="s">
        <v>2135</v>
      </c>
      <c r="C192" s="1851"/>
      <c r="D192" s="1851"/>
      <c r="E192" s="1851"/>
      <c r="F192" s="1843">
        <v>0.05</v>
      </c>
    </row>
    <row r="193" spans="1:6" ht="24.75" thickBot="1">
      <c r="A193" s="1837" t="s">
        <v>1411</v>
      </c>
      <c r="B193" s="1841" t="s">
        <v>2136</v>
      </c>
      <c r="C193" s="1851"/>
      <c r="D193" s="1851"/>
      <c r="E193" s="1851"/>
      <c r="F193" s="1843">
        <v>0.05</v>
      </c>
    </row>
    <row r="194" spans="1:6" ht="24.75" thickBot="1">
      <c r="A194" s="1837" t="s">
        <v>1411</v>
      </c>
      <c r="B194" s="1841" t="s">
        <v>2137</v>
      </c>
      <c r="C194" s="1851"/>
      <c r="D194" s="1851"/>
      <c r="E194" s="1851"/>
      <c r="F194" s="1843">
        <v>0.05</v>
      </c>
    </row>
    <row r="195" spans="1:6" ht="14.25" thickBot="1">
      <c r="A195" s="1837" t="s">
        <v>1411</v>
      </c>
      <c r="B195" s="1841" t="s">
        <v>2138</v>
      </c>
      <c r="C195" s="1851"/>
      <c r="D195" s="1851"/>
      <c r="E195" s="1851"/>
      <c r="F195" s="1843">
        <v>0.05</v>
      </c>
    </row>
    <row r="196" spans="1:6" ht="24.75" thickBot="1">
      <c r="A196" s="1837" t="s">
        <v>1411</v>
      </c>
      <c r="B196" s="1841" t="s">
        <v>2139</v>
      </c>
      <c r="C196" s="1851"/>
      <c r="D196" s="1851"/>
      <c r="E196" s="1851"/>
      <c r="F196" s="1843">
        <v>0.05</v>
      </c>
    </row>
    <row r="197" spans="1:6" ht="24.75" thickBot="1">
      <c r="A197" s="1837" t="s">
        <v>1411</v>
      </c>
      <c r="B197" s="1841" t="s">
        <v>2140</v>
      </c>
      <c r="C197" s="1851"/>
      <c r="D197" s="1851"/>
      <c r="E197" s="1851"/>
      <c r="F197" s="1843">
        <v>0.05</v>
      </c>
    </row>
    <row r="198" spans="1:6" ht="24.75" thickBot="1">
      <c r="A198" s="1837" t="s">
        <v>1411</v>
      </c>
      <c r="B198" s="1841" t="s">
        <v>2141</v>
      </c>
      <c r="C198" s="1851"/>
      <c r="D198" s="1851"/>
      <c r="E198" s="1851"/>
      <c r="F198" s="1843">
        <v>0.05</v>
      </c>
    </row>
    <row r="199" spans="1:6" ht="24.75" thickBot="1">
      <c r="A199" s="1837" t="s">
        <v>1411</v>
      </c>
      <c r="B199" s="1841" t="s">
        <v>2142</v>
      </c>
      <c r="C199" s="1851"/>
      <c r="D199" s="1851"/>
      <c r="E199" s="1851"/>
      <c r="F199" s="1843">
        <v>0.05</v>
      </c>
    </row>
    <row r="200" spans="1:6" ht="24.75" thickBot="1">
      <c r="A200" s="1837" t="s">
        <v>1411</v>
      </c>
      <c r="B200" s="1841" t="s">
        <v>2143</v>
      </c>
      <c r="C200" s="1851"/>
      <c r="D200" s="1851"/>
      <c r="E200" s="1851"/>
      <c r="F200" s="1843">
        <v>0.05</v>
      </c>
    </row>
    <row r="201" spans="1:6" ht="24.75" thickBot="1">
      <c r="A201" s="1837" t="s">
        <v>1411</v>
      </c>
      <c r="B201" s="1841" t="s">
        <v>2144</v>
      </c>
      <c r="C201" s="1851"/>
      <c r="D201" s="1851"/>
      <c r="E201" s="1851"/>
      <c r="F201" s="1843">
        <v>0.05</v>
      </c>
    </row>
    <row r="202" spans="1:6" ht="24.75" thickBot="1">
      <c r="A202" s="1837" t="s">
        <v>1411</v>
      </c>
      <c r="B202" s="1841" t="s">
        <v>2145</v>
      </c>
      <c r="C202" s="1851"/>
      <c r="D202" s="1851"/>
      <c r="E202" s="1851"/>
      <c r="F202" s="1843">
        <v>0.05</v>
      </c>
    </row>
    <row r="203" spans="1:6" ht="24.75" thickBot="1">
      <c r="A203" s="1837" t="s">
        <v>1411</v>
      </c>
      <c r="B203" s="1841" t="s">
        <v>2146</v>
      </c>
      <c r="C203" s="1851"/>
      <c r="D203" s="1851"/>
      <c r="E203" s="1851"/>
      <c r="F203" s="1843">
        <v>0.05</v>
      </c>
    </row>
    <row r="204" spans="1:6" ht="14.25" thickBot="1">
      <c r="A204" s="1837" t="s">
        <v>1411</v>
      </c>
      <c r="B204" s="1841" t="s">
        <v>2147</v>
      </c>
      <c r="C204" s="1851"/>
      <c r="D204" s="1851"/>
      <c r="E204" s="1851"/>
      <c r="F204" s="1843">
        <v>0.05</v>
      </c>
    </row>
    <row r="205" spans="1:6" ht="14.25" thickBot="1">
      <c r="A205" s="1845" t="s">
        <v>1411</v>
      </c>
      <c r="B205" s="1852" t="s">
        <v>2148</v>
      </c>
      <c r="C205" s="1848"/>
      <c r="D205" s="1848"/>
      <c r="E205" s="1848"/>
      <c r="F205" s="1853">
        <v>0.05</v>
      </c>
    </row>
    <row r="206" spans="1:6" ht="14.25" thickBot="1">
      <c r="A206" s="1837" t="s">
        <v>1413</v>
      </c>
      <c r="B206" s="1838" t="s">
        <v>2149</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2150</v>
      </c>
      <c r="C210" s="1842">
        <v>0.15</v>
      </c>
      <c r="D210" s="1842">
        <v>0.15</v>
      </c>
      <c r="E210" s="1842">
        <v>0.15</v>
      </c>
      <c r="F210" s="1843">
        <v>0.13800000000000001</v>
      </c>
    </row>
    <row r="211" spans="1:6" ht="14.25" thickBot="1">
      <c r="A211" s="1837" t="s">
        <v>1413</v>
      </c>
      <c r="B211" s="1841" t="s">
        <v>2151</v>
      </c>
      <c r="C211" s="1842">
        <v>0.13700000000000001</v>
      </c>
      <c r="D211" s="1842">
        <v>0.13500000000000001</v>
      </c>
      <c r="E211" s="1842">
        <v>0.13600000000000001</v>
      </c>
      <c r="F211" s="1843">
        <v>0.1</v>
      </c>
    </row>
    <row r="212" spans="1:6" ht="14.25" thickBot="1">
      <c r="A212" s="1837" t="s">
        <v>1413</v>
      </c>
      <c r="B212" s="1841" t="s">
        <v>2152</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2153</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2154</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2155</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2156</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2157</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2158</v>
      </c>
      <c r="C231" s="1842">
        <v>0.128</v>
      </c>
      <c r="D231" s="1842">
        <v>0.125</v>
      </c>
      <c r="E231" s="1842">
        <v>0.13200000000000001</v>
      </c>
      <c r="F231" s="1850"/>
    </row>
    <row r="232" spans="1:6" ht="14.25" thickBot="1">
      <c r="A232" s="1837" t="s">
        <v>1413</v>
      </c>
      <c r="B232" s="1841" t="s">
        <v>2159</v>
      </c>
      <c r="C232" s="1842">
        <v>0.14499999999999999</v>
      </c>
      <c r="D232" s="1842">
        <v>0.14399999999999999</v>
      </c>
      <c r="E232" s="1842">
        <v>0.14599999999999999</v>
      </c>
      <c r="F232" s="1843">
        <v>0.13800000000000001</v>
      </c>
    </row>
    <row r="233" spans="1:6" ht="14.25" thickBot="1">
      <c r="A233" s="1837" t="s">
        <v>1413</v>
      </c>
      <c r="B233" s="1841" t="s">
        <v>2160</v>
      </c>
      <c r="C233" s="1842">
        <v>0.14499999999999999</v>
      </c>
      <c r="D233" s="1842">
        <v>0.14299999999999999</v>
      </c>
      <c r="E233" s="1842">
        <v>0.14199999999999999</v>
      </c>
      <c r="F233" s="1850"/>
    </row>
    <row r="234" spans="1:6" ht="14.25" thickBot="1">
      <c r="A234" s="1837" t="s">
        <v>1413</v>
      </c>
      <c r="B234" s="1841" t="s">
        <v>2161</v>
      </c>
      <c r="C234" s="1842">
        <v>0.14000000000000001</v>
      </c>
      <c r="D234" s="1842">
        <v>0.14000000000000001</v>
      </c>
      <c r="E234" s="1842">
        <v>0.14399999999999999</v>
      </c>
      <c r="F234" s="1850"/>
    </row>
    <row r="235" spans="1:6" ht="14.25" thickBot="1">
      <c r="A235" s="1837" t="s">
        <v>1413</v>
      </c>
      <c r="B235" s="1841" t="s">
        <v>2162</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2163</v>
      </c>
      <c r="C237" s="1851"/>
      <c r="D237" s="1851"/>
      <c r="E237" s="1851"/>
      <c r="F237" s="1843">
        <v>0.05</v>
      </c>
    </row>
    <row r="238" spans="1:6" ht="24.75" thickBot="1">
      <c r="A238" s="1837" t="s">
        <v>1413</v>
      </c>
      <c r="B238" s="1841" t="s">
        <v>2164</v>
      </c>
      <c r="C238" s="1851"/>
      <c r="D238" s="1851"/>
      <c r="E238" s="1851"/>
      <c r="F238" s="1843">
        <v>0.05</v>
      </c>
    </row>
    <row r="239" spans="1:6" ht="24.75" thickBot="1">
      <c r="A239" s="1837" t="s">
        <v>1413</v>
      </c>
      <c r="B239" s="1841" t="s">
        <v>2165</v>
      </c>
      <c r="C239" s="1851"/>
      <c r="D239" s="1851"/>
      <c r="E239" s="1851"/>
      <c r="F239" s="1843">
        <v>0.05</v>
      </c>
    </row>
    <row r="240" spans="1:6" ht="24.75" thickBot="1">
      <c r="A240" s="1837" t="s">
        <v>1413</v>
      </c>
      <c r="B240" s="1841" t="s">
        <v>2166</v>
      </c>
      <c r="C240" s="1851"/>
      <c r="D240" s="1851"/>
      <c r="E240" s="1851"/>
      <c r="F240" s="1843">
        <v>0.05</v>
      </c>
    </row>
    <row r="241" spans="1:6" ht="24.75" thickBot="1">
      <c r="A241" s="1837" t="s">
        <v>1413</v>
      </c>
      <c r="B241" s="1841" t="s">
        <v>2167</v>
      </c>
      <c r="C241" s="1851"/>
      <c r="D241" s="1851"/>
      <c r="E241" s="1851"/>
      <c r="F241" s="1843">
        <v>0.05</v>
      </c>
    </row>
    <row r="242" spans="1:6" ht="24.75" thickBot="1">
      <c r="A242" s="1837" t="s">
        <v>1413</v>
      </c>
      <c r="B242" s="1841" t="s">
        <v>2168</v>
      </c>
      <c r="C242" s="1851"/>
      <c r="D242" s="1851"/>
      <c r="E242" s="1851"/>
      <c r="F242" s="1843">
        <v>0.05</v>
      </c>
    </row>
    <row r="243" spans="1:6" ht="24.75" thickBot="1">
      <c r="A243" s="1837" t="s">
        <v>1413</v>
      </c>
      <c r="B243" s="1841" t="s">
        <v>2169</v>
      </c>
      <c r="C243" s="1851"/>
      <c r="D243" s="1851"/>
      <c r="E243" s="1851"/>
      <c r="F243" s="1843">
        <v>0.05</v>
      </c>
    </row>
    <row r="244" spans="1:6" ht="24.75" thickBot="1">
      <c r="A244" s="1845" t="s">
        <v>1413</v>
      </c>
      <c r="B244" s="1852" t="s">
        <v>2170</v>
      </c>
      <c r="C244" s="1848"/>
      <c r="D244" s="1848"/>
      <c r="E244" s="1848"/>
      <c r="F244" s="1853">
        <v>0.05</v>
      </c>
    </row>
    <row r="245" spans="1:6" ht="14.25" thickBot="1">
      <c r="A245" s="1837" t="s">
        <v>1415</v>
      </c>
      <c r="B245" s="1838" t="s">
        <v>2171</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2172</v>
      </c>
      <c r="C247" s="1842">
        <v>0.15</v>
      </c>
      <c r="D247" s="1842">
        <v>0.15</v>
      </c>
      <c r="E247" s="1842">
        <v>0.15</v>
      </c>
      <c r="F247" s="1843">
        <v>0.15</v>
      </c>
    </row>
    <row r="248" spans="1:6" ht="14.25" thickBot="1">
      <c r="A248" s="1837" t="s">
        <v>1415</v>
      </c>
      <c r="B248" s="1841" t="s">
        <v>2173</v>
      </c>
      <c r="C248" s="1842">
        <v>0.15</v>
      </c>
      <c r="D248" s="1842">
        <v>0.15</v>
      </c>
      <c r="E248" s="1842">
        <v>0.15</v>
      </c>
      <c r="F248" s="1843">
        <v>0.14000000000000001</v>
      </c>
    </row>
    <row r="249" spans="1:6" ht="14.25" thickBot="1">
      <c r="A249" s="1837" t="s">
        <v>1415</v>
      </c>
      <c r="B249" s="1841" t="s">
        <v>2174</v>
      </c>
      <c r="C249" s="1842">
        <v>0.15</v>
      </c>
      <c r="D249" s="1842">
        <v>0.14899999999999999</v>
      </c>
      <c r="E249" s="1842">
        <v>0.15</v>
      </c>
      <c r="F249" s="1843">
        <v>0.1</v>
      </c>
    </row>
    <row r="250" spans="1:6" ht="14.25" thickBot="1">
      <c r="A250" s="1837" t="s">
        <v>1415</v>
      </c>
      <c r="B250" s="1841" t="s">
        <v>2175</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2176</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2177</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2178</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2179</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2180</v>
      </c>
      <c r="C273" s="1842">
        <v>0.14199999999999999</v>
      </c>
      <c r="D273" s="1842">
        <v>0.14299999999999999</v>
      </c>
      <c r="E273" s="1842">
        <v>0.15</v>
      </c>
      <c r="F273" s="1843">
        <v>0.1</v>
      </c>
    </row>
    <row r="274" spans="1:6" ht="14.25" thickBot="1">
      <c r="A274" s="1837" t="s">
        <v>1415</v>
      </c>
      <c r="B274" s="1841" t="s">
        <v>2181</v>
      </c>
      <c r="C274" s="1842">
        <v>0.14799999999999999</v>
      </c>
      <c r="D274" s="1842">
        <v>0.14799999999999999</v>
      </c>
      <c r="E274" s="1842">
        <v>0.15</v>
      </c>
      <c r="F274" s="1843">
        <v>6.7000000000000004E-2</v>
      </c>
    </row>
    <row r="275" spans="1:6" ht="14.25" thickBot="1">
      <c r="A275" s="1837" t="s">
        <v>1415</v>
      </c>
      <c r="B275" s="1841" t="s">
        <v>2182</v>
      </c>
      <c r="C275" s="1842">
        <v>0.15</v>
      </c>
      <c r="D275" s="1842">
        <v>0.15</v>
      </c>
      <c r="E275" s="1842">
        <v>0.15</v>
      </c>
      <c r="F275" s="1843">
        <v>0.15</v>
      </c>
    </row>
    <row r="276" spans="1:6" ht="14.25" thickBot="1">
      <c r="A276" s="1837" t="s">
        <v>1415</v>
      </c>
      <c r="B276" s="1841" t="s">
        <v>2183</v>
      </c>
      <c r="C276" s="1842">
        <v>0.14499999999999999</v>
      </c>
      <c r="D276" s="1842">
        <v>0.14299999999999999</v>
      </c>
      <c r="E276" s="1842">
        <v>0.15</v>
      </c>
      <c r="F276" s="1843">
        <v>5.8999999999999997E-2</v>
      </c>
    </row>
    <row r="277" spans="1:6" ht="14.25" thickBot="1">
      <c r="A277" s="1837" t="s">
        <v>1415</v>
      </c>
      <c r="B277" s="1841" t="s">
        <v>2184</v>
      </c>
      <c r="C277" s="1842">
        <v>0.15</v>
      </c>
      <c r="D277" s="1842">
        <v>0.15</v>
      </c>
      <c r="E277" s="1842">
        <v>0.15</v>
      </c>
      <c r="F277" s="1843">
        <v>0.121</v>
      </c>
    </row>
    <row r="278" spans="1:6" ht="14.25" thickBot="1">
      <c r="A278" s="1837" t="s">
        <v>1415</v>
      </c>
      <c r="B278" s="1841" t="s">
        <v>2185</v>
      </c>
      <c r="C278" s="1842">
        <v>0.15</v>
      </c>
      <c r="D278" s="1842">
        <v>0.15</v>
      </c>
      <c r="E278" s="1842">
        <v>0.15</v>
      </c>
      <c r="F278" s="1843">
        <v>0.13800000000000001</v>
      </c>
    </row>
    <row r="279" spans="1:6" ht="24.75" thickBot="1">
      <c r="A279" s="1837" t="s">
        <v>1415</v>
      </c>
      <c r="B279" s="1841" t="s">
        <v>2186</v>
      </c>
      <c r="C279" s="1851"/>
      <c r="D279" s="1851"/>
      <c r="E279" s="1851"/>
      <c r="F279" s="1843">
        <v>0.05</v>
      </c>
    </row>
    <row r="280" spans="1:6" ht="24.75" thickBot="1">
      <c r="A280" s="1837" t="s">
        <v>1415</v>
      </c>
      <c r="B280" s="1841" t="s">
        <v>2187</v>
      </c>
      <c r="C280" s="1851"/>
      <c r="D280" s="1851"/>
      <c r="E280" s="1851"/>
      <c r="F280" s="1843">
        <v>0.05</v>
      </c>
    </row>
    <row r="281" spans="1:6" ht="24.75" thickBot="1">
      <c r="A281" s="1837" t="s">
        <v>1415</v>
      </c>
      <c r="B281" s="1841" t="s">
        <v>2188</v>
      </c>
      <c r="C281" s="1851"/>
      <c r="D281" s="1851"/>
      <c r="E281" s="1851"/>
      <c r="F281" s="1843">
        <v>0.05</v>
      </c>
    </row>
    <row r="282" spans="1:6" ht="24.75" thickBot="1">
      <c r="A282" s="1837" t="s">
        <v>1415</v>
      </c>
      <c r="B282" s="1841" t="s">
        <v>2189</v>
      </c>
      <c r="C282" s="1851"/>
      <c r="D282" s="1851"/>
      <c r="E282" s="1851"/>
      <c r="F282" s="1843">
        <v>0.05</v>
      </c>
    </row>
    <row r="283" spans="1:6" ht="24.75" thickBot="1">
      <c r="A283" s="1837" t="s">
        <v>1415</v>
      </c>
      <c r="B283" s="1841" t="s">
        <v>2190</v>
      </c>
      <c r="C283" s="1851"/>
      <c r="D283" s="1851"/>
      <c r="E283" s="1851"/>
      <c r="F283" s="1843">
        <v>0.05</v>
      </c>
    </row>
    <row r="284" spans="1:6" ht="24.75" thickBot="1">
      <c r="A284" s="1837" t="s">
        <v>1415</v>
      </c>
      <c r="B284" s="1841" t="s">
        <v>2191</v>
      </c>
      <c r="C284" s="1851"/>
      <c r="D284" s="1851"/>
      <c r="E284" s="1851"/>
      <c r="F284" s="1843">
        <v>0.05</v>
      </c>
    </row>
    <row r="285" spans="1:6" ht="24.75" thickBot="1">
      <c r="A285" s="1837" t="s">
        <v>1415</v>
      </c>
      <c r="B285" s="1841" t="s">
        <v>2192</v>
      </c>
      <c r="C285" s="1851"/>
      <c r="D285" s="1851"/>
      <c r="E285" s="1851"/>
      <c r="F285" s="1843">
        <v>0.05</v>
      </c>
    </row>
    <row r="286" spans="1:6" ht="24.75" thickBot="1">
      <c r="A286" s="1837" t="s">
        <v>1415</v>
      </c>
      <c r="B286" s="1841" t="s">
        <v>2193</v>
      </c>
      <c r="C286" s="1851"/>
      <c r="D286" s="1851"/>
      <c r="E286" s="1851"/>
      <c r="F286" s="1843">
        <v>0.05</v>
      </c>
    </row>
    <row r="287" spans="1:6" ht="24.75" thickBot="1">
      <c r="A287" s="1837" t="s">
        <v>1415</v>
      </c>
      <c r="B287" s="1841" t="s">
        <v>2194</v>
      </c>
      <c r="C287" s="1851"/>
      <c r="D287" s="1851"/>
      <c r="E287" s="1851"/>
      <c r="F287" s="1843">
        <v>0.05</v>
      </c>
    </row>
    <row r="288" spans="1:6" ht="24.75" thickBot="1">
      <c r="A288" s="1837" t="s">
        <v>1415</v>
      </c>
      <c r="B288" s="1841" t="s">
        <v>2195</v>
      </c>
      <c r="C288" s="1851"/>
      <c r="D288" s="1851"/>
      <c r="E288" s="1851"/>
      <c r="F288" s="1843">
        <v>0.05</v>
      </c>
    </row>
    <row r="289" spans="1:6" ht="24.75" thickBot="1">
      <c r="A289" s="1845" t="s">
        <v>1415</v>
      </c>
      <c r="B289" s="1852" t="s">
        <v>2196</v>
      </c>
      <c r="C289" s="1848"/>
      <c r="D289" s="1848"/>
      <c r="E289" s="1848"/>
      <c r="F289" s="1853">
        <v>0.05</v>
      </c>
    </row>
    <row r="290" spans="1:6" ht="14.25" thickBot="1">
      <c r="A290" s="1837" t="s">
        <v>1419</v>
      </c>
      <c r="B290" s="1838" t="s">
        <v>2197</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2198</v>
      </c>
      <c r="C292" s="1842">
        <v>0.15</v>
      </c>
      <c r="D292" s="1842">
        <v>0.15</v>
      </c>
      <c r="E292" s="1842">
        <v>0.15</v>
      </c>
      <c r="F292" s="1843">
        <v>0.14699999999999999</v>
      </c>
    </row>
    <row r="293" spans="1:6" ht="14.25" thickBot="1">
      <c r="A293" s="1837" t="s">
        <v>1419</v>
      </c>
      <c r="B293" s="1841" t="s">
        <v>2199</v>
      </c>
      <c r="C293" s="1851"/>
      <c r="D293" s="1851"/>
      <c r="E293" s="1851"/>
      <c r="F293" s="1843">
        <v>0.1</v>
      </c>
    </row>
    <row r="294" spans="1:6" ht="14.25" thickBot="1">
      <c r="A294" s="1837" t="s">
        <v>1419</v>
      </c>
      <c r="B294" s="1841" t="s">
        <v>2200</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2201</v>
      </c>
      <c r="C296" s="1842">
        <v>0.15</v>
      </c>
      <c r="D296" s="1842">
        <v>0.15</v>
      </c>
      <c r="E296" s="1842">
        <v>0.15</v>
      </c>
      <c r="F296" s="1843">
        <v>0.15</v>
      </c>
    </row>
    <row r="297" spans="1:6" ht="14.25" thickBot="1">
      <c r="A297" s="1837" t="s">
        <v>1419</v>
      </c>
      <c r="B297" s="1841" t="s">
        <v>2202</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2203</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2204</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2205</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2206</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2207</v>
      </c>
      <c r="C310" s="1842">
        <v>0.15</v>
      </c>
      <c r="D310" s="1842">
        <v>0.15</v>
      </c>
      <c r="E310" s="1842">
        <v>0.15</v>
      </c>
      <c r="F310" s="1843">
        <v>0.13700000000000001</v>
      </c>
    </row>
    <row r="311" spans="1:6" ht="14.25" thickBot="1">
      <c r="A311" s="1837" t="s">
        <v>1419</v>
      </c>
      <c r="B311" s="1841" t="s">
        <v>2208</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2209</v>
      </c>
      <c r="C313" s="1842">
        <v>0.15</v>
      </c>
      <c r="D313" s="1842">
        <v>0.15</v>
      </c>
      <c r="E313" s="1842">
        <v>0.15</v>
      </c>
      <c r="F313" s="1843">
        <v>0.15</v>
      </c>
    </row>
    <row r="314" spans="1:6" ht="24.75" thickBot="1">
      <c r="A314" s="1837" t="s">
        <v>1419</v>
      </c>
      <c r="B314" s="1841" t="s">
        <v>2210</v>
      </c>
      <c r="C314" s="1851"/>
      <c r="D314" s="1851"/>
      <c r="E314" s="1851"/>
      <c r="F314" s="1843">
        <v>0.05</v>
      </c>
    </row>
    <row r="315" spans="1:6" ht="24.75" thickBot="1">
      <c r="A315" s="1837" t="s">
        <v>1419</v>
      </c>
      <c r="B315" s="1841" t="s">
        <v>2211</v>
      </c>
      <c r="C315" s="1851"/>
      <c r="D315" s="1851"/>
      <c r="E315" s="1851"/>
      <c r="F315" s="1843">
        <v>0.05</v>
      </c>
    </row>
    <row r="316" spans="1:6" ht="24.75" thickBot="1">
      <c r="A316" s="1845" t="s">
        <v>1419</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1107</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1176</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1196</v>
      </c>
      <c r="C328" s="1842">
        <v>0.15</v>
      </c>
      <c r="D328" s="1842">
        <v>0.15</v>
      </c>
      <c r="E328" s="1842">
        <v>0.15</v>
      </c>
      <c r="F328" s="1843">
        <v>0.14099999999999999</v>
      </c>
    </row>
    <row r="329" spans="1:6" ht="14.25" thickBot="1">
      <c r="A329" s="1837" t="s">
        <v>2213</v>
      </c>
      <c r="B329" s="1841" t="s">
        <v>1206</v>
      </c>
      <c r="C329" s="1842">
        <v>0.15</v>
      </c>
      <c r="D329" s="1842">
        <v>0.15</v>
      </c>
      <c r="E329" s="1842">
        <v>0.15</v>
      </c>
      <c r="F329" s="1843">
        <v>0.15</v>
      </c>
    </row>
    <row r="330" spans="1:6" ht="14.25" thickBot="1">
      <c r="A330" s="1837" t="s">
        <v>2213</v>
      </c>
      <c r="B330" s="1841" t="s">
        <v>1216</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1236</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1256</v>
      </c>
      <c r="C334" s="1842">
        <v>0.15</v>
      </c>
      <c r="D334" s="1842">
        <v>0.15</v>
      </c>
      <c r="E334" s="1842">
        <v>0.15</v>
      </c>
      <c r="F334" s="1843">
        <v>0.15</v>
      </c>
    </row>
    <row r="335" spans="1:6" ht="14.25" thickBot="1">
      <c r="A335" s="1837" t="s">
        <v>2213</v>
      </c>
      <c r="B335" s="1841" t="s">
        <v>1266</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1284</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40" sqref="E4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9" t="s">
        <v>2572</v>
      </c>
      <c r="C1" s="3459"/>
      <c r="D1" s="3459"/>
      <c r="E1" s="3459"/>
      <c r="F1" s="3459"/>
      <c r="G1" s="3458" t="s">
        <v>2573</v>
      </c>
      <c r="H1" s="3458"/>
      <c r="I1" s="3458"/>
      <c r="J1" s="3458"/>
      <c r="K1" s="3458"/>
      <c r="L1" s="3458"/>
      <c r="N1" s="3458" t="s">
        <v>2574</v>
      </c>
      <c r="O1" s="3458"/>
      <c r="P1" s="3458"/>
      <c r="Q1" s="3458"/>
      <c r="R1" s="2615"/>
      <c r="S1" s="3458" t="s">
        <v>2575</v>
      </c>
      <c r="T1" s="3458"/>
      <c r="U1" s="3458"/>
      <c r="V1" s="3458"/>
      <c r="X1" s="3457" t="s">
        <v>2635</v>
      </c>
      <c r="Y1" s="3458"/>
      <c r="Z1" s="3458"/>
      <c r="AA1" s="3458"/>
      <c r="AB1" s="3458"/>
      <c r="AD1" s="3457" t="s">
        <v>2639</v>
      </c>
      <c r="AE1" s="3458"/>
      <c r="AF1" s="3458"/>
      <c r="AG1" s="3458"/>
      <c r="AH1" s="3458"/>
    </row>
    <row r="2" spans="1:34" s="2716" customFormat="1" ht="14.25" thickBot="1">
      <c r="B2" s="2724" t="s">
        <v>2576</v>
      </c>
      <c r="C2" s="2724" t="s">
        <v>2637</v>
      </c>
      <c r="D2" s="2717" t="s">
        <v>1644</v>
      </c>
      <c r="E2" s="2717" t="s">
        <v>1946</v>
      </c>
      <c r="F2" s="2724" t="s">
        <v>2638</v>
      </c>
      <c r="G2" s="2720"/>
      <c r="H2" s="2719"/>
      <c r="I2" s="2724" t="s">
        <v>2953</v>
      </c>
      <c r="J2" s="2717" t="s">
        <v>2955</v>
      </c>
      <c r="K2" s="2717" t="s">
        <v>2956</v>
      </c>
      <c r="L2" s="2724" t="s">
        <v>2957</v>
      </c>
      <c r="N2" s="2724" t="s">
        <v>2576</v>
      </c>
      <c r="O2" s="2717" t="s">
        <v>2954</v>
      </c>
      <c r="P2" s="2717" t="s">
        <v>1946</v>
      </c>
      <c r="Q2" s="2724" t="s">
        <v>2638</v>
      </c>
      <c r="R2" s="2718"/>
      <c r="S2" s="2724" t="s">
        <v>2576</v>
      </c>
      <c r="T2" s="2717" t="s">
        <v>2954</v>
      </c>
      <c r="U2" s="2717" t="s">
        <v>1946</v>
      </c>
      <c r="V2" s="2724" t="s">
        <v>2638</v>
      </c>
      <c r="X2" s="2724" t="s">
        <v>2576</v>
      </c>
      <c r="Y2" s="2724" t="s">
        <v>2637</v>
      </c>
      <c r="Z2" s="2717" t="s">
        <v>1644</v>
      </c>
      <c r="AA2" s="2717" t="s">
        <v>1946</v>
      </c>
      <c r="AB2" s="2724" t="s">
        <v>2638</v>
      </c>
      <c r="AD2" s="2724" t="s">
        <v>2576</v>
      </c>
      <c r="AE2" s="2724" t="s">
        <v>2637</v>
      </c>
      <c r="AF2" s="2717" t="s">
        <v>1644</v>
      </c>
      <c r="AG2" s="2717" t="s">
        <v>1946</v>
      </c>
      <c r="AH2" s="2724" t="s">
        <v>2638</v>
      </c>
    </row>
    <row r="3" spans="1:34" s="3077" customFormat="1" ht="14.25">
      <c r="A3" s="3089" t="s">
        <v>2966</v>
      </c>
      <c r="B3" s="3078"/>
      <c r="C3" s="3078"/>
      <c r="D3" s="3079"/>
      <c r="E3" s="3079"/>
      <c r="F3" s="3078"/>
      <c r="G3" s="3080"/>
      <c r="H3" s="3081"/>
      <c r="I3" s="3088">
        <f>ROUND(AVERAGE($I4:$I30),2)</f>
        <v>1.85</v>
      </c>
      <c r="J3" s="3088">
        <f>ROUND(AVERAGE($J4:$J30),2)</f>
        <v>1.29</v>
      </c>
      <c r="K3" s="3088">
        <f>ROUND(AVERAGE($K4:$K30),2)</f>
        <v>2.02</v>
      </c>
      <c r="L3" s="3088">
        <f>ROUND(AVERAGE($L4:$L30),2)</f>
        <v>1.29</v>
      </c>
      <c r="N3" s="3080"/>
      <c r="O3" s="3082"/>
      <c r="P3" s="3082"/>
      <c r="Q3" s="3082"/>
      <c r="R3" s="3082"/>
      <c r="S3" s="3080"/>
      <c r="T3" s="3082"/>
      <c r="U3" s="3082"/>
      <c r="V3" s="3082"/>
      <c r="W3" s="3085"/>
      <c r="X3" s="3083">
        <f>ROUND(SUMPRODUCT(PRODUCT(1+N3:N$29)),4)</f>
        <v>1.5586</v>
      </c>
      <c r="Y3" s="3083">
        <f>ROUND(SUMPRODUCT(PRODUCT(1+O3:O$29)),4)</f>
        <v>1.3633</v>
      </c>
      <c r="Z3" s="3083">
        <f t="shared" ref="Z3:Z27" si="0">Y3</f>
        <v>1.3633</v>
      </c>
      <c r="AA3" s="3083">
        <f>ROUND(SUMPRODUCT(PRODUCT(1+P3:P$29)),4)</f>
        <v>1.6221000000000001</v>
      </c>
      <c r="AB3" s="3083">
        <f>ROUND(SUMPRODUCT(PRODUCT(1+Q3:Q$29)),4)</f>
        <v>1.3777999999999999</v>
      </c>
      <c r="AD3" s="3084">
        <f>ROUND(AVERAGE(I3:I$30)/100,4)</f>
        <v>1.8499999999999999E-2</v>
      </c>
      <c r="AE3" s="3084">
        <f>ROUND(AVERAGE(J3:J$30)/100,4)</f>
        <v>1.29E-2</v>
      </c>
      <c r="AF3" s="3084">
        <f t="shared" ref="AF3:AF28" si="1">AE3</f>
        <v>1.29E-2</v>
      </c>
      <c r="AG3" s="3084">
        <f>ROUND(AVERAGE(K3:K$30)/100,4)</f>
        <v>2.0199999999999999E-2</v>
      </c>
      <c r="AH3" s="3084">
        <f>ROUND(AVERAGE(L3:L$30)/100,4)</f>
        <v>1.29E-2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2996</v>
      </c>
      <c r="B5" s="2748">
        <f t="shared" ref="B5:C8" si="2">B6*(1+N5)</f>
        <v>479.34737379023579</v>
      </c>
      <c r="C5" s="2748">
        <f t="shared" si="2"/>
        <v>351.4265287986122</v>
      </c>
      <c r="D5" s="2748">
        <f t="shared" ref="D5:D13" si="3">C5</f>
        <v>351.4265287986122</v>
      </c>
      <c r="E5" s="2748">
        <f t="shared" ref="E5:E14" si="4">E6*(1+P5)</f>
        <v>685.98209703803116</v>
      </c>
      <c r="F5" s="2748">
        <f t="shared" ref="F5:F14" si="5">F6*(1+Q5)</f>
        <v>316.78315206651001</v>
      </c>
      <c r="G5" s="2715">
        <v>2020</v>
      </c>
      <c r="H5" s="3060">
        <v>2</v>
      </c>
      <c r="I5" s="3074">
        <v>0</v>
      </c>
      <c r="J5" s="3074">
        <v>0</v>
      </c>
      <c r="K5" s="3074">
        <v>0</v>
      </c>
      <c r="L5" s="3074">
        <v>0</v>
      </c>
      <c r="N5" s="2722">
        <f t="shared" ref="N5:N13" si="6">I5/100</f>
        <v>0</v>
      </c>
      <c r="O5" s="2722">
        <f t="shared" ref="O5:O13" si="7">J5/100</f>
        <v>0</v>
      </c>
      <c r="P5" s="2722">
        <f t="shared" ref="P5:P13" si="8">K5/100</f>
        <v>0</v>
      </c>
      <c r="Q5" s="2722">
        <f t="shared" ref="Q5:Q13" si="9">L5/100</f>
        <v>0</v>
      </c>
      <c r="R5" s="3062"/>
      <c r="S5" s="3063"/>
      <c r="T5" s="3062"/>
      <c r="U5" s="3062"/>
      <c r="V5" s="3062"/>
      <c r="W5" s="3087" t="s">
        <v>2967</v>
      </c>
      <c r="X5" s="3064">
        <f>ROUND(IF(项目基本情况!B8="出让",SUMPRODUCT(PRODUCT(1+N5:N$30)),SUMPRODUCT(PRODUCT(1+N5:N$29))),4)</f>
        <v>1.5586</v>
      </c>
      <c r="Y5" s="3064">
        <f>ROUND(IF(项目基本情况!B8="出让",SUMPRODUCT(PRODUCT(1+O5:O$30)),SUMPRODUCT(PRODUCT(1+O5:O$29))),4)</f>
        <v>1.3633</v>
      </c>
      <c r="Z5" s="3064">
        <f t="shared" ref="Z5:Z14" si="10">Y5</f>
        <v>1.3633</v>
      </c>
      <c r="AA5" s="3064">
        <f>ROUND(IF(项目基本情况!B8="出让",SUMPRODUCT(PRODUCT(1+P5:P$30)),SUMPRODUCT(PRODUCT(1+P5:P$29))),4)</f>
        <v>1.6221000000000001</v>
      </c>
      <c r="AB5" s="3064">
        <f>ROUND(IF(项目基本情况!B8="出让",SUMPRODUCT(PRODUCT(1+Q5:Q$30)),SUMPRODUCT(PRODUCT(1+Q5:Q$29))),4)</f>
        <v>1.3777999999999999</v>
      </c>
      <c r="AD5" s="3065">
        <f>ROUND(AVERAGE(I5:I$30)/100,4)</f>
        <v>1.8499999999999999E-2</v>
      </c>
      <c r="AE5" s="3065">
        <f>ROUND(AVERAGE(J5:J$30)/100,4)</f>
        <v>1.29E-2</v>
      </c>
      <c r="AF5" s="3065">
        <f t="shared" ref="AF5:AF14" si="11">AE5</f>
        <v>1.29E-2</v>
      </c>
      <c r="AG5" s="3065">
        <f>ROUND(AVERAGE(K5:K$30)/100,4)</f>
        <v>2.0199999999999999E-2</v>
      </c>
      <c r="AH5" s="3065">
        <f>ROUND(AVERAGE(L5:L$30)/100,4)</f>
        <v>1.29E-2</v>
      </c>
    </row>
    <row r="6" spans="1:34" s="2721" customFormat="1">
      <c r="A6" s="2616" t="s">
        <v>2995</v>
      </c>
      <c r="B6" s="2629">
        <f t="shared" si="2"/>
        <v>479.34737379023579</v>
      </c>
      <c r="C6" s="2629">
        <f t="shared" si="2"/>
        <v>351.4265287986122</v>
      </c>
      <c r="D6" s="2629">
        <f t="shared" si="3"/>
        <v>351.4265287986122</v>
      </c>
      <c r="E6" s="2629">
        <f t="shared" si="4"/>
        <v>685.98209703803116</v>
      </c>
      <c r="F6" s="2629">
        <f t="shared" si="5"/>
        <v>316.78315206651001</v>
      </c>
      <c r="G6" s="2715">
        <v>2020</v>
      </c>
      <c r="H6" s="2619">
        <v>1</v>
      </c>
      <c r="I6" s="2619">
        <v>0</v>
      </c>
      <c r="J6" s="2619">
        <v>0</v>
      </c>
      <c r="K6" s="2619">
        <v>0</v>
      </c>
      <c r="L6" s="2630">
        <v>0</v>
      </c>
      <c r="M6" s="2623"/>
      <c r="N6" s="2624">
        <f t="shared" si="6"/>
        <v>0</v>
      </c>
      <c r="O6" s="2625">
        <f t="shared" si="7"/>
        <v>0</v>
      </c>
      <c r="P6" s="2625">
        <f t="shared" si="8"/>
        <v>0</v>
      </c>
      <c r="Q6" s="2625">
        <f t="shared" si="9"/>
        <v>0</v>
      </c>
      <c r="R6" s="2626"/>
      <c r="S6" s="2632"/>
      <c r="T6" s="2633"/>
      <c r="U6" s="2633"/>
      <c r="V6" s="2633"/>
      <c r="W6" s="2623"/>
      <c r="X6" s="2714">
        <f>ROUND(IF(项目基本情况!B8="出让",SUMPRODUCT(PRODUCT(1+N6:N$30)),SUMPRODUCT(PRODUCT(1+N6:N$29))),4)</f>
        <v>1.5586</v>
      </c>
      <c r="Y6" s="2714">
        <f>ROUND(IF(项目基本情况!B8="出让",SUMPRODUCT(PRODUCT(1+O6:O$30)),SUMPRODUCT(PRODUCT(1+O6:O$29))),4)</f>
        <v>1.3633</v>
      </c>
      <c r="Z6" s="2714">
        <f t="shared" si="10"/>
        <v>1.3633</v>
      </c>
      <c r="AA6" s="2714">
        <f>ROUND(IF(项目基本情况!B8="出让",SUMPRODUCT(PRODUCT(1+P6:P$30)),SUMPRODUCT(PRODUCT(1+P6:P$29))),4)</f>
        <v>1.6221000000000001</v>
      </c>
      <c r="AB6" s="2714">
        <f>ROUND(IF(项目基本情况!B8="出让",SUMPRODUCT(PRODUCT(1+Q6:Q$30)),SUMPRODUCT(PRODUCT(1+Q6:Q$29))),4)</f>
        <v>1.3777999999999999</v>
      </c>
      <c r="AC6" s="2623"/>
      <c r="AD6" s="2634">
        <f>ROUND(AVERAGE(I6:I$30)/100,4)</f>
        <v>1.9199999999999998E-2</v>
      </c>
      <c r="AE6" s="2634">
        <f>ROUND(AVERAGE(J6:J$30)/100,4)</f>
        <v>1.34E-2</v>
      </c>
      <c r="AF6" s="2634">
        <f t="shared" si="11"/>
        <v>1.34E-2</v>
      </c>
      <c r="AG6" s="2634">
        <f>ROUND(AVERAGE(K6:K$30)/100,4)</f>
        <v>2.1000000000000001E-2</v>
      </c>
      <c r="AH6" s="2634">
        <f>ROUND(AVERAGE(L6:L$30)/100,4)</f>
        <v>1.35E-2</v>
      </c>
    </row>
    <row r="7" spans="1:34" s="2721" customFormat="1">
      <c r="A7" s="2616" t="s">
        <v>2991</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2990</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2987</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2986</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2983</v>
      </c>
      <c r="B11" s="3173">
        <f t="shared" si="12"/>
        <v>464.37293017158942</v>
      </c>
      <c r="C11" s="3173">
        <f t="shared" si="13"/>
        <v>344.73679941385956</v>
      </c>
      <c r="D11" s="3173">
        <f t="shared" si="3"/>
        <v>344.73679941385956</v>
      </c>
      <c r="E11" s="3173">
        <f t="shared" si="4"/>
        <v>663.2377795103107</v>
      </c>
      <c r="F11" s="3174">
        <f t="shared" si="5"/>
        <v>304.75936311478398</v>
      </c>
      <c r="G11" s="3461">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2976</v>
      </c>
      <c r="B12" s="2629">
        <f t="shared" si="12"/>
        <v>459.95733971036987</v>
      </c>
      <c r="C12" s="2629">
        <f t="shared" si="13"/>
        <v>341.22221064422405</v>
      </c>
      <c r="D12" s="2629">
        <f t="shared" si="3"/>
        <v>341.22221064422405</v>
      </c>
      <c r="E12" s="2629">
        <f t="shared" si="4"/>
        <v>657.19161663724799</v>
      </c>
      <c r="F12" s="2629">
        <f t="shared" si="5"/>
        <v>300.87803644464805</v>
      </c>
      <c r="G12" s="3461"/>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2977</v>
      </c>
      <c r="B13" s="2629">
        <f t="shared" si="12"/>
        <v>453.11529869999993</v>
      </c>
      <c r="C13" s="2629">
        <f t="shared" si="13"/>
        <v>336.47787264000004</v>
      </c>
      <c r="D13" s="2629">
        <f t="shared" si="3"/>
        <v>336.47787264000004</v>
      </c>
      <c r="E13" s="2629">
        <f t="shared" si="4"/>
        <v>647.35186823999993</v>
      </c>
      <c r="F13" s="2629">
        <f t="shared" si="5"/>
        <v>295.73229452000004</v>
      </c>
      <c r="G13" s="3461"/>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2973</v>
      </c>
      <c r="B14" s="2629">
        <f t="shared" si="12"/>
        <v>446.46299999999997</v>
      </c>
      <c r="C14" s="2629">
        <f t="shared" si="13"/>
        <v>333.27840000000003</v>
      </c>
      <c r="D14" s="2629">
        <f t="shared" ref="D14:D19" si="14">C14</f>
        <v>333.27840000000003</v>
      </c>
      <c r="E14" s="2629">
        <f t="shared" si="4"/>
        <v>637.28279999999995</v>
      </c>
      <c r="F14" s="2629">
        <f t="shared" si="5"/>
        <v>288.68830000000003</v>
      </c>
      <c r="G14" s="3467"/>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2964</v>
      </c>
      <c r="B15" s="3091">
        <v>439</v>
      </c>
      <c r="C15" s="3091">
        <v>327</v>
      </c>
      <c r="D15" s="3091">
        <f t="shared" si="14"/>
        <v>327</v>
      </c>
      <c r="E15" s="3091">
        <v>627</v>
      </c>
      <c r="F15" s="3092">
        <v>283</v>
      </c>
      <c r="G15" s="3466">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2968</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461"/>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461"/>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467"/>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466">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461"/>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461"/>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462"/>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460">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461"/>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461"/>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462"/>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460">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461"/>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461"/>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462"/>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6" t="s">
        <v>2579</v>
      </c>
      <c r="B31" s="2621">
        <v>299</v>
      </c>
      <c r="C31" s="2621">
        <v>252</v>
      </c>
      <c r="D31" s="2621">
        <f t="shared" si="21"/>
        <v>252</v>
      </c>
      <c r="E31" s="2621">
        <v>409</v>
      </c>
      <c r="F31" s="2622">
        <v>227</v>
      </c>
      <c r="G31" s="3463">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464"/>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464"/>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465"/>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460">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461"/>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461"/>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462"/>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460">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461">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461">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462">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460">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461">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461">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462">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460">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461">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461">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462">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460">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461">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461">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462">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460">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461">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461">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462">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460">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461">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461">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462">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460">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461">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461">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462">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460">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461">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461">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462">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460">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461">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461">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462">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460">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461">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461">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462">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2075</v>
      </c>
      <c r="D3" s="3052" t="s">
        <v>2943</v>
      </c>
      <c r="E3" s="3053">
        <f ca="1">SUMIF(E7:E14,"&lt;&gt;#ref!",E7:E14)</f>
        <v>0</v>
      </c>
      <c r="F3" s="3051"/>
    </row>
    <row r="4" spans="1:6" ht="14.25">
      <c r="A4" s="3052" t="s">
        <v>2950</v>
      </c>
      <c r="B4" s="3053" t="e">
        <f ca="1">ROUND(B2*10000/E4,0)</f>
        <v>#DIV/0!</v>
      </c>
      <c r="C4" s="3052" t="s">
        <v>2075</v>
      </c>
      <c r="D4" s="3052" t="s">
        <v>2951</v>
      </c>
      <c r="E4" s="3053">
        <f ca="1">SUMIF(F7:F14,"&lt;&gt;#ref!",F7:F14)</f>
        <v>0</v>
      </c>
      <c r="F4" s="3051"/>
    </row>
    <row r="5" spans="1:6" ht="14.25">
      <c r="A5" s="3054"/>
      <c r="B5" s="1863"/>
      <c r="C5" s="1863"/>
      <c r="D5" s="1863"/>
      <c r="E5" s="1863"/>
      <c r="F5" s="3051"/>
    </row>
    <row r="6" spans="1:6" ht="28.5">
      <c r="A6" s="3055" t="s">
        <v>2947</v>
      </c>
      <c r="B6" s="3052" t="s">
        <v>2944</v>
      </c>
      <c r="C6" s="3053"/>
      <c r="D6" s="1863"/>
      <c r="E6" s="3052" t="s">
        <v>2945</v>
      </c>
      <c r="F6" s="3052" t="s">
        <v>2949</v>
      </c>
    </row>
    <row r="7" spans="1:6" ht="14.25">
      <c r="A7" s="258" t="s">
        <v>2948</v>
      </c>
      <c r="B7" s="3056" t="e">
        <f ca="1">SUMIF(INDIRECT("'"&amp;A7&amp;"'"&amp;"!A:A"),"总价",INDIRECT("'"&amp;A7&amp;"'"&amp;"!B:B"))</f>
        <v>#DIV/0!</v>
      </c>
      <c r="C7" s="3052" t="s">
        <v>2942</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2942</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2942</v>
      </c>
      <c r="D9" s="1863"/>
      <c r="E9" s="3057" t="e">
        <f t="shared" ca="1" si="1"/>
        <v>#REF!</v>
      </c>
      <c r="F9" s="3057" t="e">
        <f t="shared" ca="1" si="2"/>
        <v>#REF!</v>
      </c>
    </row>
    <row r="10" spans="1:6" ht="14.25">
      <c r="A10" s="258"/>
      <c r="B10" s="3056" t="e">
        <f t="shared" ca="1" si="0"/>
        <v>#REF!</v>
      </c>
      <c r="C10" s="3052" t="s">
        <v>2942</v>
      </c>
      <c r="D10" s="1863"/>
      <c r="E10" s="3057" t="e">
        <f t="shared" ca="1" si="1"/>
        <v>#REF!</v>
      </c>
      <c r="F10" s="3057" t="e">
        <f t="shared" ca="1" si="2"/>
        <v>#REF!</v>
      </c>
    </row>
    <row r="11" spans="1:6" ht="14.25">
      <c r="A11" s="258"/>
      <c r="B11" s="3056" t="e">
        <f t="shared" ca="1" si="0"/>
        <v>#REF!</v>
      </c>
      <c r="C11" s="3052" t="s">
        <v>2942</v>
      </c>
      <c r="D11" s="1863"/>
      <c r="E11" s="3057" t="e">
        <f t="shared" ca="1" si="1"/>
        <v>#REF!</v>
      </c>
      <c r="F11" s="3057" t="e">
        <f t="shared" ca="1" si="2"/>
        <v>#REF!</v>
      </c>
    </row>
    <row r="12" spans="1:6" ht="14.25">
      <c r="A12" s="258"/>
      <c r="B12" s="3056" t="e">
        <f t="shared" ca="1" si="0"/>
        <v>#REF!</v>
      </c>
      <c r="C12" s="3052" t="s">
        <v>2942</v>
      </c>
      <c r="D12" s="1863"/>
      <c r="E12" s="3057" t="e">
        <f t="shared" ca="1" si="1"/>
        <v>#REF!</v>
      </c>
      <c r="F12" s="3057" t="e">
        <f t="shared" ca="1" si="2"/>
        <v>#REF!</v>
      </c>
    </row>
    <row r="13" spans="1:6" ht="14.25">
      <c r="A13" s="258"/>
      <c r="B13" s="3056" t="e">
        <f t="shared" ca="1" si="0"/>
        <v>#REF!</v>
      </c>
      <c r="C13" s="3052" t="s">
        <v>2942</v>
      </c>
      <c r="D13" s="1863"/>
      <c r="E13" s="3057" t="e">
        <f t="shared" ca="1" si="1"/>
        <v>#REF!</v>
      </c>
      <c r="F13" s="3057" t="e">
        <f t="shared" ca="1" si="2"/>
        <v>#REF!</v>
      </c>
    </row>
    <row r="14" spans="1:6" ht="14.25">
      <c r="A14" s="3050"/>
      <c r="B14" s="3056" t="e">
        <f t="shared" ca="1" si="0"/>
        <v>#REF!</v>
      </c>
      <c r="C14" s="3052" t="s">
        <v>2942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42071.89平方米。根据《建设工程规划许可证》[]、《出让合同》[]，估价对象规划建筑面积为84143.78平方米。</v>
      </c>
    </row>
    <row r="7" spans="1:4" ht="56.25">
      <c r="A7" s="1777" t="s">
        <v>2743</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2020年7月24日（评估专业人员勘察现场之日）</v>
      </c>
    </row>
    <row r="12" spans="1:4" ht="18.75">
      <c r="A12" s="1779" t="s">
        <v>2022</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根据《国有土地使用证》[]，估价对象（分摊）出让国有建设用地使用权面积为42071.89平方米。根据《建设工程规划许可证》[]、《出让合同》[]，估价对象规划建筑面积为84143.78平方米。</v>
      </c>
    </row>
    <row r="21" spans="1:1" ht="18.75">
      <c r="A21" s="1773" t="s">
        <v>2071</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本次估价对象为出让国有建设用地使用权，《国有土地使用证》[]证载土地终止日期为住宅2087年5月4日。截至估价期日，出让国有建设用地使用权剩余土地使用年限为。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D35" sqref="D35"/>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t="s">
        <v>35</v>
      </c>
      <c r="D1" s="2032"/>
      <c r="E1" s="2348" t="s">
        <v>2371</v>
      </c>
      <c r="F1" s="2349" t="e">
        <f ca="1">J54</f>
        <v>#N/A</v>
      </c>
      <c r="G1" s="772" t="e">
        <f>MATCH(C1,'数据-取费表'!A6:A16,0)+5</f>
        <v>#N/A</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t="e">
        <f ca="1">C8+C12+C14</f>
        <v>#N/A</v>
      </c>
      <c r="D7" s="2457" t="s">
        <v>2458</v>
      </c>
      <c r="E7" s="2451"/>
      <c r="F7" s="2452"/>
      <c r="G7" s="1575"/>
      <c r="H7" s="779">
        <v>1</v>
      </c>
      <c r="I7" s="780" t="s">
        <v>2455</v>
      </c>
      <c r="J7" s="53" t="e">
        <f ca="1">J8+J12+J14</f>
        <v>#N/A</v>
      </c>
      <c r="K7" s="2457" t="s">
        <v>2458</v>
      </c>
      <c r="L7" s="2451"/>
      <c r="M7" s="2452"/>
    </row>
    <row r="8" spans="1:25" ht="18" customHeight="1">
      <c r="A8" s="1812" t="s">
        <v>1823</v>
      </c>
      <c r="B8" s="3469" t="s">
        <v>2460</v>
      </c>
      <c r="C8" s="1807" t="e">
        <f ca="1">ROUND(F8*F10*F9*(1-F11)/10000,0)</f>
        <v>#N/A</v>
      </c>
      <c r="D8" s="1804" t="s">
        <v>2531</v>
      </c>
      <c r="E8" s="61" t="s">
        <v>637</v>
      </c>
      <c r="F8" s="783" t="e">
        <f ca="1">INDIRECT("'数据-取费表'!u"&amp;$G$1)</f>
        <v>#N/A</v>
      </c>
      <c r="G8" s="1575"/>
      <c r="H8" s="2465" t="s">
        <v>1823</v>
      </c>
      <c r="I8" s="3469" t="s">
        <v>2460</v>
      </c>
      <c r="J8" s="781" t="e">
        <f ca="1">ROUND(M8*M10*M9*(1-M11)/10000,0)</f>
        <v>#N/A</v>
      </c>
      <c r="K8" s="339" t="s">
        <v>2531</v>
      </c>
      <c r="L8" s="782" t="s">
        <v>1737</v>
      </c>
      <c r="M8" s="783" t="e">
        <f ca="1">INDIRECT("'数据-取费表'!z"&amp;$G$1)</f>
        <v>#N/A</v>
      </c>
    </row>
    <row r="9" spans="1:25" ht="18" customHeight="1">
      <c r="A9" s="2461"/>
      <c r="B9" s="3470"/>
      <c r="C9" s="1808"/>
      <c r="D9" s="1805"/>
      <c r="E9" s="61" t="s">
        <v>638</v>
      </c>
      <c r="F9" s="783" t="e">
        <f ca="1">IF(INDIRECT("'数据-取费表'!ah"&amp;$G$1)="",INDIRECT("'数据-取费表'!k"&amp;$G$1),INDIRECT("'数据-取费表'!ah"&amp;$G$1))</f>
        <v>#N/A</v>
      </c>
      <c r="G9" s="1575"/>
      <c r="H9" s="2450"/>
      <c r="I9" s="3470"/>
      <c r="J9" s="786"/>
      <c r="K9" s="787"/>
      <c r="L9" s="782" t="s">
        <v>1738</v>
      </c>
      <c r="M9" s="783" t="e">
        <f ca="1">F9</f>
        <v>#N/A</v>
      </c>
    </row>
    <row r="10" spans="1:25" ht="18" customHeight="1">
      <c r="A10" s="2454"/>
      <c r="B10" s="3471"/>
      <c r="C10" s="1808"/>
      <c r="D10" s="1805"/>
      <c r="E10" s="61" t="s">
        <v>639</v>
      </c>
      <c r="F10" s="783" t="e">
        <f ca="1">INDIRECT("'数据-取费表'!ai"&amp;$G$1)</f>
        <v>#N/A</v>
      </c>
      <c r="G10" s="1575"/>
      <c r="H10" s="2450"/>
      <c r="I10" s="3471"/>
      <c r="J10" s="786"/>
      <c r="K10" s="787"/>
      <c r="L10" s="782" t="s">
        <v>1739</v>
      </c>
      <c r="M10" s="783" t="e">
        <f ca="1">INDIRECT("'数据-取费表'!ai"&amp;$G$1)</f>
        <v>#N/A</v>
      </c>
    </row>
    <row r="11" spans="1:25" ht="18" customHeight="1">
      <c r="A11" s="784"/>
      <c r="B11" s="3472"/>
      <c r="C11" s="1808"/>
      <c r="D11" s="1805"/>
      <c r="E11" s="61" t="s">
        <v>640</v>
      </c>
      <c r="F11" s="792" t="e">
        <f ca="1">INDIRECT("'数据-取费表'!w"&amp;$G$1)</f>
        <v>#N/A</v>
      </c>
      <c r="G11" s="1575"/>
      <c r="H11" s="2466"/>
      <c r="I11" s="3471"/>
      <c r="J11" s="786"/>
      <c r="K11" s="787"/>
      <c r="L11" s="793" t="s">
        <v>1740</v>
      </c>
      <c r="M11" s="794" t="e">
        <f ca="1">INDIRECT("'数据-取费表'!ab"&amp;$G$1)</f>
        <v>#N/A</v>
      </c>
    </row>
    <row r="12" spans="1:25" ht="18" customHeight="1">
      <c r="A12" s="1812" t="s">
        <v>1824</v>
      </c>
      <c r="B12" s="2455" t="s">
        <v>2456</v>
      </c>
      <c r="C12" s="797">
        <f ca="1">ROUND(IF(F12="押一",C8/12*F13,IF(F12="押二",C8/12*2*F13,IF(F12="押三",C8/12*3*F13,C13*F13))),0)</f>
        <v>0</v>
      </c>
      <c r="D12" s="2462" t="s">
        <v>2971</v>
      </c>
      <c r="E12" s="2459" t="s">
        <v>2461</v>
      </c>
      <c r="F12" s="2582" t="s">
        <v>3099</v>
      </c>
      <c r="G12" s="1575"/>
      <c r="H12" s="2522" t="s">
        <v>1824</v>
      </c>
      <c r="I12" s="2527" t="s">
        <v>2456</v>
      </c>
      <c r="J12" s="781">
        <f ca="1">ROUND(IF(M12="押一",J8/12*M13,IF(M12="押二",J8/12*2*M13,IF(M12="押三",J8/12*3*M13,J13*M13))),0)</f>
        <v>0</v>
      </c>
      <c r="K12" s="2462" t="s">
        <v>2971</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t="e">
        <f ca="1">ROUND(C31*F15,0)</f>
        <v>#N/A</v>
      </c>
      <c r="D15" s="1816" t="s">
        <v>642</v>
      </c>
      <c r="E15" s="793" t="s">
        <v>643</v>
      </c>
      <c r="F15" s="798" t="e">
        <f ca="1">INDIRECT("'数据-取费表'!y"&amp;$G$1)</f>
        <v>#N/A</v>
      </c>
      <c r="G15" s="1575"/>
      <c r="H15" s="1811" t="s">
        <v>1825</v>
      </c>
      <c r="I15" s="1809" t="s">
        <v>644</v>
      </c>
      <c r="J15" s="1801" t="e">
        <f ca="1">ROUND(J16*J17,0)</f>
        <v>#N/A</v>
      </c>
      <c r="K15" s="1803" t="s">
        <v>642</v>
      </c>
      <c r="L15" s="799"/>
      <c r="M15" s="800"/>
    </row>
    <row r="16" spans="1:25" ht="18" customHeight="1">
      <c r="A16" s="801" t="s">
        <v>1874</v>
      </c>
      <c r="B16" s="782" t="s">
        <v>645</v>
      </c>
      <c r="C16" s="802" t="e">
        <f ca="1">INDIRECT("'数据-取费表'!m"&amp;$G$1)+INDIRECT("'数据-取费表'!t"&amp;$G$1)</f>
        <v>#N/A</v>
      </c>
      <c r="D16" s="1961" t="s">
        <v>646</v>
      </c>
      <c r="E16" s="1962"/>
      <c r="F16" s="803"/>
      <c r="G16" s="1575"/>
      <c r="H16" s="801" t="s">
        <v>2066</v>
      </c>
      <c r="I16" s="2213" t="s">
        <v>2821</v>
      </c>
      <c r="J16" s="53" t="e">
        <f ca="1">C31</f>
        <v>#N/A</v>
      </c>
      <c r="K16" s="26"/>
      <c r="L16" s="799"/>
      <c r="M16" s="800"/>
    </row>
    <row r="17" spans="1:25" s="2046" customFormat="1" ht="18" customHeight="1">
      <c r="A17" s="801" t="s">
        <v>1848</v>
      </c>
      <c r="B17" s="782" t="s">
        <v>647</v>
      </c>
      <c r="C17" s="53" t="e">
        <f ca="1">ROUND(C16*F17,0)</f>
        <v>#N/A</v>
      </c>
      <c r="D17" s="804" t="s">
        <v>648</v>
      </c>
      <c r="E17" s="804" t="s">
        <v>649</v>
      </c>
      <c r="F17" s="805">
        <f>'数据-取费表'!B33</f>
        <v>0.03</v>
      </c>
      <c r="G17" s="1576"/>
      <c r="H17" s="801" t="s">
        <v>2067</v>
      </c>
      <c r="I17" s="782" t="s">
        <v>643</v>
      </c>
      <c r="J17" s="806" t="e">
        <f ca="1">INDIRECT("'数据-取费表'!ad"&amp;$G$1)</f>
        <v>#N/A</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t="e">
        <f ca="1">ROUND(INDIRECT("'数据-取费表'!m"&amp;$G$1)*F18,0)</f>
        <v>#N/A</v>
      </c>
      <c r="D18" s="782" t="s">
        <v>648</v>
      </c>
      <c r="E18" s="782" t="s">
        <v>649</v>
      </c>
      <c r="F18" s="807" t="e">
        <f ca="1">IF(INDIRECT("'数据-取费表'!c"&amp;$G$1)="住宅",'数据-取费表'!B34,0)</f>
        <v>#N/A</v>
      </c>
      <c r="G18" s="1575"/>
      <c r="H18" s="795" t="s">
        <v>1826</v>
      </c>
      <c r="I18" s="796" t="s">
        <v>651</v>
      </c>
      <c r="J18" s="797" t="e">
        <f ca="1">ROUND(J19+J24+J25+J26,0)</f>
        <v>#N/A</v>
      </c>
      <c r="K18" s="26" t="s">
        <v>652</v>
      </c>
      <c r="L18" s="1964"/>
      <c r="M18" s="56"/>
    </row>
    <row r="19" spans="1:25" s="2046" customFormat="1" ht="18" customHeight="1">
      <c r="A19" s="801" t="s">
        <v>1850</v>
      </c>
      <c r="B19" s="782" t="s">
        <v>653</v>
      </c>
      <c r="C19" s="53" t="e">
        <f ca="1">ROUND(F19*(INDIRECT("'数据-取费表'!k"&amp;$G$1)+INDIRECT("'数据-取费表'!S"&amp;$G$1))/10000,0)</f>
        <v>#N/A</v>
      </c>
      <c r="D19" s="782" t="s">
        <v>654</v>
      </c>
      <c r="E19" s="782" t="s">
        <v>655</v>
      </c>
      <c r="F19" s="56">
        <f>'数据-取费表'!B35</f>
        <v>150</v>
      </c>
      <c r="G19" s="1576"/>
      <c r="H19" s="801" t="s">
        <v>2066</v>
      </c>
      <c r="I19" s="782" t="s">
        <v>656</v>
      </c>
      <c r="J19" s="53" t="e">
        <f ca="1">ROUND(IF(项目基本情况!B11="自然人",J8*M19/(1+'数据-取费表'!C42),J20+J21+J22),0)</f>
        <v>#N/A</v>
      </c>
      <c r="K19" s="1961" t="s">
        <v>657</v>
      </c>
      <c r="L19" s="1959" t="s">
        <v>658</v>
      </c>
      <c r="M19" s="808" t="e">
        <f ca="1">IF(项目基本情况!B11="企业","",IF(INDIRECT("'数据-取费表'!c"&amp;$G$1)="住宅",5%,IF(M8*M9*M10/12/(1+'数据-取费表'!C42)&gt;20000,12%,7%)))</f>
        <v>#N/A</v>
      </c>
      <c r="N19" s="2045"/>
      <c r="O19" s="2045"/>
      <c r="P19" s="2045"/>
      <c r="Q19" s="2045"/>
      <c r="R19" s="2045"/>
      <c r="S19" s="2045"/>
      <c r="T19" s="2045"/>
      <c r="U19" s="2045"/>
      <c r="V19" s="2045"/>
      <c r="W19" s="2045"/>
      <c r="X19" s="2045"/>
      <c r="Y19" s="2045"/>
    </row>
    <row r="20" spans="1:25" s="2046" customFormat="1" ht="18" customHeight="1">
      <c r="A20" s="801" t="s">
        <v>1851</v>
      </c>
      <c r="B20" s="782" t="s">
        <v>659</v>
      </c>
      <c r="C20" s="53" t="e">
        <f ca="1">ROUND(C16*F20,0)</f>
        <v>#N/A</v>
      </c>
      <c r="D20" s="782" t="s">
        <v>648</v>
      </c>
      <c r="E20" s="782" t="s">
        <v>649</v>
      </c>
      <c r="F20" s="807">
        <f>'数据-取费表'!B36</f>
        <v>1.4999999999999999E-2</v>
      </c>
      <c r="G20" s="1576"/>
      <c r="H20" s="801" t="s">
        <v>1830</v>
      </c>
      <c r="I20" s="782" t="s">
        <v>660</v>
      </c>
      <c r="J20" s="53" t="e">
        <f ca="1">ROUND(J8*M20/(1+'数据-取费表'!C42),1)</f>
        <v>#N/A</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t="e">
        <f ca="1">SUM(C16:C20)</f>
        <v>#N/A</v>
      </c>
      <c r="D21" s="259" t="s">
        <v>663</v>
      </c>
      <c r="E21" s="1964"/>
      <c r="F21" s="56"/>
      <c r="G21" s="1575"/>
      <c r="H21" s="1812" t="s">
        <v>1848</v>
      </c>
      <c r="I21" s="782" t="s">
        <v>664</v>
      </c>
      <c r="J21" s="53" t="e">
        <f ca="1">IF(K21="按租金收入计税",ROUND(J8*M21/(1+'数据-取费表'!C42),1),ROUND(C31*F35*0.7,1))</f>
        <v>#N/A</v>
      </c>
      <c r="K21" s="809" t="s">
        <v>665</v>
      </c>
      <c r="L21" s="782" t="s">
        <v>649</v>
      </c>
      <c r="M21" s="807">
        <f>IF(K21="按租金收入计税",'数据-取费表'!B51,'数据-取费表'!B50)</f>
        <v>1.2E-2</v>
      </c>
    </row>
    <row r="22" spans="1:25" s="2046" customFormat="1" ht="18" customHeight="1">
      <c r="A22" s="801" t="s">
        <v>1876</v>
      </c>
      <c r="B22" s="782" t="s">
        <v>666</v>
      </c>
      <c r="C22" s="53" t="e">
        <f ca="1">ROUND(C21*F22,0)</f>
        <v>#N/A</v>
      </c>
      <c r="D22" s="810" t="s">
        <v>667</v>
      </c>
      <c r="E22" s="782" t="s">
        <v>649</v>
      </c>
      <c r="F22" s="807">
        <f>'数据-取费表'!B37</f>
        <v>1.4999999999999999E-2</v>
      </c>
      <c r="G22" s="1576"/>
      <c r="H22" s="1814" t="s">
        <v>1849</v>
      </c>
      <c r="I22" s="1804" t="s">
        <v>668</v>
      </c>
      <c r="J22" s="54" t="e">
        <f ca="1">ROUND(M22*M23/10000,0)</f>
        <v>#N/A</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1.4999999999999999E-2</v>
      </c>
      <c r="G23" s="1576"/>
      <c r="H23" s="1815"/>
      <c r="I23" s="1806"/>
      <c r="J23" s="69"/>
      <c r="K23" s="814"/>
      <c r="L23" s="782" t="s">
        <v>674</v>
      </c>
      <c r="M23" s="783" t="e">
        <f ca="1">INDIRECT("'数据-取费表'!r"&amp;$G$1)</f>
        <v>#N/A</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t="e">
        <f ca="1">ROUND(J16*M24,0)</f>
        <v>#N/A</v>
      </c>
      <c r="K24" s="1959" t="s">
        <v>677</v>
      </c>
      <c r="L24" s="782" t="s">
        <v>649</v>
      </c>
      <c r="M24" s="815" t="e">
        <f ca="1">INDIRECT("'数据-取费表'!Ak"&amp;$G$1)</f>
        <v>#N/A</v>
      </c>
    </row>
    <row r="25" spans="1:25" s="2046" customFormat="1" ht="18" customHeight="1">
      <c r="A25" s="801" t="s">
        <v>1874</v>
      </c>
      <c r="B25" s="782" t="s">
        <v>2434</v>
      </c>
      <c r="C25" s="53" t="e">
        <f ca="1">ROUND(IF('数据-取费表'!B22&lt;=1,(C21+C22)*F26*F25/2,(C21+C22)*(POWER((1+F26),F25/2)-1)),0)</f>
        <v>#N/A</v>
      </c>
      <c r="D25" s="2532" t="str">
        <f>IF(F25&lt;=1,"(建造成本+管理费用)×利率×(建设周期÷2)","(建造成本+管理费用)×((1+利率)^(建设周期÷2)-1)")</f>
        <v>(建造成本+管理费用)×((1+利率)^(建设周期÷2)-1)</v>
      </c>
      <c r="E25" s="782" t="s">
        <v>678</v>
      </c>
      <c r="F25" s="638">
        <f>'数据-取费表'!B20</f>
        <v>2</v>
      </c>
      <c r="G25" s="1576"/>
      <c r="H25" s="801" t="s">
        <v>1877</v>
      </c>
      <c r="I25" s="782" t="s">
        <v>679</v>
      </c>
      <c r="J25" s="53" t="e">
        <f ca="1">ROUND(J15*M25,0)</f>
        <v>#N/A</v>
      </c>
      <c r="K25" s="1959" t="s">
        <v>680</v>
      </c>
      <c r="L25" s="782" t="s">
        <v>649</v>
      </c>
      <c r="M25" s="816" t="e">
        <f ca="1">INDIRECT("'数据-取费表'!Al"&amp;$G$1)</f>
        <v>#N/A</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6.9999999999999999E-4</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t="e">
        <f ca="1">ROUND(J7*M26,0)</f>
        <v>#N/A</v>
      </c>
      <c r="K26" s="1959" t="s">
        <v>683</v>
      </c>
      <c r="L26" s="782" t="s">
        <v>649</v>
      </c>
      <c r="M26" s="792" t="e">
        <f ca="1">INDIRECT("'数据-取费表'!Am"&amp;$G$1)</f>
        <v>#N/A</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59" t="s">
        <v>2818</v>
      </c>
      <c r="J27" s="797" t="e">
        <f ca="1">J7-J18</f>
        <v>#N/A</v>
      </c>
      <c r="K27" s="1961" t="s">
        <v>700</v>
      </c>
      <c r="L27" s="1963"/>
      <c r="M27" s="818"/>
    </row>
    <row r="28" spans="1:25" ht="18" customHeight="1">
      <c r="A28" s="801" t="s">
        <v>1874</v>
      </c>
      <c r="B28" s="782" t="s">
        <v>2435</v>
      </c>
      <c r="C28" s="53" t="e">
        <f ca="1">ROUND((C21+C22)*F28,0)</f>
        <v>#N/A</v>
      </c>
      <c r="D28" s="810" t="s">
        <v>701</v>
      </c>
      <c r="E28" s="793" t="s">
        <v>702</v>
      </c>
      <c r="F28" s="792" t="e">
        <f ca="1">INDIRECT("'数据-取费表'!q"&amp;$G$1)</f>
        <v>#N/A</v>
      </c>
      <c r="G28" s="1575"/>
      <c r="H28" s="779" t="s">
        <v>1836</v>
      </c>
      <c r="I28" s="780" t="s">
        <v>703</v>
      </c>
      <c r="J28" s="781" t="e">
        <f ca="1">IF(J7&lt;&gt;0,ROUND(J27*(1-((1+M30)/(1+M28))^M29)/(M28-M30),0),0)</f>
        <v>#N/A</v>
      </c>
      <c r="K28" s="812" t="s">
        <v>704</v>
      </c>
      <c r="L28" s="782" t="s">
        <v>705</v>
      </c>
      <c r="M28" s="792" t="e">
        <f ca="1">INDIRECT("'数据-取费表'!I"&amp;$G$1)</f>
        <v>#N/A</v>
      </c>
    </row>
    <row r="29" spans="1:25" ht="18" customHeight="1">
      <c r="A29" s="801" t="s">
        <v>1848</v>
      </c>
      <c r="B29" s="782" t="s">
        <v>686</v>
      </c>
      <c r="C29" s="53" t="e">
        <f ca="1">ROUND(F23*F28,4)</f>
        <v>#N/A</v>
      </c>
      <c r="D29" s="810" t="s">
        <v>706</v>
      </c>
      <c r="E29" s="804"/>
      <c r="F29" s="805"/>
      <c r="G29" s="1575"/>
      <c r="H29" s="784"/>
      <c r="I29" s="785"/>
      <c r="J29" s="786"/>
      <c r="K29" s="819" t="s">
        <v>707</v>
      </c>
      <c r="L29" s="782" t="s">
        <v>708</v>
      </c>
      <c r="M29" s="820" t="e">
        <f ca="1">INDIRECT("'数据-取费表'!ag"&amp;$G$1)</f>
        <v>#N/A</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t="e">
        <f ca="1">INDIRECT("'数据-取费表'!aa"&amp;$G$1)</f>
        <v>#N/A</v>
      </c>
      <c r="N30" s="2045"/>
      <c r="O30" s="2045"/>
      <c r="P30" s="2045"/>
      <c r="Q30" s="2045"/>
      <c r="R30" s="2045"/>
      <c r="S30" s="2045"/>
      <c r="T30" s="2045"/>
      <c r="U30" s="2045"/>
      <c r="V30" s="2045"/>
      <c r="W30" s="2045"/>
      <c r="X30" s="2045"/>
      <c r="Y30" s="2045"/>
    </row>
    <row r="31" spans="1:25" s="2046" customFormat="1" ht="18" customHeight="1" thickBot="1">
      <c r="A31" s="2521" t="s">
        <v>1882</v>
      </c>
      <c r="B31" s="2502" t="s">
        <v>2819</v>
      </c>
      <c r="C31" s="2505" t="e">
        <f ca="1">ROUND((C21+C22+C25+C28)/(1-F23-C26-C29-C30),0)</f>
        <v>#N/A</v>
      </c>
      <c r="D31" s="2506"/>
      <c r="E31" s="2507"/>
      <c r="F31" s="2508"/>
      <c r="G31" s="1576"/>
      <c r="H31" s="821" t="s">
        <v>1871</v>
      </c>
      <c r="I31" s="2960" t="s">
        <v>2820</v>
      </c>
      <c r="J31" s="823" t="e">
        <f ca="1">ROUND(J28/(1+F45)^F46,0)</f>
        <v>#N/A</v>
      </c>
      <c r="K31" s="824" t="s">
        <v>688</v>
      </c>
      <c r="L31" s="825"/>
      <c r="M31" s="826" t="e">
        <f ca="1">INDIRECT("'数据-取费表'!k"&amp;$G$1)</f>
        <v>#N/A</v>
      </c>
      <c r="N31" s="2045"/>
      <c r="O31" s="2045"/>
      <c r="P31" s="2045"/>
      <c r="Q31" s="2045"/>
      <c r="R31" s="2045"/>
      <c r="S31" s="2045"/>
      <c r="T31" s="2045"/>
      <c r="U31" s="2045"/>
      <c r="V31" s="2045"/>
      <c r="W31" s="2045"/>
      <c r="X31" s="2045"/>
      <c r="Y31" s="2045"/>
    </row>
    <row r="32" spans="1:25" ht="18" customHeight="1" thickTop="1">
      <c r="A32" s="1811" t="s">
        <v>7</v>
      </c>
      <c r="B32" s="1809" t="s">
        <v>689</v>
      </c>
      <c r="C32" s="790" t="e">
        <f ca="1">ROUND(C33+C38+C39+C40,0)</f>
        <v>#N/A</v>
      </c>
      <c r="D32" s="1803" t="s">
        <v>652</v>
      </c>
      <c r="E32" s="2448"/>
      <c r="F32" s="2452"/>
      <c r="G32" s="2044"/>
      <c r="H32" s="2047"/>
      <c r="I32" s="2048"/>
      <c r="J32" s="2049"/>
      <c r="K32" s="2050"/>
      <c r="L32" s="2051"/>
      <c r="M32" s="2052"/>
    </row>
    <row r="33" spans="1:18" ht="18" customHeight="1">
      <c r="A33" s="801" t="s">
        <v>1875</v>
      </c>
      <c r="B33" s="782" t="s">
        <v>656</v>
      </c>
      <c r="C33" s="53" t="e">
        <f ca="1">ROUND(IF(项目基本情况!B11="自然人",C8*F33/(1+'数据-取费表'!C42),C34+C35+C36),1)</f>
        <v>#N/A</v>
      </c>
      <c r="D33" s="1961" t="s">
        <v>657</v>
      </c>
      <c r="E33" s="1959" t="s">
        <v>690</v>
      </c>
      <c r="F33" s="808" t="e">
        <f ca="1">IF(项目基本情况!B11="企业","",IF(INDIRECT("'数据-取费表'!c"&amp;$G$1)="住宅",5%,IF(F8*F9*F10/12/(1+'数据-取费表'!C42)&gt;20000,12%,7%)))</f>
        <v>#N/A</v>
      </c>
      <c r="G33" s="2044"/>
      <c r="H33" s="2047"/>
      <c r="I33" s="2048"/>
      <c r="J33" s="2049"/>
      <c r="K33" s="2050"/>
      <c r="L33" s="2051"/>
      <c r="M33" s="2052"/>
    </row>
    <row r="34" spans="1:18" ht="18" customHeight="1">
      <c r="A34" s="801" t="s">
        <v>1874</v>
      </c>
      <c r="B34" s="782" t="s">
        <v>660</v>
      </c>
      <c r="C34" s="53" t="e">
        <f ca="1">ROUND(C8*F34/(1+'数据-取费表'!C42),1)</f>
        <v>#N/A</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t="e">
        <f ca="1">IF(D35="按租金收入计税",ROUND(C8*F35/(1+'数据-取费表'!C42),1),IF(D35="按房产原值计税",ROUND(C31*F35*0.7,1),INDIRECT("'数据-取费表'!Aj"&amp;$G$1)))</f>
        <v>#N/A</v>
      </c>
      <c r="D35" s="809" t="s">
        <v>3100</v>
      </c>
      <c r="E35" s="782" t="s">
        <v>649</v>
      </c>
      <c r="F35" s="807">
        <f>IF(D35="按租金收入计税",'数据-取费表'!B51,'数据-取费表'!B50)</f>
        <v>0.12</v>
      </c>
      <c r="G35" s="2044"/>
      <c r="H35" s="2059"/>
      <c r="I35" s="2059"/>
      <c r="J35" s="2059"/>
      <c r="K35" s="2060"/>
      <c r="L35" s="2059"/>
      <c r="M35" s="2059"/>
    </row>
    <row r="36" spans="1:18" ht="18" customHeight="1">
      <c r="A36" s="811" t="s">
        <v>1879</v>
      </c>
      <c r="B36" s="339" t="s">
        <v>668</v>
      </c>
      <c r="C36" s="54" t="e">
        <f ca="1">ROUND(F36*F37/10000,1)</f>
        <v>#N/A</v>
      </c>
      <c r="D36" s="812" t="s">
        <v>669</v>
      </c>
      <c r="E36" s="782" t="s">
        <v>670</v>
      </c>
      <c r="F36" s="638">
        <f>'数据-取费表'!B52</f>
        <v>6</v>
      </c>
      <c r="G36" s="2044"/>
      <c r="H36" s="2047"/>
      <c r="I36" s="3468"/>
      <c r="J36" s="2061"/>
      <c r="K36" s="2062"/>
      <c r="L36" s="2061"/>
      <c r="M36" s="2061"/>
    </row>
    <row r="37" spans="1:18" ht="18" customHeight="1">
      <c r="A37" s="813"/>
      <c r="B37" s="791"/>
      <c r="C37" s="69"/>
      <c r="D37" s="814"/>
      <c r="E37" s="782" t="s">
        <v>674</v>
      </c>
      <c r="F37" s="783" t="e">
        <f ca="1">INDIRECT("'数据-取费表'!r"&amp;$G$1)</f>
        <v>#N/A</v>
      </c>
      <c r="G37" s="2044"/>
      <c r="H37" s="2047"/>
      <c r="I37" s="3468"/>
      <c r="J37" s="2059"/>
      <c r="K37" s="2060"/>
      <c r="L37" s="2059"/>
      <c r="M37" s="2059"/>
    </row>
    <row r="38" spans="1:18" ht="18" customHeight="1">
      <c r="A38" s="801" t="s">
        <v>1876</v>
      </c>
      <c r="B38" s="782" t="s">
        <v>676</v>
      </c>
      <c r="C38" s="53" t="e">
        <f ca="1">ROUND(C31*F38,1)</f>
        <v>#N/A</v>
      </c>
      <c r="D38" s="1959" t="s">
        <v>691</v>
      </c>
      <c r="E38" s="782" t="s">
        <v>649</v>
      </c>
      <c r="F38" s="815" t="e">
        <f ca="1">INDIRECT("'数据-取费表'!Ak"&amp;$G$1)</f>
        <v>#N/A</v>
      </c>
      <c r="G38" s="2044"/>
      <c r="H38" s="2059"/>
      <c r="I38" s="2063"/>
      <c r="J38" s="1970"/>
      <c r="K38" s="2064"/>
      <c r="L38" s="2059"/>
      <c r="M38" s="2059"/>
    </row>
    <row r="39" spans="1:18" ht="18" customHeight="1">
      <c r="A39" s="801" t="s">
        <v>1877</v>
      </c>
      <c r="B39" s="782" t="s">
        <v>679</v>
      </c>
      <c r="C39" s="53" t="e">
        <f ca="1">ROUND(C15*F39,1)</f>
        <v>#N/A</v>
      </c>
      <c r="D39" s="1959" t="s">
        <v>680</v>
      </c>
      <c r="E39" s="782" t="s">
        <v>649</v>
      </c>
      <c r="F39" s="816" t="e">
        <f ca="1">INDIRECT("'数据-取费表'!Al"&amp;$G$1)</f>
        <v>#N/A</v>
      </c>
      <c r="G39" s="2044"/>
      <c r="H39" s="2059"/>
      <c r="I39" s="2063"/>
      <c r="J39" s="1970"/>
      <c r="K39" s="2064"/>
      <c r="L39" s="2059"/>
      <c r="M39" s="2059"/>
    </row>
    <row r="40" spans="1:18" ht="18" customHeight="1" thickBot="1">
      <c r="A40" s="2521" t="s">
        <v>1878</v>
      </c>
      <c r="B40" s="2507" t="s">
        <v>666</v>
      </c>
      <c r="C40" s="2505" t="e">
        <f ca="1">ROUND(C7*F40,1)</f>
        <v>#N/A</v>
      </c>
      <c r="D40" s="2506" t="s">
        <v>683</v>
      </c>
      <c r="E40" s="2507" t="s">
        <v>649</v>
      </c>
      <c r="F40" s="2503" t="e">
        <f ca="1">INDIRECT("'数据-取费表'!Am"&amp;$G$1)</f>
        <v>#N/A</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t="e">
        <f ca="1">C7-C32</f>
        <v>#N/A</v>
      </c>
      <c r="D42" s="1961" t="s">
        <v>694</v>
      </c>
      <c r="E42" s="1963"/>
      <c r="F42" s="818"/>
      <c r="G42" s="2044"/>
      <c r="H42" s="2044"/>
      <c r="I42" s="2044"/>
      <c r="J42" s="2044"/>
      <c r="K42" s="2065"/>
      <c r="L42" s="2044"/>
      <c r="M42" s="2044"/>
    </row>
    <row r="43" spans="1:18" ht="18" customHeight="1">
      <c r="A43" s="801" t="s">
        <v>1876</v>
      </c>
      <c r="B43" s="833" t="s">
        <v>711</v>
      </c>
      <c r="C43" s="834" t="e">
        <f ca="1">ROUND(C15*F43,0)</f>
        <v>#N/A</v>
      </c>
      <c r="D43" s="1349" t="s">
        <v>712</v>
      </c>
      <c r="E43" s="3068" t="s">
        <v>2959</v>
      </c>
      <c r="F43" s="3069" t="e">
        <f ca="1">INDIRECT("'数据-取费表'!j"&amp;$G$1)</f>
        <v>#N/A</v>
      </c>
      <c r="G43" s="2044"/>
      <c r="H43" s="2044"/>
      <c r="I43" s="2044"/>
      <c r="J43" s="2044"/>
      <c r="K43" s="2065"/>
      <c r="L43" s="2044"/>
      <c r="M43" s="2044"/>
    </row>
    <row r="44" spans="1:18" ht="18" customHeight="1">
      <c r="A44" s="801" t="s">
        <v>1877</v>
      </c>
      <c r="B44" s="833" t="s">
        <v>713</v>
      </c>
      <c r="C44" s="1350" t="e">
        <f ca="1">C42-C43</f>
        <v>#N/A</v>
      </c>
      <c r="D44" s="461" t="s">
        <v>714</v>
      </c>
      <c r="E44" s="462"/>
      <c r="F44" s="463"/>
      <c r="G44" s="2044"/>
      <c r="H44" s="2044"/>
      <c r="I44" s="2044"/>
      <c r="J44" s="2044"/>
      <c r="K44" s="2065"/>
      <c r="L44" s="2044"/>
      <c r="M44" s="2044"/>
    </row>
    <row r="45" spans="1:18" ht="18" customHeight="1">
      <c r="A45" s="801" t="s">
        <v>1878</v>
      </c>
      <c r="B45" s="1349" t="s">
        <v>715</v>
      </c>
      <c r="C45" s="2984" t="e">
        <f ca="1">ROUND(-PV(F45,F46,C44,0),0)</f>
        <v>#N/A</v>
      </c>
      <c r="D45" s="1351" t="s">
        <v>716</v>
      </c>
      <c r="E45" s="804" t="s">
        <v>717</v>
      </c>
      <c r="F45" s="828" t="e">
        <f ca="1">INDIRECT("'数据-取费表'!h"&amp;$G$1)</f>
        <v>#N/A</v>
      </c>
      <c r="G45" s="2044"/>
      <c r="H45" s="2044"/>
      <c r="I45" s="2044"/>
      <c r="J45" s="2044"/>
      <c r="K45" s="2065"/>
      <c r="L45" s="2044"/>
      <c r="M45" s="2044"/>
    </row>
    <row r="46" spans="1:18" ht="18" customHeight="1" thickBot="1">
      <c r="A46" s="829"/>
      <c r="B46" s="1352"/>
      <c r="C46" s="1353"/>
      <c r="D46" s="1354"/>
      <c r="E46" s="3070" t="s">
        <v>2962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2" t="e">
        <f ca="1">IF(M48="住宅",0,IF(L49&gt;J52,L61,J61))</f>
        <v>#N/A</v>
      </c>
      <c r="O47" s="2355" t="s">
        <v>2407</v>
      </c>
      <c r="P47" s="1575"/>
      <c r="Q47" s="1586"/>
      <c r="R47" s="1575"/>
    </row>
    <row r="48" spans="1:18" s="2041" customFormat="1" ht="18" customHeight="1" thickBot="1">
      <c r="A48" s="2066"/>
      <c r="C48" s="2069"/>
      <c r="D48" s="2070"/>
      <c r="E48" s="2070"/>
      <c r="F48" s="2071"/>
      <c r="G48" s="2072"/>
      <c r="I48" s="3093" t="s">
        <v>2341</v>
      </c>
      <c r="J48" s="2342"/>
      <c r="K48" s="3099" t="s">
        <v>2346</v>
      </c>
      <c r="L48" s="3103" t="e">
        <f ca="1">INDIRECT("'数据-取费表'!d"&amp;$G$1)</f>
        <v>#N/A</v>
      </c>
      <c r="M48" s="3067"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2" t="s">
        <v>2342</v>
      </c>
      <c r="J49" s="2343"/>
      <c r="K49" s="3100" t="s">
        <v>2348</v>
      </c>
      <c r="L49" s="1890" t="e">
        <f ca="1">INDIRECT("'数据-取费表'!f"&amp;$G$1)</f>
        <v>#N/A</v>
      </c>
      <c r="O49" s="2359" t="s">
        <v>2376</v>
      </c>
      <c r="P49" s="2360" t="s">
        <v>2402</v>
      </c>
      <c r="Q49" s="2361" t="e">
        <f ca="1">C41+J31</f>
        <v>#N/A</v>
      </c>
      <c r="R49" s="2360" t="s">
        <v>2377</v>
      </c>
    </row>
    <row r="50" spans="1:18" s="2041" customFormat="1" ht="18" customHeight="1" thickBot="1">
      <c r="A50" s="2066"/>
      <c r="D50" s="2076"/>
      <c r="E50" s="2076"/>
      <c r="F50" s="2070"/>
      <c r="G50" s="2077"/>
      <c r="H50" s="2075"/>
      <c r="I50" s="3072" t="s">
        <v>2343</v>
      </c>
      <c r="J50" s="2344"/>
      <c r="K50" s="3101" t="s">
        <v>2349</v>
      </c>
      <c r="L50" s="2345"/>
      <c r="O50" s="2359" t="s">
        <v>2378</v>
      </c>
      <c r="P50" s="2360" t="s">
        <v>2403</v>
      </c>
      <c r="Q50" s="2361" t="e">
        <f ca="1">J61</f>
        <v>#N/A</v>
      </c>
      <c r="R50" s="2360" t="s">
        <v>2379</v>
      </c>
    </row>
    <row r="51" spans="1:18" s="2041" customFormat="1" ht="18" customHeight="1" thickBot="1">
      <c r="A51" s="2078"/>
      <c r="D51" s="2076"/>
      <c r="E51" s="2076"/>
      <c r="F51" s="2067"/>
      <c r="H51" s="2075"/>
      <c r="I51" s="3072" t="s">
        <v>2344</v>
      </c>
      <c r="J51" s="3097">
        <f>SUMPRODUCT((I64:I66=J48)*(J63:L63=J49)*(J64:L66))</f>
        <v>0</v>
      </c>
      <c r="K51" s="3101" t="s">
        <v>2350</v>
      </c>
      <c r="L51" s="2345"/>
      <c r="O51" s="2362" t="s">
        <v>2380</v>
      </c>
      <c r="P51" s="2360" t="s">
        <v>2404</v>
      </c>
      <c r="Q51" s="2361" t="e">
        <f ca="1">C31</f>
        <v>#N/A</v>
      </c>
      <c r="R51" s="2360" t="s">
        <v>2377</v>
      </c>
    </row>
    <row r="52" spans="1:18" s="2041" customFormat="1" ht="18" customHeight="1" thickBot="1">
      <c r="A52" s="2078"/>
      <c r="F52" s="2067"/>
      <c r="I52" s="3094" t="s">
        <v>2345</v>
      </c>
      <c r="J52" s="3098">
        <f>IF(J50="",J51,J50+J51-YEAR('数据-取费表'!B3))</f>
        <v>0</v>
      </c>
      <c r="K52" s="3072" t="s">
        <v>2351</v>
      </c>
      <c r="L52" s="3104" t="e">
        <f ca="1">ROUND(-PV(INDIRECT("'数据-取费表'!h"&amp;$G$1),L49,(C40-C14*J36),0),0)</f>
        <v>#N/A</v>
      </c>
      <c r="O52" s="2362" t="s">
        <v>2381</v>
      </c>
      <c r="P52" s="2360" t="s">
        <v>2382</v>
      </c>
      <c r="Q52" s="2363" t="e">
        <f ca="1">J59</f>
        <v>#N/A</v>
      </c>
      <c r="R52" s="2364"/>
    </row>
    <row r="53" spans="1:18" s="2041" customFormat="1" ht="18" customHeight="1" thickBot="1">
      <c r="A53" s="2078"/>
      <c r="F53" s="2067"/>
      <c r="I53" s="3095" t="s">
        <v>2418</v>
      </c>
      <c r="J53" s="2346"/>
      <c r="K53" s="3095" t="s">
        <v>2417</v>
      </c>
      <c r="L53" s="2346"/>
      <c r="O53" s="2362" t="s">
        <v>2383</v>
      </c>
      <c r="P53" s="2360" t="s">
        <v>2384</v>
      </c>
      <c r="Q53" s="2363">
        <f>J53</f>
        <v>0</v>
      </c>
      <c r="R53" s="2364"/>
    </row>
    <row r="54" spans="1:18" s="2041" customFormat="1" ht="29.25" thickBot="1">
      <c r="A54" s="2078"/>
      <c r="I54" s="3096" t="s">
        <v>2975</v>
      </c>
      <c r="J54" s="3175" t="e">
        <f ca="1">IF(M48="住宅",MAX(J52,L49-'数据-取费表'!B20),MIN(J52,L49-'数据-取费表'!B20))</f>
        <v>#N/A</v>
      </c>
      <c r="K54" s="3473"/>
      <c r="L54" s="3474"/>
      <c r="O54" s="2362" t="s">
        <v>2385</v>
      </c>
      <c r="P54" s="2360" t="s">
        <v>2386</v>
      </c>
      <c r="Q54" s="2361" t="e">
        <f ca="1">J54</f>
        <v>#N/A</v>
      </c>
      <c r="R54" s="2360" t="s">
        <v>2387</v>
      </c>
    </row>
    <row r="55" spans="1:18" s="2041" customFormat="1" ht="18" customHeight="1" thickBot="1">
      <c r="A55" s="2078"/>
      <c r="I55" s="310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5"/>
      <c r="K55" s="3106"/>
      <c r="O55" s="2359" t="s">
        <v>2388</v>
      </c>
      <c r="P55" s="2360" t="s">
        <v>2405</v>
      </c>
      <c r="Q55" s="2361" t="e">
        <f ca="1">Q49+Q50</f>
        <v>#N/A</v>
      </c>
      <c r="R55" s="2364" t="s">
        <v>2389</v>
      </c>
    </row>
    <row r="56" spans="1:18" s="2041" customFormat="1" ht="16.5" thickBot="1">
      <c r="A56" s="2078"/>
      <c r="B56" s="2079"/>
      <c r="C56" s="2079"/>
      <c r="I56" s="3107" t="s">
        <v>2352</v>
      </c>
      <c r="J56" s="3047" t="e">
        <f ca="1">ROUND(IF(J48="钢混",J58/J51,1-(1-2%)*(J51-J58)/J51),3)</f>
        <v>#N/A</v>
      </c>
      <c r="K56" s="3108" t="s">
        <v>2353</v>
      </c>
      <c r="L56" s="2347"/>
      <c r="O56" s="2365" t="s">
        <v>2408</v>
      </c>
      <c r="P56" s="1575"/>
      <c r="Q56" s="1586"/>
      <c r="R56" s="1575"/>
    </row>
    <row r="57" spans="1:18" s="2041" customFormat="1" ht="43.5" thickBot="1">
      <c r="A57" s="2078"/>
      <c r="B57" s="2079"/>
      <c r="C57" s="2079"/>
      <c r="I57" s="3109" t="s">
        <v>2354</v>
      </c>
      <c r="J57" s="3119" t="s">
        <v>1678</v>
      </c>
      <c r="K57" s="3072" t="s">
        <v>2359</v>
      </c>
      <c r="L57" s="1890" t="e">
        <f ca="1">IF(L49&lt;J52,"——",L49-J52)</f>
        <v>#N/A</v>
      </c>
      <c r="O57" s="2356" t="s">
        <v>2372</v>
      </c>
      <c r="P57" s="2357" t="s">
        <v>2373</v>
      </c>
      <c r="Q57" s="2358" t="s">
        <v>2374</v>
      </c>
      <c r="R57" s="2357" t="s">
        <v>2375</v>
      </c>
    </row>
    <row r="58" spans="1:18" s="2041" customFormat="1" ht="29.25" thickBot="1">
      <c r="A58" s="2078"/>
      <c r="B58" s="2079"/>
      <c r="C58" s="2079"/>
      <c r="I58" s="3110" t="s">
        <v>2355</v>
      </c>
      <c r="J58" s="3111" t="e">
        <f ca="1">IF(OR(M48="住宅",J52&lt;L49,J57="是"),"——",J52-L49)</f>
        <v>#N/A</v>
      </c>
      <c r="K58" s="3072" t="s">
        <v>2360</v>
      </c>
      <c r="L58" s="1890" t="e">
        <f ca="1">IF(L49&lt;J52,"——",IF(L56="比较法",L50,IF(L56="基准地价",L51,L52)))</f>
        <v>#N/A</v>
      </c>
      <c r="O58" s="2359" t="s">
        <v>2376</v>
      </c>
      <c r="P58" s="2360" t="s">
        <v>2402</v>
      </c>
      <c r="Q58" s="2361" t="e">
        <f ca="1">C41+J31</f>
        <v>#N/A</v>
      </c>
      <c r="R58" s="2360" t="s">
        <v>2377</v>
      </c>
    </row>
    <row r="59" spans="1:18" s="2041" customFormat="1" ht="29.25" thickBot="1">
      <c r="A59" s="2078"/>
      <c r="B59" s="2079"/>
      <c r="C59" s="2079"/>
      <c r="I59" s="3110" t="s">
        <v>2356</v>
      </c>
      <c r="J59" s="3048" t="e">
        <f ca="1">IF(J56&lt;0.4,0.4,J56)</f>
        <v>#N/A</v>
      </c>
      <c r="K59" s="3072" t="s">
        <v>2361</v>
      </c>
      <c r="L59" s="1890">
        <f ca="1">IF(ISERROR(POWER(1+L53,L48-L49)*(POWER(1+L53,L49)-1)/(POWER(1+L53,L48)-1)),0,POWER(1+L53,L48-L49)*(POWER(1+L53,L49)-1)/(POWER(1+L53,L48)-1))</f>
        <v>0</v>
      </c>
      <c r="O59" s="2359" t="s">
        <v>2378</v>
      </c>
      <c r="P59" s="2360" t="s">
        <v>2409</v>
      </c>
      <c r="Q59" s="2361" t="e">
        <f ca="1">L61</f>
        <v>#N/A</v>
      </c>
      <c r="R59" s="2364" t="s">
        <v>2411</v>
      </c>
    </row>
    <row r="60" spans="1:18" s="2041" customFormat="1" ht="29.25" thickBot="1">
      <c r="A60" s="2078"/>
      <c r="B60" s="2079"/>
      <c r="C60" s="2079"/>
      <c r="I60" s="3110" t="s">
        <v>2357</v>
      </c>
      <c r="J60" s="3111" t="e">
        <f ca="1">IF(OR(M48="住宅",J52&lt;L49,J57="是"),"——",ROUND(C30*J59,0))</f>
        <v>#N/A</v>
      </c>
      <c r="K60" s="3072"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2" t="s">
        <v>2358</v>
      </c>
      <c r="J61" s="3113" t="e">
        <f ca="1">IF(OR(M48="住宅",J52&lt;L49,J57="是"),"0",ROUND(J60/(1+J53)^J54,0))</f>
        <v>#N/A</v>
      </c>
      <c r="K61" s="3114" t="s">
        <v>2363</v>
      </c>
      <c r="L61" s="3113" t="e">
        <f ca="1">IF(OR(M48="住宅",L49&lt;J52),0,ROUND(L58*(L59/L60-1),0))</f>
        <v>#N/A</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5" t="s">
        <v>2364</v>
      </c>
      <c r="J63" s="3116" t="s">
        <v>2365</v>
      </c>
      <c r="K63" s="3116" t="s">
        <v>2366</v>
      </c>
      <c r="L63" s="3116" t="s">
        <v>2347</v>
      </c>
      <c r="M63" s="3117" t="s">
        <v>2940</v>
      </c>
      <c r="O63" s="2362" t="s">
        <v>2385</v>
      </c>
      <c r="P63" s="2360" t="s">
        <v>2393</v>
      </c>
      <c r="Q63" s="2361">
        <f ca="1">L60</f>
        <v>0</v>
      </c>
      <c r="R63" s="2364" t="s">
        <v>2394</v>
      </c>
    </row>
    <row r="64" spans="1:18" s="2041" customFormat="1" ht="15.75" thickBot="1">
      <c r="A64" s="2078"/>
      <c r="B64" s="2079"/>
      <c r="C64" s="2079"/>
      <c r="I64" s="3115" t="s">
        <v>2367</v>
      </c>
      <c r="J64" s="3116">
        <v>70</v>
      </c>
      <c r="K64" s="3116">
        <v>50</v>
      </c>
      <c r="L64" s="3116">
        <v>80</v>
      </c>
      <c r="M64" s="3118">
        <v>0.02</v>
      </c>
      <c r="O64" s="2359" t="s">
        <v>2388</v>
      </c>
      <c r="P64" s="2360" t="s">
        <v>2405</v>
      </c>
      <c r="Q64" s="2361" t="e">
        <f ca="1">Q58+Q59</f>
        <v>#N/A</v>
      </c>
      <c r="R64" s="2364" t="s">
        <v>2389</v>
      </c>
    </row>
    <row r="65" spans="1:18" s="2041" customFormat="1" ht="16.5" thickBot="1">
      <c r="A65" s="2078"/>
      <c r="B65" s="2079"/>
      <c r="C65" s="2079"/>
      <c r="I65" s="3115" t="s">
        <v>2368</v>
      </c>
      <c r="J65" s="3116">
        <v>50</v>
      </c>
      <c r="K65" s="3116">
        <v>35</v>
      </c>
      <c r="L65" s="3116">
        <v>60</v>
      </c>
      <c r="M65" s="844">
        <v>0</v>
      </c>
      <c r="O65" s="2365" t="s">
        <v>2412</v>
      </c>
      <c r="P65" s="1575"/>
      <c r="Q65" s="1586"/>
      <c r="R65" s="1575"/>
    </row>
    <row r="66" spans="1:18" s="2041" customFormat="1" ht="15.75" thickBot="1">
      <c r="A66" s="2078"/>
      <c r="B66" s="2079"/>
      <c r="C66" s="2079"/>
      <c r="I66" s="3115" t="s">
        <v>2369</v>
      </c>
      <c r="J66" s="3116">
        <v>40</v>
      </c>
      <c r="K66" s="3116">
        <v>30</v>
      </c>
      <c r="L66" s="3116">
        <v>50</v>
      </c>
      <c r="M66" s="3118">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#N/A</v>
      </c>
      <c r="R68" s="2364" t="s">
        <v>2411</v>
      </c>
    </row>
    <row r="69" spans="1:18" s="2041" customFormat="1" ht="21.75" thickBot="1">
      <c r="A69" s="2078"/>
      <c r="B69" s="2079"/>
      <c r="C69" s="2079"/>
      <c r="K69" s="2068"/>
      <c r="O69" s="2362" t="s">
        <v>2380</v>
      </c>
      <c r="P69" s="2360" t="s">
        <v>2410</v>
      </c>
      <c r="Q69" s="2366" t="e">
        <f ca="1">L52</f>
        <v>#N/A</v>
      </c>
      <c r="R69" s="2367" t="s">
        <v>2413</v>
      </c>
    </row>
    <row r="70" spans="1:18" s="2041" customFormat="1" ht="20.25" thickBot="1">
      <c r="A70" s="2078"/>
      <c r="B70" s="2079"/>
      <c r="C70" s="2079"/>
      <c r="K70" s="2068"/>
      <c r="O70" s="2362" t="s">
        <v>2381</v>
      </c>
      <c r="P70" s="2368" t="s">
        <v>2395</v>
      </c>
      <c r="Q70" s="2361" t="e">
        <f ca="1">ROUND(Q71-Q72*Q73,0)</f>
        <v>#N/A</v>
      </c>
      <c r="R70" s="2364"/>
    </row>
    <row r="71" spans="1:18" s="2041" customFormat="1" ht="15.75" thickBot="1">
      <c r="A71" s="2078"/>
      <c r="B71" s="2079"/>
      <c r="C71" s="2079"/>
      <c r="K71" s="2068"/>
      <c r="O71" s="2362" t="s">
        <v>2396</v>
      </c>
      <c r="P71" s="2368" t="s">
        <v>2397</v>
      </c>
      <c r="Q71" s="2361" t="e">
        <f ca="1">C42</f>
        <v>#N/A</v>
      </c>
      <c r="R71" s="2360" t="s">
        <v>2377</v>
      </c>
    </row>
    <row r="72" spans="1:18" s="2041" customFormat="1" ht="15.75" thickBot="1">
      <c r="A72" s="2078"/>
      <c r="B72" s="2079"/>
      <c r="C72" s="2079"/>
      <c r="K72" s="2068"/>
      <c r="O72" s="2362" t="s">
        <v>2398</v>
      </c>
      <c r="P72" s="2368" t="s">
        <v>2399</v>
      </c>
      <c r="Q72" s="2361" t="e">
        <f ca="1">C15</f>
        <v>#N/A</v>
      </c>
      <c r="R72" s="2360" t="s">
        <v>2377</v>
      </c>
    </row>
    <row r="73" spans="1:18" s="2041" customFormat="1" ht="15.75" thickBot="1">
      <c r="A73" s="2078"/>
      <c r="B73" s="2079"/>
      <c r="C73" s="2079"/>
      <c r="K73" s="2068"/>
      <c r="O73" s="2362" t="s">
        <v>2400</v>
      </c>
      <c r="P73" s="2368" t="s">
        <v>2401</v>
      </c>
      <c r="Q73" s="2363" t="e">
        <f ca="1">F43</f>
        <v>#N/A</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1" t="s">
        <v>952</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t="e">
        <f ca="1">C40+J29+L46</f>
        <v>#N/A</v>
      </c>
      <c r="C2" s="2039"/>
      <c r="D2" s="2037"/>
      <c r="E2" s="2038"/>
      <c r="F2" s="2038"/>
      <c r="G2" s="1573"/>
      <c r="H2" s="2039"/>
      <c r="I2" s="2039"/>
      <c r="J2" s="2039"/>
      <c r="K2" s="2040"/>
      <c r="L2" s="2039"/>
      <c r="M2" s="2039"/>
    </row>
    <row r="3" spans="1:33" ht="18" customHeight="1" thickBot="1">
      <c r="A3" s="831" t="s">
        <v>1726</v>
      </c>
      <c r="B3" s="832">
        <f ca="1">IF(ISERROR(B2*10000/F43),0,ROUND(B2*10000/F43,0))</f>
        <v>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69" t="s">
        <v>2460</v>
      </c>
      <c r="C6" s="781" t="e">
        <f ca="1">ROUND(F6*F8*F7*(1-F9)/10000,0)</f>
        <v>#N/A</v>
      </c>
      <c r="D6" s="2458" t="s">
        <v>2459</v>
      </c>
      <c r="E6" s="782" t="s">
        <v>1737</v>
      </c>
      <c r="F6" s="783" t="e">
        <f ca="1">INDIRECT("'数据-取费表'!u"&amp;$G$1)</f>
        <v>#N/A</v>
      </c>
      <c r="G6" s="1575"/>
      <c r="H6" s="2465" t="s">
        <v>2465</v>
      </c>
      <c r="I6" s="3469" t="s">
        <v>2460</v>
      </c>
      <c r="J6" s="781" t="e">
        <f ca="1">ROUND(M6*M8*M7*(1-M9)/10000,0)</f>
        <v>#N/A</v>
      </c>
      <c r="K6" s="339" t="s">
        <v>1736</v>
      </c>
      <c r="L6" s="782" t="s">
        <v>1737</v>
      </c>
      <c r="M6" s="783" t="e">
        <f ca="1">INDIRECT("'数据-取费表'!z"&amp;$G$1)</f>
        <v>#N/A</v>
      </c>
    </row>
    <row r="7" spans="1:33" ht="18" customHeight="1">
      <c r="A7" s="2461"/>
      <c r="B7" s="3470"/>
      <c r="C7" s="786"/>
      <c r="D7" s="787"/>
      <c r="E7" s="782" t="s">
        <v>1738</v>
      </c>
      <c r="F7" s="783" t="e">
        <f ca="1">IF(INDIRECT("'数据-取费表'!ah"&amp;$G$1)="",INDIRECT("'数据-取费表'!k"&amp;$G$1),INDIRECT("'数据-取费表'!ah"&amp;$G$1))</f>
        <v>#N/A</v>
      </c>
      <c r="G7" s="1575"/>
      <c r="H7" s="2450"/>
      <c r="I7" s="3470"/>
      <c r="J7" s="786"/>
      <c r="K7" s="787"/>
      <c r="L7" s="782" t="s">
        <v>1738</v>
      </c>
      <c r="M7" s="783" t="e">
        <f ca="1">F7</f>
        <v>#N/A</v>
      </c>
    </row>
    <row r="8" spans="1:33" ht="18" customHeight="1">
      <c r="A8" s="2454"/>
      <c r="B8" s="3471"/>
      <c r="C8" s="786"/>
      <c r="D8" s="787"/>
      <c r="E8" s="782" t="s">
        <v>1739</v>
      </c>
      <c r="F8" s="783" t="e">
        <f ca="1">INDIRECT("'数据-取费表'!ai"&amp;$G$1)</f>
        <v>#N/A</v>
      </c>
      <c r="G8" s="1575"/>
      <c r="H8" s="2450"/>
      <c r="I8" s="3471"/>
      <c r="J8" s="786"/>
      <c r="K8" s="787"/>
      <c r="L8" s="782" t="s">
        <v>1739</v>
      </c>
      <c r="M8" s="783" t="e">
        <f ca="1">INDIRECT("'数据-取费表'!ai"&amp;$G$1)</f>
        <v>#N/A</v>
      </c>
    </row>
    <row r="9" spans="1:33" ht="18" customHeight="1">
      <c r="A9" s="784"/>
      <c r="B9" s="3472"/>
      <c r="C9" s="786"/>
      <c r="D9" s="787"/>
      <c r="E9" s="782" t="s">
        <v>1740</v>
      </c>
      <c r="F9" s="792" t="e">
        <f ca="1">INDIRECT("'数据-取费表'!w"&amp;$G$1)</f>
        <v>#N/A</v>
      </c>
      <c r="G9" s="1575"/>
      <c r="H9" s="2466"/>
      <c r="I9" s="3471"/>
      <c r="J9" s="786"/>
      <c r="K9" s="787"/>
      <c r="L9" s="793" t="s">
        <v>1740</v>
      </c>
      <c r="M9" s="794" t="e">
        <f ca="1">INDIRECT("'数据-取费表'!ab"&amp;$G$1)</f>
        <v>#N/A</v>
      </c>
    </row>
    <row r="10" spans="1:33" ht="18" customHeight="1">
      <c r="A10" s="1812" t="s">
        <v>2463</v>
      </c>
      <c r="B10" s="2455" t="s">
        <v>2456</v>
      </c>
      <c r="C10" s="797">
        <f ca="1">ROUND(IF(F10="押一",C6/12*F11,IF(F10="押二",C6/12*2*F11,IF(F10="押三",C6/12*3*F11,C11*F11))),0)</f>
        <v>0</v>
      </c>
      <c r="D10" s="2462" t="s">
        <v>2971</v>
      </c>
      <c r="E10" s="2459" t="s">
        <v>2461</v>
      </c>
      <c r="F10" s="2582" t="s">
        <v>3099</v>
      </c>
      <c r="G10" s="1575"/>
      <c r="H10" s="2522" t="s">
        <v>2466</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t="e">
        <f ca="1">ROUND(C29*F13,0)</f>
        <v>#N/A</v>
      </c>
      <c r="D13" s="1816" t="s">
        <v>2294</v>
      </c>
      <c r="E13" s="1816" t="s">
        <v>1743</v>
      </c>
      <c r="F13" s="2497" t="e">
        <f ca="1">INDIRECT("'数据-取费表'!y"&amp;$G$1)</f>
        <v>#N/A</v>
      </c>
      <c r="G13" s="1575"/>
      <c r="H13" s="1811">
        <v>2</v>
      </c>
      <c r="I13" s="1809" t="s">
        <v>1741</v>
      </c>
      <c r="J13" s="1801" t="e">
        <f ca="1">ROUND(J14*J15,0)</f>
        <v>#N/A</v>
      </c>
      <c r="K13" s="1803" t="s">
        <v>1742</v>
      </c>
      <c r="L13" s="2513"/>
      <c r="M13" s="2514"/>
    </row>
    <row r="14" spans="1:33" ht="18" customHeight="1">
      <c r="A14" s="1630" t="s">
        <v>1883</v>
      </c>
      <c r="B14" s="782" t="s">
        <v>645</v>
      </c>
      <c r="C14" s="802" t="e">
        <f ca="1">INDIRECT("'数据-取费表'!m"&amp;$G$1)+INDIRECT("'数据-取费表'!t"&amp;$G$1)</f>
        <v>#N/A</v>
      </c>
      <c r="D14" s="1961" t="s">
        <v>1744</v>
      </c>
      <c r="E14" s="1962"/>
      <c r="F14" s="803"/>
      <c r="G14" s="1575"/>
      <c r="H14" s="1631" t="s">
        <v>1829</v>
      </c>
      <c r="I14" s="2213" t="s">
        <v>2822</v>
      </c>
      <c r="J14" s="53" t="e">
        <f ca="1">C29</f>
        <v>#N/A</v>
      </c>
      <c r="K14" s="26"/>
      <c r="L14" s="799"/>
      <c r="M14" s="800"/>
    </row>
    <row r="15" spans="1:33" s="2046" customFormat="1" ht="18" customHeight="1" thickBot="1">
      <c r="A15" s="1630" t="s">
        <v>1884</v>
      </c>
      <c r="B15" s="782" t="s">
        <v>647</v>
      </c>
      <c r="C15" s="53" t="e">
        <f ca="1">ROUND(C14*F15,0)</f>
        <v>#N/A</v>
      </c>
      <c r="D15" s="804" t="s">
        <v>1745</v>
      </c>
      <c r="E15" s="804" t="s">
        <v>1746</v>
      </c>
      <c r="F15" s="805">
        <f>'数据-取费表'!B33</f>
        <v>0.03</v>
      </c>
      <c r="G15" s="1576"/>
      <c r="H15" s="2512" t="s">
        <v>1888</v>
      </c>
      <c r="I15" s="2507" t="s">
        <v>1743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t="e">
        <f ca="1">ROUND(INDIRECT("'数据-取费表'!m"&amp;$G$1)*F16,0)</f>
        <v>#N/A</v>
      </c>
      <c r="D16" s="782" t="s">
        <v>1745</v>
      </c>
      <c r="E16" s="782" t="s">
        <v>1746</v>
      </c>
      <c r="F16" s="807" t="e">
        <f ca="1">IF(INDIRECT("'数据-取费表'!c"&amp;$G$1)="住宅",'数据-取费表'!B34,0)</f>
        <v>#N/A</v>
      </c>
      <c r="G16" s="1575"/>
      <c r="H16" s="1811" t="s">
        <v>1747</v>
      </c>
      <c r="I16" s="1809" t="s">
        <v>1748</v>
      </c>
      <c r="J16" s="790" t="e">
        <f ca="1">ROUND(J17+J22+J23+J24,0)</f>
        <v>#N/A</v>
      </c>
      <c r="K16" s="1803" t="s">
        <v>1749</v>
      </c>
      <c r="L16" s="2447"/>
      <c r="M16" s="2452"/>
    </row>
    <row r="17" spans="1:33" s="2046" customFormat="1" ht="18" customHeight="1">
      <c r="A17" s="1630" t="s">
        <v>1886</v>
      </c>
      <c r="B17" s="782" t="s">
        <v>653</v>
      </c>
      <c r="C17" s="53" t="e">
        <f ca="1">ROUND(F17*(F43+INDIRECT("'数据-取费表'!S"&amp;$G$1))/10000,0)</f>
        <v>#N/A</v>
      </c>
      <c r="D17" s="782" t="s">
        <v>1750</v>
      </c>
      <c r="E17" s="782" t="s">
        <v>1751</v>
      </c>
      <c r="F17" s="56">
        <f>'数据-取费表'!B35</f>
        <v>150</v>
      </c>
      <c r="G17" s="1576"/>
      <c r="H17" s="1631" t="s">
        <v>1829</v>
      </c>
      <c r="I17" s="782" t="s">
        <v>656</v>
      </c>
      <c r="J17" s="53" t="e">
        <f ca="1">ROUND(IF(项目基本情况!B11="自然人",J6*M17/(1+'数据-取费表'!C42),J18+J19+J20),0)</f>
        <v>#N/A</v>
      </c>
      <c r="K17" s="2446" t="s">
        <v>1752</v>
      </c>
      <c r="L17" s="2445"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1745</v>
      </c>
      <c r="E18" s="782" t="s">
        <v>1746</v>
      </c>
      <c r="F18" s="807">
        <f>'数据-取费表'!B36</f>
        <v>1.4999999999999999E-2</v>
      </c>
      <c r="G18" s="1576"/>
      <c r="H18" s="1630" t="s">
        <v>1883</v>
      </c>
      <c r="I18" s="782" t="s">
        <v>1754</v>
      </c>
      <c r="J18" s="53" t="e">
        <f ca="1">ROUND(J6*M18/(1+'数据-取费表'!C42),1)</f>
        <v>#N/A</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t="e">
        <f ca="1">SUM(C14:C18)</f>
        <v>#N/A</v>
      </c>
      <c r="D19" s="259" t="s">
        <v>1756</v>
      </c>
      <c r="E19" s="1964"/>
      <c r="F19" s="56"/>
      <c r="G19" s="1575"/>
      <c r="H19" s="1630" t="s">
        <v>1884</v>
      </c>
      <c r="I19" s="782" t="s">
        <v>1757</v>
      </c>
      <c r="J19" s="53" t="e">
        <f ca="1">IF(K19="按租金收入计税",ROUND(J6*M19/(1+'数据-取费表'!C42),1),ROUND(C29*F33*0.7,1))</f>
        <v>#N/A</v>
      </c>
      <c r="K19" s="809" t="s">
        <v>665</v>
      </c>
      <c r="L19" s="782" t="s">
        <v>1746</v>
      </c>
      <c r="M19" s="807">
        <f>IF(K19="按租金收入计税",'数据-取费表'!B51,'数据-取费表'!B50)</f>
        <v>1.2E-2</v>
      </c>
    </row>
    <row r="20" spans="1:33" s="2046" customFormat="1" ht="18" customHeight="1">
      <c r="A20" s="1631" t="s">
        <v>1888</v>
      </c>
      <c r="B20" s="782" t="s">
        <v>666</v>
      </c>
      <c r="C20" s="53" t="e">
        <f ca="1">ROUND(C19*F20,0)</f>
        <v>#N/A</v>
      </c>
      <c r="D20" s="810" t="s">
        <v>1758</v>
      </c>
      <c r="E20" s="782" t="s">
        <v>1746</v>
      </c>
      <c r="F20" s="807">
        <f>'数据-取费表'!B37</f>
        <v>1.4999999999999999E-2</v>
      </c>
      <c r="G20" s="1576"/>
      <c r="H20" s="1633" t="s">
        <v>1879</v>
      </c>
      <c r="I20" s="339" t="s">
        <v>1759</v>
      </c>
      <c r="J20" s="54" t="e">
        <f ca="1">ROUND(M20*M21/10000,0)</f>
        <v>#N/A</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1.4999999999999999E-2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t="e">
        <f ca="1">ROUND(J14*M22,0)</f>
        <v>#N/A</v>
      </c>
      <c r="K22" s="2445" t="s">
        <v>1768</v>
      </c>
      <c r="L22" s="782" t="s">
        <v>1746</v>
      </c>
      <c r="M22" s="815" t="e">
        <f ca="1">INDIRECT("'数据-取费表'!Ak"&amp;$G$1)</f>
        <v>#N/A</v>
      </c>
    </row>
    <row r="23" spans="1:33" s="2046" customFormat="1" ht="18" customHeight="1">
      <c r="A23" s="1630" t="s">
        <v>1830</v>
      </c>
      <c r="B23" s="782" t="s">
        <v>2532</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2445" t="s">
        <v>1770</v>
      </c>
      <c r="L23" s="782" t="s">
        <v>1746</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6.9999999999999999E-4</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1773</v>
      </c>
      <c r="L24" s="2507" t="s">
        <v>1746</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1778</v>
      </c>
      <c r="F26" s="792" t="e">
        <f ca="1">INDIRECT("'数据-取费表'!q"&amp;$G$1)</f>
        <v>#N/A</v>
      </c>
      <c r="G26" s="1575"/>
      <c r="H26" s="2463" t="s">
        <v>1779</v>
      </c>
      <c r="I26" s="2214" t="s">
        <v>2823</v>
      </c>
      <c r="J26" s="781" t="e">
        <f ca="1">IF(J5&lt;&gt;0,ROUND(J25*(1-((1+M28)/(1+M26))^M27)/(M26-M28),0),0)</f>
        <v>#N/A</v>
      </c>
      <c r="K26" s="812" t="s">
        <v>1780</v>
      </c>
      <c r="L26" s="782" t="s">
        <v>2416</v>
      </c>
      <c r="M26" s="792" t="e">
        <f ca="1">INDIRECT("'数据-取费表'!I"&amp;$G$1)</f>
        <v>#N/A</v>
      </c>
    </row>
    <row r="27" spans="1:33" ht="18" customHeight="1">
      <c r="A27" s="1630" t="s">
        <v>1831</v>
      </c>
      <c r="B27" s="782" t="s">
        <v>686</v>
      </c>
      <c r="C27" s="53" t="e">
        <f ca="1">ROUND(F21*F26,4)</f>
        <v>#N/A</v>
      </c>
      <c r="D27" s="810" t="s">
        <v>1781</v>
      </c>
      <c r="E27" s="804"/>
      <c r="F27" s="805"/>
      <c r="G27" s="1575"/>
      <c r="H27" s="2464"/>
      <c r="I27" s="785"/>
      <c r="J27" s="786"/>
      <c r="K27" s="819" t="s">
        <v>1782</v>
      </c>
      <c r="L27" s="782" t="s">
        <v>1783</v>
      </c>
      <c r="M27" s="820" t="e">
        <f ca="1">INDIRECT("'数据-取费表'!ag"&amp;$G$1)</f>
        <v>#N/A</v>
      </c>
    </row>
    <row r="28" spans="1:33" s="2046" customFormat="1" ht="18" customHeight="1">
      <c r="A28" s="1632" t="s">
        <v>1840</v>
      </c>
      <c r="B28" s="782" t="s">
        <v>687</v>
      </c>
      <c r="C28" s="53">
        <f>ROUND(F28/(1+'数据-取费表'!C42),4)</f>
        <v>5.2400000000000002E-2</v>
      </c>
      <c r="D28" s="810" t="s">
        <v>2296</v>
      </c>
      <c r="E28" s="782" t="s">
        <v>1784</v>
      </c>
      <c r="F28" s="807">
        <f>'数据-取费表'!B41</f>
        <v>5.5000000000000007E-2</v>
      </c>
      <c r="G28" s="1576"/>
      <c r="H28" s="1811"/>
      <c r="I28" s="789"/>
      <c r="J28" s="790"/>
      <c r="K28" s="814"/>
      <c r="L28" s="782" t="s">
        <v>1785</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t="e">
        <f ca="1">ROUND(C31+C36+C37+C38,0)</f>
        <v>#N/A</v>
      </c>
      <c r="D30" s="1803" t="s">
        <v>1790</v>
      </c>
      <c r="E30" s="2447"/>
      <c r="F30" s="2452"/>
      <c r="G30" s="2044"/>
      <c r="H30" s="2047"/>
      <c r="I30" s="2048"/>
      <c r="J30" s="2049"/>
      <c r="K30" s="2050"/>
      <c r="L30" s="2051"/>
      <c r="M30" s="2052"/>
    </row>
    <row r="31" spans="1:33" ht="18" customHeight="1">
      <c r="A31" s="1631" t="s">
        <v>1829</v>
      </c>
      <c r="B31" s="782" t="s">
        <v>656</v>
      </c>
      <c r="C31" s="53" t="e">
        <f ca="1">ROUND(IF(项目基本情况!B11="自然人",C6*F31/(1+'数据-取费表'!C42),C32+C33+C34),1)</f>
        <v>#N/A</v>
      </c>
      <c r="D31" s="1961" t="s">
        <v>1791</v>
      </c>
      <c r="E31" s="1959"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1793</v>
      </c>
      <c r="C32" s="53" t="e">
        <f ca="1">ROUND(C6*F32/(1+'数据-取费表'!C42),1)</f>
        <v>#N/A</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t="e">
        <f ca="1">IF(D33="按租金收入计税",ROUND(C6*F33/(1+'数据-取费表'!C42),1),IF(D33="按房产原值计税",ROUND(C29*F33*0.7,1),INDIRECT("'数据-取费表'!Aj"&amp;$G$1)))</f>
        <v>#N/A</v>
      </c>
      <c r="D33" s="809" t="s">
        <v>3100</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t="e">
        <f ca="1">ROUND(F34*F35/10000,1)</f>
        <v>#N/A</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t="e">
        <f ca="1">INDIRECT("'数据-取费表'!r"&amp;$G$1)</f>
        <v>#N/A</v>
      </c>
      <c r="G35" s="2044"/>
      <c r="H35" s="2047"/>
      <c r="I35" s="835" t="s">
        <v>1813</v>
      </c>
      <c r="J35" s="836" t="e">
        <f ca="1">ROUND(C13*J36,0)</f>
        <v>#N/A</v>
      </c>
      <c r="K35" s="2060"/>
      <c r="L35" s="2059"/>
      <c r="M35" s="2059"/>
    </row>
    <row r="36" spans="1:18" ht="18" customHeight="1">
      <c r="A36" s="1631" t="s">
        <v>1888</v>
      </c>
      <c r="B36" s="782" t="s">
        <v>1801</v>
      </c>
      <c r="C36" s="53" t="e">
        <f ca="1">ROUND(C29*F36,1)</f>
        <v>#N/A</v>
      </c>
      <c r="D36" s="1959" t="s">
        <v>1802</v>
      </c>
      <c r="E36" s="782" t="s">
        <v>1795</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1959" t="s">
        <v>1803</v>
      </c>
      <c r="E37" s="782" t="s">
        <v>1795</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1804</v>
      </c>
      <c r="E38" s="2507" t="s">
        <v>1795</v>
      </c>
      <c r="F38" s="2503" t="e">
        <f ca="1">INDIRECT("'数据-取费表'!Am"&amp;$G$1)</f>
        <v>#N/A</v>
      </c>
      <c r="G38" s="2044"/>
      <c r="H38" s="2059"/>
      <c r="I38" s="841" t="s">
        <v>1816</v>
      </c>
      <c r="J38" s="842"/>
      <c r="K38" s="2065"/>
      <c r="L38" s="2059"/>
      <c r="M38" s="2059"/>
    </row>
    <row r="39" spans="1:18" ht="24.6" customHeight="1" thickTop="1">
      <c r="A39" s="1811" t="s">
        <v>1893</v>
      </c>
      <c r="B39" s="2958" t="s">
        <v>2818</v>
      </c>
      <c r="C39" s="790" t="e">
        <f ca="1">C5-C30</f>
        <v>#N/A</v>
      </c>
      <c r="D39" s="2509" t="s">
        <v>1805</v>
      </c>
      <c r="E39" s="2510"/>
      <c r="F39" s="2511"/>
      <c r="G39" s="2044"/>
      <c r="H39" s="2059"/>
      <c r="I39" s="835" t="s">
        <v>1817</v>
      </c>
      <c r="J39" s="843" t="e">
        <f ca="1">ROUND(J35/C39,3)</f>
        <v>#N/A</v>
      </c>
      <c r="K39" s="2065"/>
      <c r="L39" s="2059"/>
      <c r="M39" s="2059"/>
    </row>
    <row r="40" spans="1:18" ht="18" customHeight="1">
      <c r="A40" s="779" t="s">
        <v>1894</v>
      </c>
      <c r="B40" s="2214" t="s">
        <v>2298</v>
      </c>
      <c r="C40" s="781" t="e">
        <f ca="1">ROUND(C39*(1-((1+F42)/(1+F40))^F41)/(F40-F42),0)</f>
        <v>#N/A</v>
      </c>
      <c r="D40" s="812" t="s">
        <v>1806</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2961</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1808</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3101</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1739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2972</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75" t="s">
        <v>2963</v>
      </c>
      <c r="L53" s="3476"/>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2299</v>
      </c>
      <c r="C56" s="53" t="e">
        <f ca="1">C29</f>
        <v>#N/A</v>
      </c>
      <c r="D56" s="2600"/>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1749</v>
      </c>
      <c r="E57" s="2601"/>
      <c r="F57" s="56"/>
      <c r="I57" s="3110" t="s">
        <v>2355</v>
      </c>
      <c r="J57" s="3111" t="e">
        <f ca="1">IF(OR(M47="住宅",J51&lt;L48,J56="是"),"——",J51-L48)</f>
        <v>#N/A</v>
      </c>
      <c r="K57" s="3072"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1823</v>
      </c>
      <c r="B58" s="782" t="s">
        <v>656</v>
      </c>
      <c r="C58" s="53" t="e">
        <f ca="1">ROUND(IF(项目基本情况!B11="自然人",C47*F58,C59+C60+C61),1)</f>
        <v>#N/A</v>
      </c>
      <c r="D58" s="2599" t="s">
        <v>657</v>
      </c>
      <c r="E58" s="2600"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2600" t="s">
        <v>1755</v>
      </c>
      <c r="E59" s="782" t="s">
        <v>1746</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1757</v>
      </c>
      <c r="C60" s="53" t="e">
        <f ca="1">IF(D60="按租金收入计税",ROUND(C47*F60,1),IF(D60="按房产原值计税",ROUND(C56*F60*0.7,1),INDIRECT("'数据-取费表'!Aj"&amp;$G$1)))</f>
        <v>#N/A</v>
      </c>
      <c r="D60" s="2600" t="str">
        <f>D33</f>
        <v>按租金收入计税</v>
      </c>
      <c r="E60" s="782" t="s">
        <v>1746</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2600" t="s">
        <v>1802</v>
      </c>
      <c r="E63" s="782" t="s">
        <v>1746</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2600" t="s">
        <v>680</v>
      </c>
      <c r="E64" s="782" t="s">
        <v>1746</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2600" t="s">
        <v>683</v>
      </c>
      <c r="E65" s="782" t="s">
        <v>1746</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2599" t="s">
        <v>700</v>
      </c>
      <c r="E66" s="2598"/>
      <c r="F66" s="818"/>
      <c r="K66" s="2068"/>
      <c r="O66" s="2359" t="s">
        <v>2376</v>
      </c>
      <c r="P66" s="2360" t="s">
        <v>2406</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1783</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2468</v>
      </c>
      <c r="B1" s="3494"/>
      <c r="C1" s="3495"/>
      <c r="D1" s="3496">
        <f>SUM(I10,I15,I20,I21,I23)</f>
        <v>0</v>
      </c>
      <c r="E1" s="3496"/>
      <c r="F1" s="3496"/>
      <c r="G1" s="3496"/>
      <c r="H1" s="3496"/>
      <c r="I1" s="3497"/>
    </row>
    <row r="2" spans="1:9">
      <c r="A2" s="3483" t="s">
        <v>2469</v>
      </c>
      <c r="B2" s="3484" t="s">
        <v>2470</v>
      </c>
      <c r="C2" s="3484"/>
      <c r="D2" s="2468" t="s">
        <v>2471</v>
      </c>
      <c r="E2" s="2468" t="s">
        <v>2472</v>
      </c>
      <c r="F2" s="2468" t="s">
        <v>2473</v>
      </c>
      <c r="G2" s="2468" t="s">
        <v>2474</v>
      </c>
      <c r="H2" s="2468" t="s">
        <v>2475</v>
      </c>
      <c r="I2" s="2469" t="s">
        <v>2476</v>
      </c>
    </row>
    <row r="3" spans="1:9">
      <c r="A3" s="3483"/>
      <c r="B3" s="3484" t="s">
        <v>2477</v>
      </c>
      <c r="C3" s="3484"/>
      <c r="D3" s="2470"/>
      <c r="E3" s="2468"/>
      <c r="F3" s="2471"/>
      <c r="G3" s="2471"/>
      <c r="H3" s="2472"/>
      <c r="I3" s="2473">
        <f>ROUND(D3*E3*F3*G3*H3/10000,0)</f>
        <v>0</v>
      </c>
    </row>
    <row r="4" spans="1:9">
      <c r="A4" s="3483"/>
      <c r="B4" s="3484" t="s">
        <v>2478</v>
      </c>
      <c r="C4" s="3484"/>
      <c r="D4" s="2470"/>
      <c r="E4" s="2468"/>
      <c r="F4" s="2471"/>
      <c r="G4" s="2471"/>
      <c r="H4" s="2472"/>
      <c r="I4" s="2473">
        <f t="shared" ref="I4:I9" si="0">ROUND(D4*E4*F4*G4*H4/10000,0)</f>
        <v>0</v>
      </c>
    </row>
    <row r="5" spans="1:9">
      <c r="A5" s="3483"/>
      <c r="B5" s="3484" t="s">
        <v>2479</v>
      </c>
      <c r="C5" s="3484"/>
      <c r="D5" s="2470"/>
      <c r="E5" s="2468"/>
      <c r="F5" s="2471"/>
      <c r="G5" s="2471"/>
      <c r="H5" s="2472"/>
      <c r="I5" s="2473">
        <f t="shared" si="0"/>
        <v>0</v>
      </c>
    </row>
    <row r="6" spans="1:9">
      <c r="A6" s="3483"/>
      <c r="B6" s="3484" t="s">
        <v>2480</v>
      </c>
      <c r="C6" s="3484"/>
      <c r="D6" s="2470"/>
      <c r="E6" s="2468"/>
      <c r="F6" s="2471"/>
      <c r="G6" s="2471"/>
      <c r="H6" s="2472"/>
      <c r="I6" s="2473">
        <f t="shared" si="0"/>
        <v>0</v>
      </c>
    </row>
    <row r="7" spans="1:9">
      <c r="A7" s="3483"/>
      <c r="B7" s="3484" t="s">
        <v>2481</v>
      </c>
      <c r="C7" s="3484"/>
      <c r="D7" s="2470"/>
      <c r="E7" s="2468"/>
      <c r="F7" s="2471"/>
      <c r="G7" s="2471"/>
      <c r="H7" s="2472"/>
      <c r="I7" s="2473">
        <f t="shared" si="0"/>
        <v>0</v>
      </c>
    </row>
    <row r="8" spans="1:9">
      <c r="A8" s="3483"/>
      <c r="B8" s="3484" t="s">
        <v>2482</v>
      </c>
      <c r="C8" s="3484"/>
      <c r="D8" s="2470"/>
      <c r="E8" s="2468"/>
      <c r="F8" s="2471"/>
      <c r="G8" s="2471"/>
      <c r="H8" s="2472"/>
      <c r="I8" s="2473">
        <f t="shared" si="0"/>
        <v>0</v>
      </c>
    </row>
    <row r="9" spans="1:9">
      <c r="A9" s="3483"/>
      <c r="B9" s="3484" t="s">
        <v>2483</v>
      </c>
      <c r="C9" s="3484"/>
      <c r="D9" s="2470"/>
      <c r="E9" s="2468"/>
      <c r="F9" s="2471"/>
      <c r="G9" s="2471"/>
      <c r="H9" s="2472"/>
      <c r="I9" s="2473">
        <f t="shared" si="0"/>
        <v>0</v>
      </c>
    </row>
    <row r="10" spans="1:9">
      <c r="A10" s="3483"/>
      <c r="B10" s="3485" t="s">
        <v>2484</v>
      </c>
      <c r="C10" s="3485"/>
      <c r="D10" s="2474">
        <v>527</v>
      </c>
      <c r="E10" s="2474" t="e">
        <f>ROUND(D1*10000/D10/H9,0)</f>
        <v>#DIV/0!</v>
      </c>
      <c r="F10" s="2475"/>
      <c r="G10" s="2475"/>
      <c r="H10" s="2476"/>
      <c r="I10" s="2477">
        <f>SUM(I3:I9)</f>
        <v>0</v>
      </c>
    </row>
    <row r="11" spans="1:9" ht="14.25">
      <c r="A11" s="3483" t="s">
        <v>2485</v>
      </c>
      <c r="B11" s="3484" t="s">
        <v>2486</v>
      </c>
      <c r="C11" s="3484"/>
      <c r="D11" s="2470" t="s">
        <v>2487</v>
      </c>
      <c r="E11" s="2470" t="s">
        <v>2488</v>
      </c>
      <c r="F11" s="2471" t="s">
        <v>2489</v>
      </c>
      <c r="G11" s="2471" t="s">
        <v>2490</v>
      </c>
      <c r="H11" s="2478" t="s">
        <v>2491</v>
      </c>
      <c r="I11" s="2469" t="s">
        <v>2492</v>
      </c>
    </row>
    <row r="12" spans="1:9">
      <c r="A12" s="3483"/>
      <c r="B12" s="3484" t="s">
        <v>2493</v>
      </c>
      <c r="C12" s="3484"/>
      <c r="D12" s="2470"/>
      <c r="E12" s="2470"/>
      <c r="F12" s="2471"/>
      <c r="G12" s="2472"/>
      <c r="H12" s="2479"/>
      <c r="I12" s="2469">
        <f>ROUND(D12*E12*F12*G12/10000,0)</f>
        <v>0</v>
      </c>
    </row>
    <row r="13" spans="1:9">
      <c r="A13" s="3483"/>
      <c r="B13" s="3484" t="s">
        <v>2494</v>
      </c>
      <c r="C13" s="3484"/>
      <c r="D13" s="2470"/>
      <c r="E13" s="2470"/>
      <c r="F13" s="2471"/>
      <c r="G13" s="2472"/>
      <c r="H13" s="2479"/>
      <c r="I13" s="2469">
        <f>ROUND(D13*E13*F13*G13/10000,0)</f>
        <v>0</v>
      </c>
    </row>
    <row r="14" spans="1:9">
      <c r="A14" s="3483"/>
      <c r="B14" s="3484" t="s">
        <v>2495</v>
      </c>
      <c r="C14" s="3484"/>
      <c r="D14" s="2470"/>
      <c r="E14" s="2470"/>
      <c r="F14" s="2471"/>
      <c r="G14" s="2472"/>
      <c r="H14" s="2479"/>
      <c r="I14" s="2469">
        <f>ROUND(D14*E14*F14*G14/10000,0)</f>
        <v>0</v>
      </c>
    </row>
    <row r="15" spans="1:9">
      <c r="A15" s="3483"/>
      <c r="B15" s="3485" t="s">
        <v>2484</v>
      </c>
      <c r="C15" s="3485"/>
      <c r="D15" s="2474"/>
      <c r="E15" s="2474">
        <f>SUM(E12:E14)</f>
        <v>0</v>
      </c>
      <c r="F15" s="2475"/>
      <c r="G15" s="2472"/>
      <c r="H15" s="2479"/>
      <c r="I15" s="2480">
        <f>SUM(I12:I14)</f>
        <v>0</v>
      </c>
    </row>
    <row r="16" spans="1:9" ht="24">
      <c r="A16" s="3483" t="s">
        <v>2496</v>
      </c>
      <c r="B16" s="3484" t="s">
        <v>2497</v>
      </c>
      <c r="C16" s="3484"/>
      <c r="D16" s="2470" t="s">
        <v>2498</v>
      </c>
      <c r="E16" s="2481" t="s">
        <v>2499</v>
      </c>
      <c r="F16" s="2471" t="s">
        <v>2500</v>
      </c>
      <c r="G16" s="2472" t="s">
        <v>2490</v>
      </c>
      <c r="H16" s="2478" t="s">
        <v>2491</v>
      </c>
      <c r="I16" s="2469" t="s">
        <v>2492</v>
      </c>
    </row>
    <row r="17" spans="1:9" ht="14.25">
      <c r="A17" s="3483"/>
      <c r="B17" s="3484" t="s">
        <v>2501</v>
      </c>
      <c r="C17" s="3484"/>
      <c r="D17" s="2470"/>
      <c r="E17" s="2470"/>
      <c r="F17" s="2471"/>
      <c r="G17" s="2472"/>
      <c r="H17" s="2482"/>
      <c r="I17" s="2483">
        <f>ROUND(D17*E17*F17*G17/10000,0)</f>
        <v>0</v>
      </c>
    </row>
    <row r="18" spans="1:9" ht="14.25">
      <c r="A18" s="3483"/>
      <c r="B18" s="3484" t="s">
        <v>2502</v>
      </c>
      <c r="C18" s="3484"/>
      <c r="D18" s="2470"/>
      <c r="E18" s="2470"/>
      <c r="F18" s="2471"/>
      <c r="G18" s="2472"/>
      <c r="H18" s="2482"/>
      <c r="I18" s="2483">
        <f>ROUND(D18*E18*F18*G18/10000,0)</f>
        <v>0</v>
      </c>
    </row>
    <row r="19" spans="1:9" ht="14.25">
      <c r="A19" s="3483"/>
      <c r="B19" s="3484" t="s">
        <v>2503</v>
      </c>
      <c r="C19" s="3484"/>
      <c r="D19" s="2470"/>
      <c r="E19" s="2470"/>
      <c r="F19" s="2471"/>
      <c r="G19" s="2472"/>
      <c r="H19" s="2482"/>
      <c r="I19" s="2483">
        <f>ROUND(D19*E19*F19*G19/10000,0)</f>
        <v>0</v>
      </c>
    </row>
    <row r="20" spans="1:9">
      <c r="A20" s="3483"/>
      <c r="B20" s="3485" t="s">
        <v>2484</v>
      </c>
      <c r="C20" s="3485"/>
      <c r="D20" s="2474">
        <f>SUM(D17:D19)</f>
        <v>0</v>
      </c>
      <c r="E20" s="2474"/>
      <c r="F20" s="2475"/>
      <c r="G20" s="2472"/>
      <c r="H20" s="2479"/>
      <c r="I20" s="2480">
        <f>SUM(I17:I19)</f>
        <v>0</v>
      </c>
    </row>
    <row r="21" spans="1:9">
      <c r="A21" s="3483" t="s">
        <v>2504</v>
      </c>
      <c r="B21" s="3486"/>
      <c r="C21" s="3486"/>
      <c r="D21" s="3486"/>
      <c r="E21" s="3486"/>
      <c r="F21" s="3486"/>
      <c r="G21" s="3486"/>
      <c r="H21" s="2484">
        <v>0.1</v>
      </c>
      <c r="I21" s="2477">
        <f>ROUND(I10*H21,0)</f>
        <v>0</v>
      </c>
    </row>
    <row r="22" spans="1:9" ht="14.25">
      <c r="A22" s="3487" t="s">
        <v>2505</v>
      </c>
      <c r="B22" s="3488"/>
      <c r="C22" s="3489"/>
      <c r="D22" s="2485" t="s">
        <v>2506</v>
      </c>
      <c r="E22" s="2485" t="s">
        <v>2507</v>
      </c>
      <c r="F22" s="2486" t="s">
        <v>2508</v>
      </c>
      <c r="G22" s="2486" t="s">
        <v>2509</v>
      </c>
      <c r="H22" s="2478" t="s">
        <v>2510</v>
      </c>
      <c r="I22" s="2469" t="s">
        <v>2511</v>
      </c>
    </row>
    <row r="23" spans="1:9" ht="14.25" thickBot="1">
      <c r="A23" s="3490"/>
      <c r="B23" s="3491"/>
      <c r="C23" s="3492"/>
      <c r="D23" s="2487"/>
      <c r="E23" s="2487"/>
      <c r="F23" s="2487"/>
      <c r="G23" s="2488"/>
      <c r="H23" s="2489"/>
      <c r="I23" s="2490">
        <f>ROUND(E23*D23*F23*(1-G23)/10000,0)</f>
        <v>0</v>
      </c>
    </row>
    <row r="26" spans="1:9">
      <c r="A26" s="2491" t="s">
        <v>2512</v>
      </c>
      <c r="B26" s="2491"/>
      <c r="C26" s="2491"/>
      <c r="D26" s="2491"/>
      <c r="E26" s="3480">
        <f>C27-C30-C31-C32</f>
        <v>0</v>
      </c>
      <c r="F26" s="3480"/>
      <c r="G26" s="3480"/>
      <c r="H26" s="2989" t="s">
        <v>2839</v>
      </c>
    </row>
    <row r="27" spans="1:9">
      <c r="A27" s="2492">
        <v>1</v>
      </c>
      <c r="B27" s="2493" t="s">
        <v>2513</v>
      </c>
      <c r="C27" s="2493"/>
      <c r="D27" s="2493"/>
      <c r="E27" s="3481"/>
      <c r="F27" s="3481"/>
      <c r="G27" s="3481"/>
    </row>
    <row r="28" spans="1:9">
      <c r="A28" s="2494" t="s">
        <v>2514</v>
      </c>
      <c r="B28" s="2493" t="s">
        <v>2515</v>
      </c>
      <c r="C28" s="2493"/>
      <c r="D28" s="2493"/>
      <c r="E28" s="3481"/>
      <c r="F28" s="3481"/>
      <c r="G28" s="3481"/>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82"/>
      <c r="F32" s="3482"/>
      <c r="G32" s="3482"/>
    </row>
    <row r="33" spans="1:7" hidden="1">
      <c r="A33" s="3477" t="s">
        <v>2523</v>
      </c>
      <c r="B33" s="3478"/>
      <c r="C33" s="3478"/>
      <c r="D33" s="3479"/>
      <c r="E33" s="3480"/>
      <c r="F33" s="3480"/>
      <c r="G33" s="3480"/>
    </row>
    <row r="34" spans="1:7" hidden="1">
      <c r="A34" s="2496">
        <v>1</v>
      </c>
      <c r="B34" s="2493" t="s">
        <v>2524</v>
      </c>
      <c r="C34" s="2493"/>
      <c r="D34" s="2493"/>
      <c r="E34" s="3481"/>
      <c r="F34" s="3481"/>
      <c r="G34" s="3481"/>
    </row>
    <row r="35" spans="1:7" hidden="1">
      <c r="A35" s="2496">
        <v>2</v>
      </c>
      <c r="B35" s="2493" t="s">
        <v>2525</v>
      </c>
      <c r="C35" s="2493"/>
      <c r="D35" s="2493"/>
      <c r="E35" s="3481"/>
      <c r="F35" s="3481"/>
      <c r="G35" s="3481"/>
    </row>
    <row r="36" spans="1:7" hidden="1">
      <c r="A36" s="2496">
        <v>3</v>
      </c>
      <c r="B36" s="2493" t="s">
        <v>2526</v>
      </c>
      <c r="C36" s="2493"/>
      <c r="D36" s="2493"/>
      <c r="E36" s="3481"/>
      <c r="F36" s="3481"/>
      <c r="G36" s="3481"/>
    </row>
    <row r="37" spans="1:7" hidden="1">
      <c r="A37" s="2496">
        <v>4</v>
      </c>
      <c r="B37" s="2493" t="s">
        <v>2527</v>
      </c>
      <c r="C37" s="2493"/>
      <c r="D37" s="2493"/>
      <c r="E37" s="3481"/>
      <c r="F37" s="3481"/>
      <c r="G37" s="3481"/>
    </row>
    <row r="38" spans="1:7" hidden="1">
      <c r="A38" s="3477" t="s">
        <v>2528</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84143.78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631</v>
      </c>
      <c r="D12" s="756">
        <f>'数据-汇总表'!E5</f>
        <v>84143.78</v>
      </c>
      <c r="E12" s="755">
        <f>'数据-取费表'!B27</f>
        <v>75</v>
      </c>
      <c r="F12" s="753"/>
      <c r="G12" s="757"/>
    </row>
    <row r="13" spans="1:25" s="2165" customFormat="1" ht="13.5" customHeight="1">
      <c r="A13" s="2437" t="s">
        <v>2444</v>
      </c>
      <c r="B13" s="754" t="s">
        <v>612</v>
      </c>
      <c r="C13" s="755">
        <f>ROUND(D13*E13/10000,0)</f>
        <v>0</v>
      </c>
      <c r="D13" s="756">
        <f>'数据-汇总表'!E6</f>
        <v>0</v>
      </c>
      <c r="E13" s="755">
        <f>'数据-取费表'!B28</f>
        <v>75</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0.94699999999999995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4" zoomScale="70" zoomScaleNormal="70" workbookViewId="0">
      <selection activeCell="E47" sqref="E4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3116</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39926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4745</v>
      </c>
      <c r="C3" s="850" t="s">
        <v>722</v>
      </c>
      <c r="D3" s="849">
        <f>SUMIF('数据-汇总表'!$C19:$C33,D1,'数据-汇总表'!$E19:$E33)</f>
        <v>84143.78</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01" t="s">
        <v>522</v>
      </c>
      <c r="D4" s="3402"/>
      <c r="E4" s="3425" t="s">
        <v>523</v>
      </c>
      <c r="F4" s="3426"/>
      <c r="G4" s="3401" t="s">
        <v>524</v>
      </c>
      <c r="H4" s="3402"/>
      <c r="I4" s="3401" t="s">
        <v>525</v>
      </c>
      <c r="J4" s="3402"/>
      <c r="K4" s="851" t="s">
        <v>526</v>
      </c>
      <c r="L4" s="2115"/>
      <c r="M4" s="2116"/>
      <c r="N4" s="2116"/>
      <c r="O4" s="2116"/>
      <c r="P4" s="3403" t="s">
        <v>527</v>
      </c>
      <c r="Q4" s="3404"/>
      <c r="R4" s="3389" t="s">
        <v>523</v>
      </c>
      <c r="S4" s="3390"/>
      <c r="T4" s="3389" t="s">
        <v>524</v>
      </c>
      <c r="U4" s="3390"/>
      <c r="V4" s="3409" t="s">
        <v>525</v>
      </c>
      <c r="W4" s="3409"/>
      <c r="X4" s="1550"/>
      <c r="Y4" s="3389" t="s">
        <v>527</v>
      </c>
      <c r="Z4" s="3390"/>
      <c r="AA4" s="3384" t="s">
        <v>523</v>
      </c>
      <c r="AB4" s="3384" t="s">
        <v>524</v>
      </c>
      <c r="AC4" s="3384" t="s">
        <v>525</v>
      </c>
    </row>
    <row r="5" spans="1:29" ht="15">
      <c r="A5" s="513"/>
      <c r="B5" s="514"/>
      <c r="C5" s="3412" t="s">
        <v>2927</v>
      </c>
      <c r="D5" s="3413"/>
      <c r="E5" s="3427" t="str">
        <f>住宅案例!M3</f>
        <v>宝龙世家</v>
      </c>
      <c r="F5" s="3428"/>
      <c r="G5" s="3412" t="str">
        <f>住宅案例!M4</f>
        <v>融耀新城</v>
      </c>
      <c r="H5" s="3413"/>
      <c r="I5" s="3412" t="str">
        <f>住宅案例!M5</f>
        <v>公园壹号</v>
      </c>
      <c r="J5" s="3413"/>
      <c r="K5" s="852"/>
      <c r="L5" s="2115"/>
      <c r="M5" s="2116"/>
      <c r="N5" s="2116"/>
      <c r="O5" s="2116"/>
      <c r="P5" s="3405"/>
      <c r="Q5" s="3406"/>
      <c r="R5" s="3391"/>
      <c r="S5" s="3392"/>
      <c r="T5" s="3391"/>
      <c r="U5" s="3392"/>
      <c r="V5" s="3409"/>
      <c r="W5" s="3409"/>
      <c r="X5" s="1550"/>
      <c r="Y5" s="3391"/>
      <c r="Z5" s="3392"/>
      <c r="AA5" s="3385"/>
      <c r="AB5" s="3385"/>
      <c r="AC5" s="3385"/>
    </row>
    <row r="6" spans="1:29" ht="15.75" thickBot="1">
      <c r="A6" s="515"/>
      <c r="B6" s="516"/>
      <c r="C6" s="3410" t="s">
        <v>2931</v>
      </c>
      <c r="D6" s="3411"/>
      <c r="E6" s="3429" t="s">
        <v>2931</v>
      </c>
      <c r="F6" s="3430"/>
      <c r="G6" s="3410" t="s">
        <v>2931</v>
      </c>
      <c r="H6" s="3411"/>
      <c r="I6" s="3410" t="s">
        <v>2931</v>
      </c>
      <c r="J6" s="3411"/>
      <c r="K6" s="852" t="s">
        <v>528</v>
      </c>
      <c r="L6" s="2115"/>
      <c r="M6" s="2116"/>
      <c r="N6" s="2116"/>
      <c r="O6" s="2116"/>
      <c r="P6" s="3407"/>
      <c r="Q6" s="3408"/>
      <c r="R6" s="3391"/>
      <c r="S6" s="3392"/>
      <c r="T6" s="3393"/>
      <c r="U6" s="3394"/>
      <c r="V6" s="3409"/>
      <c r="W6" s="3409"/>
      <c r="X6" s="1550"/>
      <c r="Y6" s="3393"/>
      <c r="Z6" s="3394"/>
      <c r="AA6" s="3386"/>
      <c r="AB6" s="3386"/>
      <c r="AC6" s="3386"/>
    </row>
    <row r="7" spans="1:29" s="1213" customFormat="1" ht="15.75" thickBot="1">
      <c r="A7" s="2863"/>
      <c r="B7" s="2870" t="s">
        <v>529</v>
      </c>
      <c r="C7" s="517">
        <f>'数据-取费表'!B2</f>
        <v>44036</v>
      </c>
      <c r="D7" s="518">
        <v>100</v>
      </c>
      <c r="E7" s="519">
        <f>C7</f>
        <v>44036</v>
      </c>
      <c r="F7" s="520">
        <f>SUMIF(58:58,YEAR(E7)&amp;"-"&amp;MONTH(E7),59:59)</f>
        <v>100</v>
      </c>
      <c r="G7" s="521">
        <f>C7</f>
        <v>44036</v>
      </c>
      <c r="H7" s="518">
        <f>SUMIF(58:58,YEAR(G7)&amp;"-"&amp;MONTH(G7),59:59)</f>
        <v>100</v>
      </c>
      <c r="I7" s="521">
        <f>C7</f>
        <v>44036</v>
      </c>
      <c r="J7" s="518">
        <f>SUMIF(58:58,YEAR(I7)&amp;"-"&amp;MONTH(I7),59:59)</f>
        <v>100</v>
      </c>
      <c r="K7" s="853"/>
      <c r="L7" s="2117"/>
      <c r="M7" s="2118"/>
      <c r="N7" s="2118"/>
      <c r="O7" s="2118"/>
      <c r="P7" s="3387" t="s">
        <v>530</v>
      </c>
      <c r="Q7" s="3396"/>
      <c r="R7" s="1551" t="s">
        <v>13</v>
      </c>
      <c r="S7" s="1552">
        <f t="shared" ref="S7:S15" si="0">F7</f>
        <v>100</v>
      </c>
      <c r="T7" s="1551" t="s">
        <v>13</v>
      </c>
      <c r="U7" s="1552">
        <f t="shared" ref="U7:U15" si="1">H7</f>
        <v>100</v>
      </c>
      <c r="V7" s="1551" t="s">
        <v>13</v>
      </c>
      <c r="W7" s="1552">
        <f t="shared" ref="W7:W15" si="2">J7</f>
        <v>100</v>
      </c>
      <c r="X7" s="1553"/>
      <c r="Y7" s="3387" t="s">
        <v>530</v>
      </c>
      <c r="Z7" s="3388"/>
      <c r="AA7" s="1554">
        <f>D7/F7</f>
        <v>1</v>
      </c>
      <c r="AB7" s="1554">
        <f>D7/H7</f>
        <v>1</v>
      </c>
      <c r="AC7" s="1554">
        <f>D7/J7</f>
        <v>1</v>
      </c>
    </row>
    <row r="8" spans="1:29" s="1213" customFormat="1" ht="15.75" thickBot="1">
      <c r="A8" s="2864"/>
      <c r="B8" s="2871" t="s">
        <v>531</v>
      </c>
      <c r="C8" s="523" t="s">
        <v>576</v>
      </c>
      <c r="D8" s="518">
        <v>100</v>
      </c>
      <c r="E8" s="3195" t="s">
        <v>3109</v>
      </c>
      <c r="F8" s="520">
        <f>SUMIF(61:61,E8,62:62)-SUMIF(61:61,C8,62:62)+100</f>
        <v>100</v>
      </c>
      <c r="G8" s="3177" t="s">
        <v>3109</v>
      </c>
      <c r="H8" s="518">
        <f>SUMIF(61:61,G8,62:62)-SUMIF(61:61,C8,62:62)+100</f>
        <v>100</v>
      </c>
      <c r="I8" s="3195" t="s">
        <v>3109</v>
      </c>
      <c r="J8" s="518">
        <f>SUMIF(61:61,I8,62:62)-SUMIF(61:61,C8,62:62)+100</f>
        <v>100</v>
      </c>
      <c r="K8" s="853"/>
      <c r="L8" s="2117"/>
      <c r="M8" s="2118"/>
      <c r="N8" s="2118"/>
      <c r="O8" s="2118"/>
      <c r="P8" s="3387" t="s">
        <v>533</v>
      </c>
      <c r="Q8" s="3388"/>
      <c r="R8" s="1551" t="s">
        <v>13</v>
      </c>
      <c r="S8" s="1552">
        <f t="shared" si="0"/>
        <v>100</v>
      </c>
      <c r="T8" s="1551" t="s">
        <v>13</v>
      </c>
      <c r="U8" s="1552">
        <f t="shared" si="1"/>
        <v>100</v>
      </c>
      <c r="V8" s="1551" t="s">
        <v>13</v>
      </c>
      <c r="W8" s="1552">
        <f t="shared" si="2"/>
        <v>100</v>
      </c>
      <c r="X8" s="1553"/>
      <c r="Y8" s="3387" t="s">
        <v>533</v>
      </c>
      <c r="Z8" s="3388"/>
      <c r="AA8" s="1554">
        <f t="shared" ref="AA8:AA46" si="3">D8/F8</f>
        <v>1</v>
      </c>
      <c r="AB8" s="1554">
        <f t="shared" ref="AB8:AB46" si="4">D8/H8</f>
        <v>1</v>
      </c>
      <c r="AC8" s="1554">
        <f t="shared" ref="AC8:AC46" si="5">D8/J8</f>
        <v>1</v>
      </c>
    </row>
    <row r="9" spans="1:29" s="1213" customFormat="1" ht="15">
      <c r="A9" s="2865"/>
      <c r="B9" s="2872" t="s">
        <v>2752</v>
      </c>
      <c r="C9" s="3196" t="s">
        <v>3110</v>
      </c>
      <c r="D9" s="252">
        <v>100</v>
      </c>
      <c r="E9" s="3197" t="s">
        <v>3110</v>
      </c>
      <c r="F9" s="857">
        <f>SUMIF(63:63,E9,64:64)-SUMIF(63:63,C9,64:64)+100</f>
        <v>100</v>
      </c>
      <c r="G9" s="3198" t="s">
        <v>3110</v>
      </c>
      <c r="H9" s="252">
        <f>SUMIF(63:63,G9,64:64)-SUMIF(63:63,C9,64:64)+100</f>
        <v>100</v>
      </c>
      <c r="I9" s="3198" t="s">
        <v>3111</v>
      </c>
      <c r="J9" s="252">
        <f>SUMIF(63:63,I9,64:64)-SUMIF(63:63,C9,64:64)+100</f>
        <v>100</v>
      </c>
      <c r="K9" s="853"/>
      <c r="L9" s="2117"/>
      <c r="M9" s="2118"/>
      <c r="N9" s="2118"/>
      <c r="O9" s="2119"/>
      <c r="P9" s="3395" t="s">
        <v>535</v>
      </c>
      <c r="Q9" s="1144" t="str">
        <f t="shared" ref="Q9:Q15" si="6">B9</f>
        <v>用途</v>
      </c>
      <c r="R9" s="1551" t="s">
        <v>8</v>
      </c>
      <c r="S9" s="1552">
        <f t="shared" si="0"/>
        <v>100</v>
      </c>
      <c r="T9" s="1551" t="s">
        <v>8</v>
      </c>
      <c r="U9" s="1552">
        <f t="shared" si="1"/>
        <v>100</v>
      </c>
      <c r="V9" s="1551" t="s">
        <v>8</v>
      </c>
      <c r="W9" s="1552">
        <f t="shared" si="2"/>
        <v>100</v>
      </c>
      <c r="X9" s="1553"/>
      <c r="Y9" s="3352" t="s">
        <v>536</v>
      </c>
      <c r="Z9" s="1143" t="str">
        <f t="shared" ref="Z9:Z15" si="7">Q9</f>
        <v>用途</v>
      </c>
      <c r="AA9" s="1554">
        <f t="shared" si="3"/>
        <v>1</v>
      </c>
      <c r="AB9" s="1554">
        <f t="shared" si="4"/>
        <v>1</v>
      </c>
      <c r="AC9" s="1554">
        <f t="shared" si="5"/>
        <v>1</v>
      </c>
    </row>
    <row r="10" spans="1:29" s="1331" customFormat="1" ht="27">
      <c r="A10" s="2866"/>
      <c r="B10" s="2871" t="s">
        <v>2753</v>
      </c>
      <c r="C10" s="859" t="s">
        <v>3112</v>
      </c>
      <c r="D10" s="253">
        <v>100</v>
      </c>
      <c r="E10" s="860" t="s">
        <v>3112</v>
      </c>
      <c r="F10" s="861">
        <f>SUMIF(65:65,E10,66:66)-SUMIF(65:65,C10,66:66)+100</f>
        <v>100</v>
      </c>
      <c r="G10" s="859" t="s">
        <v>3112</v>
      </c>
      <c r="H10" s="253">
        <f>SUMIF(65:65,G10,66:66)-SUMIF(65:65,C10,66:66)+100</f>
        <v>100</v>
      </c>
      <c r="I10" s="859" t="s">
        <v>3112</v>
      </c>
      <c r="J10" s="253">
        <f>SUMIF(65:65,I10,66:66)-SUMIF(65:65,C10,66:66)+100</f>
        <v>100</v>
      </c>
      <c r="K10" s="862"/>
      <c r="L10" s="2120"/>
      <c r="M10" s="2160"/>
      <c r="N10" s="2160"/>
      <c r="O10" s="2121"/>
      <c r="P10" s="3395"/>
      <c r="Q10" s="1144" t="str">
        <f t="shared" si="6"/>
        <v>土地使用年限（年）</v>
      </c>
      <c r="R10" s="1551" t="s">
        <v>8</v>
      </c>
      <c r="S10" s="1552">
        <f t="shared" si="0"/>
        <v>100</v>
      </c>
      <c r="T10" s="1551" t="s">
        <v>8</v>
      </c>
      <c r="U10" s="1552">
        <f t="shared" si="1"/>
        <v>100</v>
      </c>
      <c r="V10" s="1551" t="s">
        <v>8</v>
      </c>
      <c r="W10" s="1552">
        <f t="shared" si="2"/>
        <v>100</v>
      </c>
      <c r="X10" s="1553"/>
      <c r="Y10" s="3352"/>
      <c r="Z10" s="1143" t="str">
        <f t="shared" si="7"/>
        <v>土地使用年限（年）</v>
      </c>
      <c r="AA10" s="1554">
        <f t="shared" si="3"/>
        <v>1</v>
      </c>
      <c r="AB10" s="1554">
        <f t="shared" si="4"/>
        <v>1</v>
      </c>
      <c r="AC10" s="1554">
        <f t="shared" si="5"/>
        <v>1</v>
      </c>
    </row>
    <row r="11" spans="1:29" ht="15">
      <c r="A11" s="2867"/>
      <c r="B11" s="2871" t="s">
        <v>2754</v>
      </c>
      <c r="C11" s="531">
        <v>2</v>
      </c>
      <c r="D11" s="253">
        <v>100</v>
      </c>
      <c r="E11" s="532">
        <f>住宅案例!N3</f>
        <v>2.4700000000000002</v>
      </c>
      <c r="F11" s="861">
        <f>LOOKUP(E11,68:68,69:69)-LOOKUP(C11,68:68,69:69)+100</f>
        <v>100</v>
      </c>
      <c r="G11" s="531">
        <f>住宅案例!N4</f>
        <v>2.61</v>
      </c>
      <c r="H11" s="253">
        <f>LOOKUP(G11,68:68,69:69)-LOOKUP(C11,68:68,69:69)+100</f>
        <v>100</v>
      </c>
      <c r="I11" s="531">
        <f>住宅案例!N5</f>
        <v>2.17</v>
      </c>
      <c r="J11" s="253">
        <f>LOOKUP(I11,68:68,69:69)-LOOKUP(C11,68:68,69:69)+100</f>
        <v>100</v>
      </c>
      <c r="K11" s="862">
        <v>2</v>
      </c>
      <c r="L11" s="2122"/>
      <c r="M11" s="2116"/>
      <c r="N11" s="2116"/>
      <c r="O11" s="2123"/>
      <c r="P11" s="3395"/>
      <c r="Q11" s="1144" t="str">
        <f t="shared" si="6"/>
        <v>容积率</v>
      </c>
      <c r="R11" s="1551" t="s">
        <v>11</v>
      </c>
      <c r="S11" s="1552">
        <f t="shared" si="0"/>
        <v>100</v>
      </c>
      <c r="T11" s="1551" t="s">
        <v>11</v>
      </c>
      <c r="U11" s="1552">
        <f t="shared" si="1"/>
        <v>100</v>
      </c>
      <c r="V11" s="1551" t="s">
        <v>11</v>
      </c>
      <c r="W11" s="1552">
        <f t="shared" si="2"/>
        <v>100</v>
      </c>
      <c r="X11" s="1553"/>
      <c r="Y11" s="3352"/>
      <c r="Z11" s="1143" t="str">
        <f t="shared" si="7"/>
        <v>容积率</v>
      </c>
      <c r="AA11" s="1554">
        <f t="shared" si="3"/>
        <v>1</v>
      </c>
      <c r="AB11" s="1554">
        <f t="shared" si="4"/>
        <v>1</v>
      </c>
      <c r="AC11" s="1554">
        <f t="shared" si="5"/>
        <v>1</v>
      </c>
    </row>
    <row r="12" spans="1:29" s="1213"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5"/>
      <c r="Q12" s="1144">
        <f t="shared" si="6"/>
        <v>111</v>
      </c>
      <c r="R12" s="1551" t="s">
        <v>11</v>
      </c>
      <c r="S12" s="1552">
        <f t="shared" si="0"/>
        <v>100</v>
      </c>
      <c r="T12" s="1551" t="s">
        <v>11</v>
      </c>
      <c r="U12" s="1552">
        <f t="shared" si="1"/>
        <v>100</v>
      </c>
      <c r="V12" s="1551" t="s">
        <v>11</v>
      </c>
      <c r="W12" s="1552">
        <f t="shared" si="2"/>
        <v>100</v>
      </c>
      <c r="X12" s="1553"/>
      <c r="Y12" s="3352"/>
      <c r="Z12" s="1143">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5"/>
      <c r="Q13" s="1144">
        <f t="shared" si="6"/>
        <v>111</v>
      </c>
      <c r="R13" s="1551" t="s">
        <v>11</v>
      </c>
      <c r="S13" s="1552">
        <f t="shared" si="0"/>
        <v>100</v>
      </c>
      <c r="T13" s="1551" t="s">
        <v>11</v>
      </c>
      <c r="U13" s="1552">
        <f t="shared" si="1"/>
        <v>100</v>
      </c>
      <c r="V13" s="1551" t="s">
        <v>11</v>
      </c>
      <c r="W13" s="1552">
        <f t="shared" si="2"/>
        <v>100</v>
      </c>
      <c r="X13" s="1553"/>
      <c r="Y13" s="3352"/>
      <c r="Z13" s="1143">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5"/>
      <c r="Q14" s="1144">
        <f t="shared" si="6"/>
        <v>111</v>
      </c>
      <c r="R14" s="1551" t="s">
        <v>11</v>
      </c>
      <c r="S14" s="1552">
        <f t="shared" si="0"/>
        <v>100</v>
      </c>
      <c r="T14" s="1551" t="s">
        <v>11</v>
      </c>
      <c r="U14" s="1552">
        <f t="shared" si="1"/>
        <v>100</v>
      </c>
      <c r="V14" s="1551" t="s">
        <v>11</v>
      </c>
      <c r="W14" s="1552">
        <f t="shared" si="2"/>
        <v>100</v>
      </c>
      <c r="X14" s="1553"/>
      <c r="Y14" s="3352"/>
      <c r="Z14" s="1143">
        <f t="shared" si="7"/>
        <v>111</v>
      </c>
      <c r="AA14" s="1554">
        <f t="shared" si="3"/>
        <v>1</v>
      </c>
      <c r="AB14" s="1554">
        <f t="shared" si="4"/>
        <v>1</v>
      </c>
      <c r="AC14" s="1554">
        <f t="shared" si="5"/>
        <v>1</v>
      </c>
    </row>
    <row r="15" spans="1:29" ht="99.75">
      <c r="A15" s="2861"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102</v>
      </c>
      <c r="I15" s="548"/>
      <c r="J15" s="547">
        <f>SUMIF(76:76,I16,77:77)-SUMIF(76:76,C16,77:77)+100</f>
        <v>102</v>
      </c>
      <c r="K15" s="866">
        <v>2</v>
      </c>
      <c r="L15" s="2124"/>
      <c r="M15" s="2116"/>
      <c r="N15" s="2116"/>
      <c r="O15" s="2123"/>
      <c r="P15" s="3397" t="s">
        <v>540</v>
      </c>
      <c r="Q15" s="1555" t="str">
        <f t="shared" si="6"/>
        <v>居住社区成熟度</v>
      </c>
      <c r="R15" s="1556" t="s">
        <v>11</v>
      </c>
      <c r="S15" s="1557">
        <f t="shared" si="0"/>
        <v>100</v>
      </c>
      <c r="T15" s="1556" t="s">
        <v>11</v>
      </c>
      <c r="U15" s="1557">
        <f t="shared" si="1"/>
        <v>102</v>
      </c>
      <c r="V15" s="1556" t="s">
        <v>11</v>
      </c>
      <c r="W15" s="1557">
        <f t="shared" si="2"/>
        <v>102</v>
      </c>
      <c r="X15" s="1550"/>
      <c r="Y15" s="3397" t="s">
        <v>540</v>
      </c>
      <c r="Z15" s="1558" t="str">
        <f t="shared" si="7"/>
        <v>居住社区成熟度</v>
      </c>
      <c r="AA15" s="1559">
        <f t="shared" si="3"/>
        <v>1</v>
      </c>
      <c r="AB15" s="1559">
        <f t="shared" si="4"/>
        <v>0.98039215686274506</v>
      </c>
      <c r="AC15" s="1559">
        <f t="shared" si="5"/>
        <v>0.98039215686274506</v>
      </c>
    </row>
    <row r="16" spans="1:29" ht="15">
      <c r="A16" s="530"/>
      <c r="B16" s="867"/>
      <c r="C16" s="3183" t="s">
        <v>3118</v>
      </c>
      <c r="D16" s="553"/>
      <c r="E16" s="3182" t="s">
        <v>3113</v>
      </c>
      <c r="F16" s="555"/>
      <c r="G16" s="3181" t="s">
        <v>3119</v>
      </c>
      <c r="H16" s="557"/>
      <c r="I16" s="3182" t="s">
        <v>3114</v>
      </c>
      <c r="J16" s="553"/>
      <c r="K16" s="868"/>
      <c r="L16" s="2124"/>
      <c r="M16" s="2116"/>
      <c r="N16" s="2116"/>
      <c r="O16" s="2123"/>
      <c r="P16" s="3398"/>
      <c r="Q16" s="1555"/>
      <c r="R16" s="1556"/>
      <c r="S16" s="1557"/>
      <c r="T16" s="1556"/>
      <c r="U16" s="1557"/>
      <c r="V16" s="1556"/>
      <c r="W16" s="1557"/>
      <c r="X16" s="1550"/>
      <c r="Y16" s="3398"/>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24"/>
      <c r="M17" s="2116"/>
      <c r="N17" s="2116"/>
      <c r="O17" s="2123"/>
      <c r="P17" s="3398"/>
      <c r="Q17" s="1555" t="str">
        <f>B17</f>
        <v>交通便捷度</v>
      </c>
      <c r="R17" s="1556" t="s">
        <v>11</v>
      </c>
      <c r="S17" s="1557">
        <f>F17</f>
        <v>100</v>
      </c>
      <c r="T17" s="1556" t="s">
        <v>11</v>
      </c>
      <c r="U17" s="1557">
        <f>H17</f>
        <v>100</v>
      </c>
      <c r="V17" s="1556" t="s">
        <v>11</v>
      </c>
      <c r="W17" s="1557">
        <f>J17</f>
        <v>100</v>
      </c>
      <c r="X17" s="1550"/>
      <c r="Y17" s="3398"/>
      <c r="Z17" s="1558" t="str">
        <f>Q17</f>
        <v>交通便捷度</v>
      </c>
      <c r="AA17" s="1559">
        <f t="shared" si="3"/>
        <v>1</v>
      </c>
      <c r="AB17" s="1559">
        <f t="shared" si="4"/>
        <v>1</v>
      </c>
      <c r="AC17" s="1559">
        <f t="shared" si="5"/>
        <v>1</v>
      </c>
    </row>
    <row r="18" spans="1:29" ht="15">
      <c r="A18" s="530"/>
      <c r="B18" s="593"/>
      <c r="C18" s="3199" t="s">
        <v>3119</v>
      </c>
      <c r="D18" s="557"/>
      <c r="E18" s="3200" t="s">
        <v>3119</v>
      </c>
      <c r="F18" s="561"/>
      <c r="G18" s="3201" t="s">
        <v>3119</v>
      </c>
      <c r="H18" s="553"/>
      <c r="I18" s="3200" t="s">
        <v>3114</v>
      </c>
      <c r="J18" s="553"/>
      <c r="K18" s="868"/>
      <c r="L18" s="2124"/>
      <c r="M18" s="2116"/>
      <c r="N18" s="2116"/>
      <c r="O18" s="2123"/>
      <c r="P18" s="3398"/>
      <c r="Q18" s="1555"/>
      <c r="R18" s="1556"/>
      <c r="S18" s="1557"/>
      <c r="T18" s="1556"/>
      <c r="U18" s="1557"/>
      <c r="V18" s="1556"/>
      <c r="W18" s="1557"/>
      <c r="X18" s="1550"/>
      <c r="Y18" s="3398"/>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98</v>
      </c>
      <c r="G19" s="570"/>
      <c r="H19" s="557">
        <f>SUMIF(80:80,G20,81:81)-SUMIF(80:80,C20,81:81)+100</f>
        <v>100</v>
      </c>
      <c r="I19" s="568"/>
      <c r="J19" s="557">
        <f>SUMIF(80:80,I20,81:81)-SUMIF(80:80,C20,81:81)+100</f>
        <v>100</v>
      </c>
      <c r="K19" s="866">
        <v>2</v>
      </c>
      <c r="L19" s="2124"/>
      <c r="M19" s="2116"/>
      <c r="N19" s="2116"/>
      <c r="O19" s="2123"/>
      <c r="P19" s="3398"/>
      <c r="Q19" s="1555" t="str">
        <f>B19</f>
        <v>公共配套设施</v>
      </c>
      <c r="R19" s="1556" t="s">
        <v>11</v>
      </c>
      <c r="S19" s="1557">
        <f>F19</f>
        <v>98</v>
      </c>
      <c r="T19" s="1556" t="s">
        <v>11</v>
      </c>
      <c r="U19" s="1557">
        <f>H19</f>
        <v>100</v>
      </c>
      <c r="V19" s="1556" t="s">
        <v>11</v>
      </c>
      <c r="W19" s="1557">
        <f>J19</f>
        <v>100</v>
      </c>
      <c r="X19" s="1550"/>
      <c r="Y19" s="3398"/>
      <c r="Z19" s="1558" t="str">
        <f>Q19</f>
        <v>公共配套设施</v>
      </c>
      <c r="AA19" s="1559">
        <f t="shared" si="3"/>
        <v>1.0204081632653061</v>
      </c>
      <c r="AB19" s="1559">
        <f t="shared" si="4"/>
        <v>1</v>
      </c>
      <c r="AC19" s="1559">
        <f t="shared" si="5"/>
        <v>1</v>
      </c>
    </row>
    <row r="20" spans="1:29" ht="15">
      <c r="A20" s="530"/>
      <c r="B20" s="593"/>
      <c r="C20" s="3183" t="s">
        <v>3119</v>
      </c>
      <c r="D20" s="553"/>
      <c r="E20" s="3182" t="s">
        <v>3113</v>
      </c>
      <c r="F20" s="555"/>
      <c r="G20" s="3181" t="s">
        <v>3119</v>
      </c>
      <c r="H20" s="553"/>
      <c r="I20" s="3182" t="s">
        <v>3114</v>
      </c>
      <c r="J20" s="553"/>
      <c r="K20" s="868"/>
      <c r="L20" s="2124"/>
      <c r="M20" s="2116"/>
      <c r="N20" s="2116"/>
      <c r="O20" s="2123"/>
      <c r="P20" s="3398"/>
      <c r="Q20" s="1555"/>
      <c r="R20" s="1556"/>
      <c r="S20" s="1557"/>
      <c r="T20" s="1556"/>
      <c r="U20" s="1557"/>
      <c r="V20" s="1556"/>
      <c r="W20" s="1557"/>
      <c r="X20" s="1550"/>
      <c r="Y20" s="3398"/>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398"/>
      <c r="Q21" s="2540" t="str">
        <f>B21</f>
        <v>基础设施水平</v>
      </c>
      <c r="R21" s="1556" t="s">
        <v>11</v>
      </c>
      <c r="S21" s="1557">
        <f>F21</f>
        <v>100</v>
      </c>
      <c r="T21" s="1556" t="s">
        <v>11</v>
      </c>
      <c r="U21" s="1557">
        <f>H21</f>
        <v>100</v>
      </c>
      <c r="V21" s="1556" t="s">
        <v>11</v>
      </c>
      <c r="W21" s="1557">
        <f>J21</f>
        <v>100</v>
      </c>
      <c r="X21" s="2542"/>
      <c r="Y21" s="3398"/>
      <c r="Z21" s="2541" t="str">
        <f>Q21</f>
        <v>基础设施水平</v>
      </c>
      <c r="AA21" s="1559">
        <f>D21/F21</f>
        <v>1</v>
      </c>
      <c r="AB21" s="1559">
        <f>D21/H21</f>
        <v>1</v>
      </c>
      <c r="AC21" s="1559">
        <f>D21/J21</f>
        <v>1</v>
      </c>
    </row>
    <row r="22" spans="1:29" ht="15">
      <c r="A22" s="530"/>
      <c r="B22" s="919"/>
      <c r="C22" s="3199" t="s">
        <v>3158</v>
      </c>
      <c r="D22" s="553"/>
      <c r="E22" s="3183" t="s">
        <v>3158</v>
      </c>
      <c r="F22" s="555"/>
      <c r="G22" s="3183" t="s">
        <v>3158</v>
      </c>
      <c r="H22" s="553"/>
      <c r="I22" s="3183" t="s">
        <v>3158</v>
      </c>
      <c r="J22" s="553"/>
      <c r="K22" s="2560"/>
      <c r="L22" s="2124"/>
      <c r="M22" s="2116"/>
      <c r="N22" s="2116"/>
      <c r="O22" s="2123"/>
      <c r="P22" s="3398"/>
      <c r="Q22" s="2540"/>
      <c r="R22" s="1556"/>
      <c r="S22" s="1557"/>
      <c r="T22" s="1556"/>
      <c r="U22" s="1557"/>
      <c r="V22" s="1556"/>
      <c r="W22" s="1557"/>
      <c r="X22" s="2542"/>
      <c r="Y22" s="3398"/>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4"/>
      <c r="M23" s="2116"/>
      <c r="N23" s="2116"/>
      <c r="O23" s="2123"/>
      <c r="P23" s="3398"/>
      <c r="Q23" s="1555" t="str">
        <f>B23</f>
        <v>自然及人文环境</v>
      </c>
      <c r="R23" s="1556" t="s">
        <v>11</v>
      </c>
      <c r="S23" s="1557">
        <f>F23</f>
        <v>100</v>
      </c>
      <c r="T23" s="1556" t="s">
        <v>11</v>
      </c>
      <c r="U23" s="1557">
        <f>H23</f>
        <v>100</v>
      </c>
      <c r="V23" s="1556" t="s">
        <v>11</v>
      </c>
      <c r="W23" s="1557">
        <f>J23</f>
        <v>100</v>
      </c>
      <c r="X23" s="1550"/>
      <c r="Y23" s="3398"/>
      <c r="Z23" s="1558" t="str">
        <f>Q23</f>
        <v>自然及人文环境</v>
      </c>
      <c r="AA23" s="1559">
        <f t="shared" si="3"/>
        <v>1</v>
      </c>
      <c r="AB23" s="1559">
        <f t="shared" si="4"/>
        <v>1</v>
      </c>
      <c r="AC23" s="1559">
        <f t="shared" si="5"/>
        <v>1</v>
      </c>
    </row>
    <row r="24" spans="1:29" ht="15">
      <c r="A24" s="530"/>
      <c r="B24" s="593"/>
      <c r="C24" s="3183" t="s">
        <v>3118</v>
      </c>
      <c r="D24" s="553"/>
      <c r="E24" s="3182" t="s">
        <v>3118</v>
      </c>
      <c r="F24" s="555"/>
      <c r="G24" s="3181" t="s">
        <v>3118</v>
      </c>
      <c r="H24" s="553"/>
      <c r="I24" s="3182" t="s">
        <v>3118</v>
      </c>
      <c r="J24" s="553"/>
      <c r="K24" s="868"/>
      <c r="L24" s="2124"/>
      <c r="M24" s="2116"/>
      <c r="N24" s="2116"/>
      <c r="O24" s="2123"/>
      <c r="P24" s="3398"/>
      <c r="Q24" s="1555"/>
      <c r="R24" s="1556"/>
      <c r="S24" s="1557"/>
      <c r="T24" s="1556"/>
      <c r="U24" s="1557"/>
      <c r="V24" s="1556"/>
      <c r="W24" s="1557"/>
      <c r="X24" s="1550"/>
      <c r="Y24" s="3398"/>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398"/>
      <c r="Q25" s="1555" t="str">
        <f t="shared" ref="Q25:Q46" si="8">B25</f>
        <v>楼层-1</v>
      </c>
      <c r="R25" s="1556" t="s">
        <v>11</v>
      </c>
      <c r="S25" s="1557">
        <f>F25</f>
        <v>100</v>
      </c>
      <c r="T25" s="1556" t="s">
        <v>11</v>
      </c>
      <c r="U25" s="1557">
        <f>H25</f>
        <v>100</v>
      </c>
      <c r="V25" s="1556" t="s">
        <v>11</v>
      </c>
      <c r="W25" s="1557">
        <f>J25</f>
        <v>100</v>
      </c>
      <c r="X25" s="1550"/>
      <c r="Y25" s="3398"/>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398"/>
      <c r="Q26" s="1555" t="str">
        <f t="shared" si="8"/>
        <v>朝向</v>
      </c>
      <c r="R26" s="1556" t="s">
        <v>11</v>
      </c>
      <c r="S26" s="1557">
        <f>F26</f>
        <v>100</v>
      </c>
      <c r="T26" s="1556" t="s">
        <v>11</v>
      </c>
      <c r="U26" s="1557">
        <f>H26</f>
        <v>100</v>
      </c>
      <c r="V26" s="1556" t="s">
        <v>11</v>
      </c>
      <c r="W26" s="1557">
        <f>J26</f>
        <v>100</v>
      </c>
      <c r="X26" s="1550"/>
      <c r="Y26" s="3398"/>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398"/>
      <c r="Q27" s="1144" t="str">
        <f t="shared" si="8"/>
        <v>道路级别</v>
      </c>
      <c r="R27" s="1551" t="s">
        <v>11</v>
      </c>
      <c r="S27" s="1552">
        <f>F27</f>
        <v>100</v>
      </c>
      <c r="T27" s="1551" t="s">
        <v>11</v>
      </c>
      <c r="U27" s="1552">
        <f>H27</f>
        <v>100</v>
      </c>
      <c r="V27" s="1551" t="s">
        <v>11</v>
      </c>
      <c r="W27" s="1552">
        <f>J27</f>
        <v>100</v>
      </c>
      <c r="X27" s="1553"/>
      <c r="Y27" s="3398"/>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398"/>
      <c r="Q28" s="1555">
        <f t="shared" si="8"/>
        <v>111</v>
      </c>
      <c r="R28" s="1556" t="s">
        <v>11</v>
      </c>
      <c r="S28" s="1557">
        <f t="shared" ref="S28:S46" si="9">F28</f>
        <v>100</v>
      </c>
      <c r="T28" s="1556" t="s">
        <v>11</v>
      </c>
      <c r="U28" s="1557">
        <f t="shared" ref="U28:U46" si="10">H28</f>
        <v>100</v>
      </c>
      <c r="V28" s="1556" t="s">
        <v>11</v>
      </c>
      <c r="W28" s="1557">
        <f t="shared" ref="W28:W46" si="11">J28</f>
        <v>100</v>
      </c>
      <c r="X28" s="1550"/>
      <c r="Y28" s="3398"/>
      <c r="Z28" s="1558">
        <f t="shared" ref="Z28:Z46" si="12">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398"/>
      <c r="Q29" s="1555">
        <f t="shared" si="8"/>
        <v>111</v>
      </c>
      <c r="R29" s="1556" t="s">
        <v>11</v>
      </c>
      <c r="S29" s="1557">
        <f t="shared" si="9"/>
        <v>100</v>
      </c>
      <c r="T29" s="1556" t="s">
        <v>11</v>
      </c>
      <c r="U29" s="1557">
        <f t="shared" si="10"/>
        <v>100</v>
      </c>
      <c r="V29" s="1556" t="s">
        <v>11</v>
      </c>
      <c r="W29" s="1557">
        <f t="shared" si="11"/>
        <v>100</v>
      </c>
      <c r="X29" s="1550"/>
      <c r="Y29" s="3398"/>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398"/>
      <c r="Q30" s="1555">
        <f t="shared" si="8"/>
        <v>111</v>
      </c>
      <c r="R30" s="1556" t="s">
        <v>11</v>
      </c>
      <c r="S30" s="1557">
        <f t="shared" si="9"/>
        <v>100</v>
      </c>
      <c r="T30" s="1556" t="s">
        <v>11</v>
      </c>
      <c r="U30" s="1557">
        <f t="shared" si="10"/>
        <v>100</v>
      </c>
      <c r="V30" s="1556" t="s">
        <v>11</v>
      </c>
      <c r="W30" s="1557">
        <f t="shared" si="11"/>
        <v>100</v>
      </c>
      <c r="X30" s="1550"/>
      <c r="Y30" s="3398"/>
      <c r="Z30" s="1558">
        <f t="shared" si="12"/>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398"/>
      <c r="Q31" s="1555">
        <f t="shared" si="8"/>
        <v>111</v>
      </c>
      <c r="R31" s="1556" t="s">
        <v>11</v>
      </c>
      <c r="S31" s="1557">
        <f t="shared" si="9"/>
        <v>100</v>
      </c>
      <c r="T31" s="1556" t="s">
        <v>11</v>
      </c>
      <c r="U31" s="1557">
        <f t="shared" si="10"/>
        <v>100</v>
      </c>
      <c r="V31" s="1556" t="s">
        <v>11</v>
      </c>
      <c r="W31" s="1557">
        <f t="shared" si="11"/>
        <v>100</v>
      </c>
      <c r="X31" s="1550"/>
      <c r="Y31" s="3398"/>
      <c r="Z31" s="1558">
        <f t="shared" si="12"/>
        <v>111</v>
      </c>
      <c r="AA31" s="1559">
        <f t="shared" si="3"/>
        <v>1</v>
      </c>
      <c r="AB31" s="1559">
        <f t="shared" si="4"/>
        <v>1</v>
      </c>
      <c r="AC31" s="1559">
        <f t="shared" si="5"/>
        <v>1</v>
      </c>
    </row>
    <row r="32" spans="1:29" ht="15">
      <c r="A32" s="2859" t="s">
        <v>2751</v>
      </c>
      <c r="B32" s="172" t="s">
        <v>725</v>
      </c>
      <c r="C32" s="3202" t="s">
        <v>3115</v>
      </c>
      <c r="D32" s="595">
        <v>100</v>
      </c>
      <c r="E32" s="3203" t="s">
        <v>3115</v>
      </c>
      <c r="F32" s="573">
        <f>SUMIF(100:100,E32,101:101)-SUMIF(100:100,C32,101:101)+100</f>
        <v>100</v>
      </c>
      <c r="G32" s="3202" t="s">
        <v>3115</v>
      </c>
      <c r="H32" s="595">
        <f>SUMIF(100:100,G32,101:101)-SUMIF(100:100,C32,101:101)+100</f>
        <v>100</v>
      </c>
      <c r="I32" s="3203" t="s">
        <v>3115</v>
      </c>
      <c r="J32" s="538">
        <f>SUMIF(100:100,I32,101:101)-SUMIF(100:100,C32,101:101)+100</f>
        <v>100</v>
      </c>
      <c r="K32" s="862"/>
      <c r="L32" s="2124"/>
      <c r="M32" s="2116"/>
      <c r="N32" s="2116"/>
      <c r="O32" s="2123"/>
      <c r="P32" s="3399" t="s">
        <v>550</v>
      </c>
      <c r="Q32" s="1555" t="str">
        <f t="shared" si="8"/>
        <v>建筑类型</v>
      </c>
      <c r="R32" s="1556" t="s">
        <v>11</v>
      </c>
      <c r="S32" s="1557">
        <f t="shared" si="9"/>
        <v>100</v>
      </c>
      <c r="T32" s="1556" t="s">
        <v>11</v>
      </c>
      <c r="U32" s="1557">
        <f t="shared" si="10"/>
        <v>100</v>
      </c>
      <c r="V32" s="1556" t="s">
        <v>11</v>
      </c>
      <c r="W32" s="1557">
        <f t="shared" si="11"/>
        <v>100</v>
      </c>
      <c r="X32" s="1550"/>
      <c r="Y32" s="3400" t="s">
        <v>550</v>
      </c>
      <c r="Z32" s="1558" t="str">
        <f t="shared" si="12"/>
        <v>建筑类型</v>
      </c>
      <c r="AA32" s="1559">
        <f t="shared" si="3"/>
        <v>1</v>
      </c>
      <c r="AB32" s="1559">
        <f t="shared" si="4"/>
        <v>1</v>
      </c>
      <c r="AC32" s="1559">
        <f t="shared" si="5"/>
        <v>1</v>
      </c>
    </row>
    <row r="33" spans="1:29" s="1332" customFormat="1" ht="15">
      <c r="A33" s="601"/>
      <c r="B33" s="525" t="s">
        <v>726</v>
      </c>
      <c r="C33" s="877">
        <f>'数据-基础表'!I13</f>
        <v>84143.78</v>
      </c>
      <c r="D33" s="253">
        <v>100</v>
      </c>
      <c r="E33" s="532">
        <f>住宅案例!O3</f>
        <v>640000</v>
      </c>
      <c r="F33" s="861">
        <f>LOOKUP(E33,103:103,104:104)-LOOKUP(C33,103:103,104:104)+100</f>
        <v>106</v>
      </c>
      <c r="G33" s="531">
        <f>住宅案例!O4</f>
        <v>500000</v>
      </c>
      <c r="H33" s="253">
        <f>LOOKUP(G33,103:103,104:104)-LOOKUP(C33,103:103,104:104)+100</f>
        <v>104</v>
      </c>
      <c r="I33" s="532">
        <f>住宅案例!O5</f>
        <v>304800</v>
      </c>
      <c r="J33" s="253">
        <f>LOOKUP(I33,103:103,104:104)-LOOKUP(C33,103:103,104:104)+100</f>
        <v>102</v>
      </c>
      <c r="K33" s="863"/>
      <c r="L33" s="2122"/>
      <c r="M33" s="2153"/>
      <c r="N33" s="2153"/>
      <c r="O33" s="2125"/>
      <c r="P33" s="3400"/>
      <c r="Q33" s="1587" t="str">
        <f t="shared" si="8"/>
        <v>项目建筑规模</v>
      </c>
      <c r="R33" s="1560" t="s">
        <v>11</v>
      </c>
      <c r="S33" s="1561">
        <f t="shared" si="9"/>
        <v>106</v>
      </c>
      <c r="T33" s="1560" t="s">
        <v>11</v>
      </c>
      <c r="U33" s="1561">
        <f t="shared" si="10"/>
        <v>104</v>
      </c>
      <c r="V33" s="1560" t="s">
        <v>11</v>
      </c>
      <c r="W33" s="1561">
        <f t="shared" si="11"/>
        <v>102</v>
      </c>
      <c r="X33" s="1562"/>
      <c r="Y33" s="3400"/>
      <c r="Z33" s="1563" t="str">
        <f t="shared" si="12"/>
        <v>项目建筑规模</v>
      </c>
      <c r="AA33" s="1559">
        <f t="shared" si="3"/>
        <v>0.94339622641509435</v>
      </c>
      <c r="AB33" s="1559">
        <f t="shared" si="4"/>
        <v>0.96153846153846156</v>
      </c>
      <c r="AC33" s="1559">
        <f t="shared" si="5"/>
        <v>0.98039215686274506</v>
      </c>
    </row>
    <row r="34" spans="1:29" ht="15">
      <c r="A34" s="592"/>
      <c r="B34" s="525" t="s">
        <v>727</v>
      </c>
      <c r="C34" s="878"/>
      <c r="D34" s="538">
        <v>100</v>
      </c>
      <c r="E34" s="879"/>
      <c r="F34" s="573">
        <f>SUMIF(105:105,E34,106:106)-SUMIF(105:105,C34,106:106)+100</f>
        <v>100</v>
      </c>
      <c r="G34" s="878"/>
      <c r="H34" s="538">
        <f>SUMIF(105:105,G34,106:106)-SUMIF(105:105,C34,106:106)+100</f>
        <v>100</v>
      </c>
      <c r="I34" s="879"/>
      <c r="J34" s="538">
        <f>SUMIF(105:105,I34,106:106)-SUMIF(105:105,C34,106:106)+100</f>
        <v>100</v>
      </c>
      <c r="K34" s="862"/>
      <c r="L34" s="2124"/>
      <c r="M34" s="2116"/>
      <c r="N34" s="2116"/>
      <c r="O34" s="2123"/>
      <c r="P34" s="3400"/>
      <c r="Q34" s="1555" t="str">
        <f t="shared" si="8"/>
        <v>建筑结构</v>
      </c>
      <c r="R34" s="1556" t="s">
        <v>11</v>
      </c>
      <c r="S34" s="1557">
        <f t="shared" si="9"/>
        <v>100</v>
      </c>
      <c r="T34" s="1556" t="s">
        <v>11</v>
      </c>
      <c r="U34" s="1557">
        <f t="shared" si="10"/>
        <v>100</v>
      </c>
      <c r="V34" s="1556" t="s">
        <v>11</v>
      </c>
      <c r="W34" s="1557">
        <f t="shared" si="11"/>
        <v>100</v>
      </c>
      <c r="X34" s="1550"/>
      <c r="Y34" s="3400"/>
      <c r="Z34" s="1558" t="str">
        <f t="shared" si="12"/>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00"/>
      <c r="Q35" s="1555" t="str">
        <f t="shared" si="8"/>
        <v>建筑品质</v>
      </c>
      <c r="R35" s="1556" t="s">
        <v>11</v>
      </c>
      <c r="S35" s="1557">
        <f t="shared" si="9"/>
        <v>100</v>
      </c>
      <c r="T35" s="1556" t="s">
        <v>11</v>
      </c>
      <c r="U35" s="1557">
        <f t="shared" si="10"/>
        <v>100</v>
      </c>
      <c r="V35" s="1556" t="s">
        <v>11</v>
      </c>
      <c r="W35" s="1557">
        <f t="shared" si="11"/>
        <v>100</v>
      </c>
      <c r="X35" s="1550"/>
      <c r="Y35" s="3400"/>
      <c r="Z35" s="1558" t="str">
        <f t="shared" si="12"/>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00"/>
      <c r="Q36" s="1555" t="str">
        <f t="shared" si="8"/>
        <v>公共部分装修</v>
      </c>
      <c r="R36" s="1556" t="s">
        <v>11</v>
      </c>
      <c r="S36" s="1557">
        <f t="shared" si="9"/>
        <v>100</v>
      </c>
      <c r="T36" s="1556" t="s">
        <v>11</v>
      </c>
      <c r="U36" s="1557">
        <f t="shared" si="10"/>
        <v>100</v>
      </c>
      <c r="V36" s="1556" t="s">
        <v>11</v>
      </c>
      <c r="W36" s="1557">
        <f t="shared" si="11"/>
        <v>100</v>
      </c>
      <c r="X36" s="1550"/>
      <c r="Y36" s="3400"/>
      <c r="Z36" s="1558" t="str">
        <f t="shared" si="12"/>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17"/>
      <c r="M37" s="2118"/>
      <c r="N37" s="2118"/>
      <c r="O37" s="2119"/>
      <c r="P37" s="3400"/>
      <c r="Q37" s="1144" t="str">
        <f t="shared" si="8"/>
        <v>成新度</v>
      </c>
      <c r="R37" s="1551" t="s">
        <v>11</v>
      </c>
      <c r="S37" s="1552">
        <f t="shared" si="9"/>
        <v>100</v>
      </c>
      <c r="T37" s="1551" t="s">
        <v>11</v>
      </c>
      <c r="U37" s="1552">
        <f t="shared" si="10"/>
        <v>100</v>
      </c>
      <c r="V37" s="1551" t="s">
        <v>11</v>
      </c>
      <c r="W37" s="1552">
        <f t="shared" si="11"/>
        <v>100</v>
      </c>
      <c r="X37" s="1553"/>
      <c r="Y37" s="3400"/>
      <c r="Z37" s="1143" t="str">
        <f t="shared" si="12"/>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00" t="s">
        <v>550</v>
      </c>
      <c r="Q38" s="1555" t="str">
        <f t="shared" si="8"/>
        <v>物业管理</v>
      </c>
      <c r="R38" s="1556" t="s">
        <v>11</v>
      </c>
      <c r="S38" s="1557">
        <f t="shared" si="9"/>
        <v>100</v>
      </c>
      <c r="T38" s="1556" t="s">
        <v>11</v>
      </c>
      <c r="U38" s="1557">
        <f t="shared" si="10"/>
        <v>100</v>
      </c>
      <c r="V38" s="1556" t="s">
        <v>11</v>
      </c>
      <c r="W38" s="1557">
        <f t="shared" si="11"/>
        <v>100</v>
      </c>
      <c r="X38" s="1550"/>
      <c r="Y38" s="3400" t="s">
        <v>550</v>
      </c>
      <c r="Z38" s="1558" t="str">
        <f t="shared" si="12"/>
        <v>物业管理</v>
      </c>
      <c r="AA38" s="1559">
        <f t="shared" si="3"/>
        <v>1</v>
      </c>
      <c r="AB38" s="1559">
        <f t="shared" si="4"/>
        <v>1</v>
      </c>
      <c r="AC38" s="1559">
        <f t="shared" si="5"/>
        <v>1</v>
      </c>
    </row>
    <row r="39" spans="1:29" ht="15">
      <c r="A39" s="592"/>
      <c r="B39" s="1877"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00"/>
      <c r="Q39" s="1555" t="str">
        <f t="shared" si="8"/>
        <v>市政基础设施</v>
      </c>
      <c r="R39" s="1556" t="s">
        <v>11</v>
      </c>
      <c r="S39" s="1557">
        <f t="shared" si="9"/>
        <v>100</v>
      </c>
      <c r="T39" s="1556" t="s">
        <v>11</v>
      </c>
      <c r="U39" s="1557">
        <f t="shared" si="10"/>
        <v>100</v>
      </c>
      <c r="V39" s="1556" t="s">
        <v>11</v>
      </c>
      <c r="W39" s="1557">
        <f t="shared" si="11"/>
        <v>100</v>
      </c>
      <c r="X39" s="1550"/>
      <c r="Y39" s="3400"/>
      <c r="Z39" s="1558" t="str">
        <f t="shared" si="12"/>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00"/>
      <c r="Q40" s="1555" t="str">
        <f t="shared" si="8"/>
        <v>房型</v>
      </c>
      <c r="R40" s="1556" t="s">
        <v>11</v>
      </c>
      <c r="S40" s="1557">
        <f t="shared" si="9"/>
        <v>100</v>
      </c>
      <c r="T40" s="1556" t="s">
        <v>11</v>
      </c>
      <c r="U40" s="1557">
        <f t="shared" si="10"/>
        <v>100</v>
      </c>
      <c r="V40" s="1556" t="s">
        <v>11</v>
      </c>
      <c r="W40" s="1557">
        <f t="shared" si="11"/>
        <v>100</v>
      </c>
      <c r="X40" s="1550"/>
      <c r="Y40" s="3400"/>
      <c r="Z40" s="1558" t="str">
        <f t="shared" si="12"/>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00"/>
      <c r="Q41" s="1587" t="str">
        <f t="shared" si="8"/>
        <v>单套/主力户型建筑面积</v>
      </c>
      <c r="R41" s="1560" t="s">
        <v>11</v>
      </c>
      <c r="S41" s="1561">
        <f t="shared" si="9"/>
        <v>100</v>
      </c>
      <c r="T41" s="1560" t="s">
        <v>11</v>
      </c>
      <c r="U41" s="1561">
        <f t="shared" si="10"/>
        <v>100</v>
      </c>
      <c r="V41" s="1560" t="s">
        <v>11</v>
      </c>
      <c r="W41" s="1561">
        <f t="shared" si="11"/>
        <v>100</v>
      </c>
      <c r="X41" s="1562"/>
      <c r="Y41" s="3400"/>
      <c r="Z41" s="1563" t="str">
        <f t="shared" si="12"/>
        <v>单套/主力户型建筑面积</v>
      </c>
      <c r="AA41" s="1559">
        <f t="shared" si="3"/>
        <v>1</v>
      </c>
      <c r="AB41" s="1559">
        <f t="shared" si="4"/>
        <v>1</v>
      </c>
      <c r="AC41" s="1559">
        <f t="shared" si="5"/>
        <v>1</v>
      </c>
    </row>
    <row r="42" spans="1:29" ht="15">
      <c r="A42" s="592"/>
      <c r="B42" s="525" t="s">
        <v>734</v>
      </c>
      <c r="C42" s="3204" t="s">
        <v>3117</v>
      </c>
      <c r="D42" s="538">
        <v>100</v>
      </c>
      <c r="E42" s="3205" t="s">
        <v>3117</v>
      </c>
      <c r="F42" s="573">
        <f>SUMIF(122:122,E42,123:123)-SUMIF(122:122,C42,123:123)+100</f>
        <v>100</v>
      </c>
      <c r="G42" s="3204" t="s">
        <v>3117</v>
      </c>
      <c r="H42" s="538">
        <f>SUMIF(122:122,G42,123:123)-SUMIF(122:122,C42,123:123)+100</f>
        <v>100</v>
      </c>
      <c r="I42" s="3205" t="s">
        <v>3117</v>
      </c>
      <c r="J42" s="538">
        <f>SUMIF(122:122,I42,123:123)-SUMIF(122:122,C42,123:123)+100</f>
        <v>100</v>
      </c>
      <c r="K42" s="862"/>
      <c r="L42" s="2124"/>
      <c r="M42" s="2116"/>
      <c r="N42" s="2116"/>
      <c r="O42" s="2123"/>
      <c r="P42" s="3400"/>
      <c r="Q42" s="1555" t="str">
        <f t="shared" si="8"/>
        <v>内部装修</v>
      </c>
      <c r="R42" s="1556" t="s">
        <v>11</v>
      </c>
      <c r="S42" s="1557">
        <f t="shared" si="9"/>
        <v>100</v>
      </c>
      <c r="T42" s="1556" t="s">
        <v>11</v>
      </c>
      <c r="U42" s="1557">
        <f t="shared" si="10"/>
        <v>100</v>
      </c>
      <c r="V42" s="1556" t="s">
        <v>11</v>
      </c>
      <c r="W42" s="1557">
        <f t="shared" si="11"/>
        <v>100</v>
      </c>
      <c r="X42" s="1550"/>
      <c r="Y42" s="3400"/>
      <c r="Z42" s="1558" t="str">
        <f t="shared" si="12"/>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00"/>
      <c r="Q43" s="1555" t="str">
        <f t="shared" si="8"/>
        <v>内部装修维护情况</v>
      </c>
      <c r="R43" s="1556" t="s">
        <v>11</v>
      </c>
      <c r="S43" s="1557">
        <f t="shared" si="9"/>
        <v>100</v>
      </c>
      <c r="T43" s="1556" t="s">
        <v>11</v>
      </c>
      <c r="U43" s="1557">
        <f t="shared" si="10"/>
        <v>100</v>
      </c>
      <c r="V43" s="1556" t="s">
        <v>11</v>
      </c>
      <c r="W43" s="1557">
        <f t="shared" si="11"/>
        <v>100</v>
      </c>
      <c r="X43" s="1550"/>
      <c r="Y43" s="3400"/>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00"/>
      <c r="Q44" s="1144">
        <f t="shared" si="8"/>
        <v>111</v>
      </c>
      <c r="R44" s="1551" t="s">
        <v>11</v>
      </c>
      <c r="S44" s="1552">
        <f t="shared" si="9"/>
        <v>100</v>
      </c>
      <c r="T44" s="1551" t="s">
        <v>11</v>
      </c>
      <c r="U44" s="1552">
        <f t="shared" si="10"/>
        <v>100</v>
      </c>
      <c r="V44" s="1551" t="s">
        <v>11</v>
      </c>
      <c r="W44" s="1552">
        <f t="shared" si="11"/>
        <v>100</v>
      </c>
      <c r="X44" s="1553"/>
      <c r="Y44" s="3400"/>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00"/>
      <c r="Q45" s="1555">
        <f t="shared" si="8"/>
        <v>111</v>
      </c>
      <c r="R45" s="1556" t="s">
        <v>11</v>
      </c>
      <c r="S45" s="1557">
        <f t="shared" si="9"/>
        <v>100</v>
      </c>
      <c r="T45" s="1556" t="s">
        <v>11</v>
      </c>
      <c r="U45" s="1557">
        <f t="shared" si="10"/>
        <v>100</v>
      </c>
      <c r="V45" s="1556" t="s">
        <v>11</v>
      </c>
      <c r="W45" s="1557">
        <f t="shared" si="11"/>
        <v>100</v>
      </c>
      <c r="X45" s="1550"/>
      <c r="Y45" s="3400"/>
      <c r="Z45" s="1558">
        <f t="shared" si="12"/>
        <v>111</v>
      </c>
      <c r="AA45" s="1559">
        <f t="shared" si="3"/>
        <v>1</v>
      </c>
      <c r="AB45" s="1559">
        <f t="shared" si="4"/>
        <v>1</v>
      </c>
      <c r="AC45" s="1559">
        <f t="shared" si="5"/>
        <v>1</v>
      </c>
    </row>
    <row r="46" spans="1:29" ht="15.75" thickBot="1">
      <c r="A46" s="883"/>
      <c r="B46" s="542">
        <v>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0"/>
      <c r="Q46" s="1555">
        <f t="shared" si="8"/>
        <v>1</v>
      </c>
      <c r="R46" s="1556" t="s">
        <v>10</v>
      </c>
      <c r="S46" s="1557">
        <f t="shared" si="9"/>
        <v>100</v>
      </c>
      <c r="T46" s="1556" t="s">
        <v>10</v>
      </c>
      <c r="U46" s="1557">
        <f t="shared" si="10"/>
        <v>100</v>
      </c>
      <c r="V46" s="1556" t="s">
        <v>10</v>
      </c>
      <c r="W46" s="1557">
        <f t="shared" si="11"/>
        <v>100</v>
      </c>
      <c r="X46" s="1550"/>
      <c r="Y46" s="3500"/>
      <c r="Z46" s="1558">
        <f t="shared" si="12"/>
        <v>1</v>
      </c>
      <c r="AA46" s="1559">
        <f t="shared" si="3"/>
        <v>1</v>
      </c>
      <c r="AB46" s="1559">
        <f t="shared" si="4"/>
        <v>1</v>
      </c>
      <c r="AC46" s="1559">
        <f t="shared" si="5"/>
        <v>1</v>
      </c>
    </row>
    <row r="47" spans="1:29" ht="15">
      <c r="A47" s="605" t="s">
        <v>736</v>
      </c>
      <c r="B47" s="884"/>
      <c r="C47" s="2588" t="s">
        <v>9</v>
      </c>
      <c r="D47" s="2589"/>
      <c r="E47" s="2590">
        <f>4800*B46</f>
        <v>4800</v>
      </c>
      <c r="F47" s="2591"/>
      <c r="G47" s="2592">
        <f>5000*B46</f>
        <v>5000</v>
      </c>
      <c r="H47" s="2593"/>
      <c r="I47" s="2590">
        <f>5100*B46</f>
        <v>5100</v>
      </c>
      <c r="J47" s="2593"/>
      <c r="K47" s="1588"/>
      <c r="L47" s="2126"/>
      <c r="M47" s="2127"/>
      <c r="N47" s="2116"/>
      <c r="O47" s="2127"/>
      <c r="P47" s="3395" t="str">
        <f>A47</f>
        <v>成交单价（元/平方米）</v>
      </c>
      <c r="Q47" s="3395"/>
      <c r="R47" s="3499">
        <f>E47</f>
        <v>4800</v>
      </c>
      <c r="S47" s="3499"/>
      <c r="T47" s="3499">
        <f>G47</f>
        <v>5000</v>
      </c>
      <c r="U47" s="3499"/>
      <c r="V47" s="3499">
        <f>I47</f>
        <v>5100</v>
      </c>
      <c r="W47" s="3499"/>
      <c r="X47" s="1542"/>
      <c r="Y47" s="1564"/>
      <c r="Z47" s="1542"/>
      <c r="AA47" s="1542"/>
      <c r="AB47" s="1542"/>
      <c r="AC47" s="1542"/>
    </row>
    <row r="48" spans="1:29" ht="15.75" thickBot="1">
      <c r="A48" s="613" t="s">
        <v>2756</v>
      </c>
      <c r="B48" s="885"/>
      <c r="C48" s="2594">
        <f>R49</f>
        <v>4745</v>
      </c>
      <c r="D48" s="2595"/>
      <c r="E48" s="2596">
        <f>R48</f>
        <v>4621</v>
      </c>
      <c r="F48" s="2596"/>
      <c r="G48" s="2594">
        <f>T48</f>
        <v>4713</v>
      </c>
      <c r="H48" s="2595"/>
      <c r="I48" s="2596">
        <f>V48</f>
        <v>4902</v>
      </c>
      <c r="J48" s="2595"/>
      <c r="K48" s="1589"/>
      <c r="L48" s="2126"/>
      <c r="M48" s="2127"/>
      <c r="N48" s="2127"/>
      <c r="O48" s="2127"/>
      <c r="P48" s="3395" t="str">
        <f>A48</f>
        <v>比较价格（元/平方米）</v>
      </c>
      <c r="Q48" s="3395"/>
      <c r="R48" s="3499">
        <f>IF(F1="售价",ROUND(PRODUCT(R47,AA7:AA46),0),ROUND(PRODUCT(R47,AA7:AA46),1))</f>
        <v>4621</v>
      </c>
      <c r="S48" s="3499"/>
      <c r="T48" s="3499">
        <f>IF(F1="售价",ROUND(PRODUCT(T47,AB7:AB46),0),ROUND(PRODUCT(T47,AB7:AB46),1))</f>
        <v>4713</v>
      </c>
      <c r="U48" s="3499"/>
      <c r="V48" s="3499">
        <f>IF(F1="售价",ROUND(PRODUCT(V47,AC7:AC46),0),ROUND(PRODUCT(V47,AC7:AC46),1))</f>
        <v>4902</v>
      </c>
      <c r="W48" s="3499"/>
      <c r="X48" s="1542"/>
      <c r="Y48" s="1542"/>
      <c r="Z48" s="1542"/>
      <c r="AA48" s="1542"/>
      <c r="AB48" s="1542"/>
      <c r="AC48" s="1542"/>
    </row>
    <row r="49" spans="1:29" ht="15.75" thickBot="1">
      <c r="A49" s="619" t="s">
        <v>2933</v>
      </c>
      <c r="B49" s="620"/>
      <c r="C49" s="2597">
        <f>R49</f>
        <v>4745</v>
      </c>
      <c r="D49" s="2597"/>
      <c r="E49" s="2597"/>
      <c r="F49" s="2597"/>
      <c r="G49" s="2597"/>
      <c r="H49" s="2597"/>
      <c r="I49" s="2597"/>
      <c r="J49" s="2597"/>
      <c r="K49" s="1590"/>
      <c r="L49" s="2126"/>
      <c r="M49" s="2127"/>
      <c r="N49" s="2127"/>
      <c r="O49" s="2127"/>
      <c r="P49" s="3416" t="str">
        <f>A49</f>
        <v>估价对象XX用房的比较价格（楼面单价，元/平方米）</v>
      </c>
      <c r="Q49" s="3417"/>
      <c r="R49" s="3498">
        <f>IF(F1="售价",ROUND(AVERAGE(R48:V48),0),ROUND(AVERAGE(R48:V48),1))</f>
        <v>4745</v>
      </c>
      <c r="S49" s="3498"/>
      <c r="T49" s="3498"/>
      <c r="U49" s="3498"/>
      <c r="V49" s="3498"/>
      <c r="W49" s="349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3.8736204284786746E-2</v>
      </c>
      <c r="F52" s="625" t="str">
        <f>IF(OR(E52&gt;=0.3,E52&lt;=-0.3),"超过30%","")</f>
        <v/>
      </c>
      <c r="G52" s="624">
        <f>IF(G47&lt;G48,G48/G47-1,G47/G48-1)</f>
        <v>6.0895395713982614E-2</v>
      </c>
      <c r="H52" s="625" t="str">
        <f>IF(OR(G52&gt;=0.3,G52&lt;=-0.3),"超过30%","")</f>
        <v/>
      </c>
      <c r="I52" s="624">
        <f>IF(I47&lt;I48,I48/I47-1,I47/I48-1)</f>
        <v>4.0391676866585069E-2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1.9909110582125189E-2</v>
      </c>
      <c r="F53" s="625" t="str">
        <f>IF(OR(E53&gt;=0.2,E53&lt;=-0.2),"超过20%","")</f>
        <v/>
      </c>
      <c r="G53" s="624">
        <f>IF(G48&lt;I48,I48/G48-1,G48/I48-1)</f>
        <v>4.0101845957988491E-2</v>
      </c>
      <c r="H53" s="625" t="str">
        <f>IF(OR(G53&gt;=0.2,G53&lt;=-0.2),"超过20%","")</f>
        <v/>
      </c>
      <c r="I53" s="624">
        <f>IF(I48&lt;E48,E48/I48-1,I48/E48-1)</f>
        <v>6.0809348625838533E-2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4.1666666666666741E-2</v>
      </c>
      <c r="F54" s="625" t="str">
        <f>IF(OR(E54&gt;=0.3,E54&lt;=-0.3),"超过30%","")</f>
        <v/>
      </c>
      <c r="G54" s="624">
        <f>IF(G47&lt;I47,I47/G47-1,G47/I47-1)</f>
        <v>2.0000000000000018E-2</v>
      </c>
      <c r="H54" s="625" t="str">
        <f>IF(OR(G54&gt;=0.3,G54&lt;=-0.3),"超过30%","")</f>
        <v/>
      </c>
      <c r="I54" s="624">
        <f>IF(I47&lt;E47,E47/I47-1,I47/E47-1)</f>
        <v>6.25E-2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2020-7</v>
      </c>
      <c r="D58" s="2756">
        <f>EDATE(C58,-1)</f>
        <v>43983</v>
      </c>
      <c r="E58" s="2756">
        <f t="shared" ref="E58:O58" si="13">EDATE(D58,-1)</f>
        <v>43952</v>
      </c>
      <c r="F58" s="2756">
        <f t="shared" si="13"/>
        <v>43922</v>
      </c>
      <c r="G58" s="2756">
        <f t="shared" si="13"/>
        <v>43891</v>
      </c>
      <c r="H58" s="2756">
        <f t="shared" si="13"/>
        <v>43862</v>
      </c>
      <c r="I58" s="2756">
        <f t="shared" si="13"/>
        <v>43831</v>
      </c>
      <c r="J58" s="2756">
        <f t="shared" si="13"/>
        <v>43800</v>
      </c>
      <c r="K58" s="2756">
        <f t="shared" si="13"/>
        <v>43770</v>
      </c>
      <c r="L58" s="2756">
        <f t="shared" si="13"/>
        <v>43739</v>
      </c>
      <c r="M58" s="2756">
        <f t="shared" si="13"/>
        <v>43709</v>
      </c>
      <c r="N58" s="2756">
        <f t="shared" si="13"/>
        <v>43678</v>
      </c>
      <c r="O58" s="2756">
        <f t="shared" si="13"/>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v>
      </c>
      <c r="H67" s="680" t="str">
        <f t="shared" si="15"/>
        <v>（含）-</v>
      </c>
      <c r="I67" s="680" t="str">
        <f t="shared" si="15"/>
        <v>（含）-</v>
      </c>
      <c r="J67" s="680" t="str">
        <f t="shared" si="15"/>
        <v>（含）-</v>
      </c>
      <c r="K67" s="680" t="str">
        <f t="shared" si="15"/>
        <v>（含）-</v>
      </c>
      <c r="L67" s="680" t="str">
        <f t="shared" si="15"/>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98</v>
      </c>
      <c r="E77" s="677">
        <f>D77-$K15</f>
        <v>96</v>
      </c>
      <c r="F77" s="677">
        <f>E77-$K15</f>
        <v>94</v>
      </c>
      <c r="G77" s="677">
        <f>F77-$K15</f>
        <v>92</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9">C101-$K32</f>
        <v>100</v>
      </c>
      <c r="E101" s="677">
        <f t="shared" si="19"/>
        <v>100</v>
      </c>
      <c r="F101" s="677">
        <f t="shared" si="19"/>
        <v>100</v>
      </c>
      <c r="G101" s="677">
        <f t="shared" si="19"/>
        <v>100</v>
      </c>
      <c r="H101" s="677">
        <f t="shared" si="19"/>
        <v>100</v>
      </c>
      <c r="I101" s="677">
        <f t="shared" si="19"/>
        <v>100</v>
      </c>
      <c r="J101" s="677">
        <f t="shared" si="19"/>
        <v>100</v>
      </c>
      <c r="K101" s="677">
        <f t="shared" si="19"/>
        <v>100</v>
      </c>
      <c r="L101" s="677">
        <f t="shared" si="19"/>
        <v>100</v>
      </c>
      <c r="M101" s="677">
        <f t="shared" si="19"/>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0(含)-200000</v>
      </c>
      <c r="D102" s="706" t="str">
        <f t="shared" ref="D102:L102" si="20">D103&amp;"(含)"&amp;"-"&amp;E103</f>
        <v>200000(含)-400000</v>
      </c>
      <c r="E102" s="706" t="str">
        <f t="shared" si="20"/>
        <v>400000(含)-600000</v>
      </c>
      <c r="F102" s="706" t="str">
        <f t="shared" si="20"/>
        <v>600000(含)-800000</v>
      </c>
      <c r="G102" s="706" t="str">
        <f t="shared" si="20"/>
        <v>800000(含)-</v>
      </c>
      <c r="H102" s="706" t="str">
        <f t="shared" si="20"/>
        <v>(含)-</v>
      </c>
      <c r="I102" s="706" t="str">
        <f t="shared" si="20"/>
        <v>(含)-</v>
      </c>
      <c r="J102" s="706" t="str">
        <f t="shared" si="20"/>
        <v>(含)-</v>
      </c>
      <c r="K102" s="706" t="str">
        <f t="shared" si="20"/>
        <v>(含)-</v>
      </c>
      <c r="L102" s="706" t="str">
        <f t="shared" si="20"/>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200000</v>
      </c>
      <c r="E103" s="728">
        <v>400000</v>
      </c>
      <c r="F103" s="728">
        <v>600000</v>
      </c>
      <c r="G103" s="728">
        <v>800000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1">C106-$K34</f>
        <v>100</v>
      </c>
      <c r="E106" s="677">
        <f t="shared" si="21"/>
        <v>100</v>
      </c>
      <c r="F106" s="677">
        <f t="shared" si="21"/>
        <v>100</v>
      </c>
      <c r="G106" s="677">
        <f t="shared" si="21"/>
        <v>100</v>
      </c>
      <c r="H106" s="677">
        <f t="shared" si="21"/>
        <v>100</v>
      </c>
      <c r="I106" s="677">
        <f t="shared" si="21"/>
        <v>100</v>
      </c>
      <c r="J106" s="677">
        <f t="shared" si="21"/>
        <v>100</v>
      </c>
      <c r="K106" s="677">
        <f t="shared" si="21"/>
        <v>100</v>
      </c>
      <c r="L106" s="677">
        <f t="shared" si="21"/>
        <v>100</v>
      </c>
      <c r="M106" s="677">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7">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5">C119-$K40</f>
        <v>100</v>
      </c>
      <c r="E119" s="677">
        <f t="shared" si="25"/>
        <v>100</v>
      </c>
      <c r="F119" s="677">
        <f t="shared" si="25"/>
        <v>100</v>
      </c>
      <c r="G119" s="677">
        <f t="shared" si="25"/>
        <v>100</v>
      </c>
      <c r="H119" s="677">
        <f t="shared" si="25"/>
        <v>100</v>
      </c>
      <c r="I119" s="677">
        <f t="shared" si="25"/>
        <v>100</v>
      </c>
      <c r="J119" s="677">
        <f t="shared" si="25"/>
        <v>100</v>
      </c>
      <c r="K119" s="677">
        <f t="shared" si="25"/>
        <v>100</v>
      </c>
      <c r="L119" s="677">
        <f t="shared" si="25"/>
        <v>100</v>
      </c>
      <c r="M119" s="677">
        <f t="shared" si="25"/>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7">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01" t="s">
        <v>522</v>
      </c>
      <c r="D4" s="3402"/>
      <c r="E4" s="3425" t="s">
        <v>523</v>
      </c>
      <c r="F4" s="3426"/>
      <c r="G4" s="3401" t="s">
        <v>524</v>
      </c>
      <c r="H4" s="3402"/>
      <c r="I4" s="3401" t="s">
        <v>525</v>
      </c>
      <c r="J4" s="3402"/>
      <c r="K4" s="512" t="s">
        <v>526</v>
      </c>
      <c r="L4" s="2115"/>
      <c r="M4" s="2116"/>
      <c r="N4" s="2116"/>
      <c r="O4" s="2116"/>
      <c r="P4" s="3403" t="s">
        <v>527</v>
      </c>
      <c r="Q4" s="3404"/>
      <c r="R4" s="3389" t="s">
        <v>523</v>
      </c>
      <c r="S4" s="3390"/>
      <c r="T4" s="3389" t="s">
        <v>524</v>
      </c>
      <c r="U4" s="3390"/>
      <c r="V4" s="3409" t="s">
        <v>525</v>
      </c>
      <c r="W4" s="3409"/>
      <c r="X4" s="1550"/>
      <c r="Y4" s="3389" t="s">
        <v>527</v>
      </c>
      <c r="Z4" s="3390"/>
      <c r="AA4" s="3384" t="s">
        <v>523</v>
      </c>
      <c r="AB4" s="3409" t="s">
        <v>524</v>
      </c>
      <c r="AC4" s="3384" t="s">
        <v>525</v>
      </c>
    </row>
    <row r="5" spans="1:29" ht="15">
      <c r="A5" s="513"/>
      <c r="B5" s="514"/>
      <c r="C5" s="3412" t="s">
        <v>2927</v>
      </c>
      <c r="D5" s="3413"/>
      <c r="E5" s="3427" t="s">
        <v>2928</v>
      </c>
      <c r="F5" s="3428"/>
      <c r="G5" s="3412" t="s">
        <v>2929</v>
      </c>
      <c r="H5" s="3413"/>
      <c r="I5" s="3412" t="s">
        <v>2930</v>
      </c>
      <c r="J5" s="3413"/>
      <c r="K5" s="512"/>
      <c r="L5" s="2115"/>
      <c r="M5" s="2116"/>
      <c r="N5" s="2116"/>
      <c r="O5" s="2116"/>
      <c r="P5" s="3405"/>
      <c r="Q5" s="3406"/>
      <c r="R5" s="3391"/>
      <c r="S5" s="3392"/>
      <c r="T5" s="3391"/>
      <c r="U5" s="3392"/>
      <c r="V5" s="3409"/>
      <c r="W5" s="3409"/>
      <c r="X5" s="1550"/>
      <c r="Y5" s="3391"/>
      <c r="Z5" s="3392"/>
      <c r="AA5" s="3385"/>
      <c r="AB5" s="3409"/>
      <c r="AC5" s="3385"/>
    </row>
    <row r="6" spans="1:29" ht="15.75" thickBot="1">
      <c r="A6" s="515"/>
      <c r="B6" s="516"/>
      <c r="C6" s="3410" t="s">
        <v>2931</v>
      </c>
      <c r="D6" s="3411"/>
      <c r="E6" s="3429" t="s">
        <v>2931</v>
      </c>
      <c r="F6" s="3430"/>
      <c r="G6" s="3410" t="s">
        <v>2931</v>
      </c>
      <c r="H6" s="3411"/>
      <c r="I6" s="3410" t="s">
        <v>2931</v>
      </c>
      <c r="J6" s="3411"/>
      <c r="K6" s="512" t="s">
        <v>528</v>
      </c>
      <c r="L6" s="2115"/>
      <c r="M6" s="2116"/>
      <c r="N6" s="2116"/>
      <c r="O6" s="2116"/>
      <c r="P6" s="3407"/>
      <c r="Q6" s="3408"/>
      <c r="R6" s="3391"/>
      <c r="S6" s="3392"/>
      <c r="T6" s="3393"/>
      <c r="U6" s="3394"/>
      <c r="V6" s="3409"/>
      <c r="W6" s="3409"/>
      <c r="X6" s="1550"/>
      <c r="Y6" s="3393"/>
      <c r="Z6" s="3394"/>
      <c r="AA6" s="3386"/>
      <c r="AB6" s="3409"/>
      <c r="AC6" s="3386"/>
    </row>
    <row r="7" spans="1:29" s="1213" customFormat="1" ht="15.75" thickBot="1">
      <c r="A7" s="2863"/>
      <c r="B7" s="2870" t="s">
        <v>529</v>
      </c>
      <c r="C7" s="517">
        <f>'数据-取费表'!B2</f>
        <v>44036</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87" t="s">
        <v>530</v>
      </c>
      <c r="Q7" s="3396"/>
      <c r="R7" s="1551" t="s">
        <v>8</v>
      </c>
      <c r="S7" s="1552">
        <f t="shared" ref="S7:S15" si="0">F7</f>
        <v>0</v>
      </c>
      <c r="T7" s="1551" t="s">
        <v>8</v>
      </c>
      <c r="U7" s="1552">
        <f t="shared" ref="U7:U15" si="1">H7</f>
        <v>0</v>
      </c>
      <c r="V7" s="1551" t="s">
        <v>8</v>
      </c>
      <c r="W7" s="1552">
        <f t="shared" ref="W7:W15" si="2">J7</f>
        <v>0</v>
      </c>
      <c r="X7" s="1553"/>
      <c r="Y7" s="3387" t="s">
        <v>530</v>
      </c>
      <c r="Z7" s="3388"/>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87" t="s">
        <v>533</v>
      </c>
      <c r="Q8" s="3388"/>
      <c r="R8" s="1551" t="s">
        <v>8</v>
      </c>
      <c r="S8" s="1552">
        <f t="shared" si="0"/>
        <v>0</v>
      </c>
      <c r="T8" s="1551" t="s">
        <v>8</v>
      </c>
      <c r="U8" s="1552">
        <f t="shared" si="1"/>
        <v>0</v>
      </c>
      <c r="V8" s="1551" t="s">
        <v>8</v>
      </c>
      <c r="W8" s="1552">
        <f t="shared" si="2"/>
        <v>0</v>
      </c>
      <c r="X8" s="1553"/>
      <c r="Y8" s="3387" t="s">
        <v>533</v>
      </c>
      <c r="Z8" s="3388"/>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5" t="s">
        <v>535</v>
      </c>
      <c r="Q9" s="1144" t="str">
        <f t="shared" ref="Q9:Q15" si="6">B9</f>
        <v>用途</v>
      </c>
      <c r="R9" s="1551" t="s">
        <v>8</v>
      </c>
      <c r="S9" s="1552">
        <f t="shared" si="0"/>
        <v>100</v>
      </c>
      <c r="T9" s="1551" t="s">
        <v>8</v>
      </c>
      <c r="U9" s="1552">
        <f t="shared" si="1"/>
        <v>100</v>
      </c>
      <c r="V9" s="1551" t="s">
        <v>8</v>
      </c>
      <c r="W9" s="1552">
        <f t="shared" si="2"/>
        <v>100</v>
      </c>
      <c r="X9" s="1553"/>
      <c r="Y9" s="3352"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5"/>
      <c r="Q10" s="1144" t="str">
        <f t="shared" si="6"/>
        <v>土地使用年限（年）</v>
      </c>
      <c r="R10" s="1551" t="s">
        <v>8</v>
      </c>
      <c r="S10" s="1552">
        <f t="shared" si="0"/>
        <v>100</v>
      </c>
      <c r="T10" s="1551" t="s">
        <v>8</v>
      </c>
      <c r="U10" s="1552">
        <f t="shared" si="1"/>
        <v>100</v>
      </c>
      <c r="V10" s="1551" t="s">
        <v>8</v>
      </c>
      <c r="W10" s="1552">
        <f t="shared" si="2"/>
        <v>100</v>
      </c>
      <c r="X10" s="1553"/>
      <c r="Y10" s="3352"/>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5"/>
      <c r="Q11" s="1144" t="str">
        <f t="shared" si="6"/>
        <v>容积率</v>
      </c>
      <c r="R11" s="1551" t="s">
        <v>8</v>
      </c>
      <c r="S11" s="1552" t="e">
        <f t="shared" si="0"/>
        <v>#N/A</v>
      </c>
      <c r="T11" s="1551" t="s">
        <v>8</v>
      </c>
      <c r="U11" s="1552" t="e">
        <f t="shared" si="1"/>
        <v>#N/A</v>
      </c>
      <c r="V11" s="1551" t="s">
        <v>8</v>
      </c>
      <c r="W11" s="1552" t="e">
        <f t="shared" si="2"/>
        <v>#N/A</v>
      </c>
      <c r="X11" s="1553"/>
      <c r="Y11" s="3352"/>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95"/>
      <c r="Q12" s="1144">
        <f t="shared" si="6"/>
        <v>111</v>
      </c>
      <c r="R12" s="1551" t="s">
        <v>8</v>
      </c>
      <c r="S12" s="1552">
        <f t="shared" si="0"/>
        <v>100</v>
      </c>
      <c r="T12" s="1551" t="s">
        <v>8</v>
      </c>
      <c r="U12" s="1552">
        <f t="shared" si="1"/>
        <v>100</v>
      </c>
      <c r="V12" s="1551" t="s">
        <v>8</v>
      </c>
      <c r="W12" s="1552">
        <f t="shared" si="2"/>
        <v>100</v>
      </c>
      <c r="X12" s="1553"/>
      <c r="Y12" s="3352"/>
      <c r="Z12" s="1143">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95"/>
      <c r="Q13" s="1144">
        <f t="shared" si="6"/>
        <v>111</v>
      </c>
      <c r="R13" s="1551" t="s">
        <v>8</v>
      </c>
      <c r="S13" s="1552">
        <f t="shared" si="0"/>
        <v>100</v>
      </c>
      <c r="T13" s="1551" t="s">
        <v>8</v>
      </c>
      <c r="U13" s="1552">
        <f t="shared" si="1"/>
        <v>100</v>
      </c>
      <c r="V13" s="1551" t="s">
        <v>8</v>
      </c>
      <c r="W13" s="1552">
        <f t="shared" si="2"/>
        <v>100</v>
      </c>
      <c r="X13" s="1553"/>
      <c r="Y13" s="3352"/>
      <c r="Z13" s="1143">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95"/>
      <c r="Q14" s="1144">
        <f t="shared" si="6"/>
        <v>111</v>
      </c>
      <c r="R14" s="1551" t="s">
        <v>8</v>
      </c>
      <c r="S14" s="1552">
        <f t="shared" si="0"/>
        <v>100</v>
      </c>
      <c r="T14" s="1551" t="s">
        <v>8</v>
      </c>
      <c r="U14" s="1552">
        <f t="shared" si="1"/>
        <v>100</v>
      </c>
      <c r="V14" s="1551" t="s">
        <v>8</v>
      </c>
      <c r="W14" s="1552">
        <f t="shared" si="2"/>
        <v>100</v>
      </c>
      <c r="X14" s="1553"/>
      <c r="Y14" s="3352"/>
      <c r="Z14" s="1143">
        <f t="shared" si="7"/>
        <v>111</v>
      </c>
      <c r="AA14" s="1554">
        <f t="shared" si="3"/>
        <v>1</v>
      </c>
      <c r="AB14" s="1554">
        <f t="shared" si="4"/>
        <v>1</v>
      </c>
      <c r="AC14" s="1554">
        <f t="shared" si="5"/>
        <v>1</v>
      </c>
    </row>
    <row r="15" spans="1:29" ht="71.25">
      <c r="A15" s="2861"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397" t="s">
        <v>540</v>
      </c>
      <c r="Q15" s="1555" t="str">
        <f t="shared" si="6"/>
        <v>商业繁华度</v>
      </c>
      <c r="R15" s="1556" t="s">
        <v>8</v>
      </c>
      <c r="S15" s="1557">
        <f t="shared" si="0"/>
        <v>100</v>
      </c>
      <c r="T15" s="1556" t="s">
        <v>8</v>
      </c>
      <c r="U15" s="1557">
        <f t="shared" si="1"/>
        <v>100</v>
      </c>
      <c r="V15" s="1556" t="s">
        <v>8</v>
      </c>
      <c r="W15" s="1557">
        <f t="shared" si="2"/>
        <v>100</v>
      </c>
      <c r="X15" s="1550"/>
      <c r="Y15" s="3397"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398"/>
      <c r="Q16" s="1555"/>
      <c r="R16" s="1556"/>
      <c r="S16" s="1557"/>
      <c r="T16" s="1556"/>
      <c r="U16" s="1557"/>
      <c r="V16" s="1556"/>
      <c r="W16" s="1557"/>
      <c r="X16" s="1550"/>
      <c r="Y16" s="3398"/>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398"/>
      <c r="Q17" s="1555" t="str">
        <f>B17</f>
        <v>交通便捷度</v>
      </c>
      <c r="R17" s="1556" t="s">
        <v>8</v>
      </c>
      <c r="S17" s="1557">
        <f>F17</f>
        <v>100</v>
      </c>
      <c r="T17" s="1556" t="s">
        <v>8</v>
      </c>
      <c r="U17" s="1557">
        <f>H17</f>
        <v>100</v>
      </c>
      <c r="V17" s="1556" t="s">
        <v>8</v>
      </c>
      <c r="W17" s="1557">
        <f>J17</f>
        <v>100</v>
      </c>
      <c r="X17" s="1550"/>
      <c r="Y17" s="339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398"/>
      <c r="Q18" s="1555"/>
      <c r="R18" s="1556"/>
      <c r="S18" s="1557"/>
      <c r="T18" s="1556"/>
      <c r="U18" s="1557"/>
      <c r="V18" s="1556"/>
      <c r="W18" s="1557"/>
      <c r="X18" s="1550"/>
      <c r="Y18" s="3398"/>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398"/>
      <c r="Q19" s="1555" t="str">
        <f>B19</f>
        <v>公共配套设施</v>
      </c>
      <c r="R19" s="1556" t="s">
        <v>8</v>
      </c>
      <c r="S19" s="1557">
        <f>F19</f>
        <v>100</v>
      </c>
      <c r="T19" s="1556" t="s">
        <v>8</v>
      </c>
      <c r="U19" s="1557">
        <f>H19</f>
        <v>100</v>
      </c>
      <c r="V19" s="1556" t="s">
        <v>8</v>
      </c>
      <c r="W19" s="1557">
        <f>J19</f>
        <v>100</v>
      </c>
      <c r="X19" s="1550"/>
      <c r="Y19" s="3398"/>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398"/>
      <c r="Q20" s="1555"/>
      <c r="R20" s="1556"/>
      <c r="S20" s="1557"/>
      <c r="T20" s="1556"/>
      <c r="U20" s="1557"/>
      <c r="V20" s="1556"/>
      <c r="W20" s="1557"/>
      <c r="X20" s="1550"/>
      <c r="Y20" s="3398"/>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398"/>
      <c r="Q21" s="2540" t="str">
        <f>B21</f>
        <v>基础设施水平</v>
      </c>
      <c r="R21" s="1556" t="s">
        <v>8</v>
      </c>
      <c r="S21" s="1557">
        <f>F21</f>
        <v>100</v>
      </c>
      <c r="T21" s="1556" t="s">
        <v>8</v>
      </c>
      <c r="U21" s="1557">
        <f>H21</f>
        <v>100</v>
      </c>
      <c r="V21" s="1556" t="s">
        <v>8</v>
      </c>
      <c r="W21" s="1557">
        <f>J21</f>
        <v>100</v>
      </c>
      <c r="X21" s="2542"/>
      <c r="Y21" s="3398"/>
      <c r="Z21" s="2541" t="str">
        <f>Q21</f>
        <v>基础设施水平</v>
      </c>
      <c r="AA21" s="1559">
        <f>D21/F21</f>
        <v>1</v>
      </c>
      <c r="AB21" s="1559">
        <f>D21/H21</f>
        <v>1</v>
      </c>
      <c r="AC21" s="1559">
        <f>D21/J21</f>
        <v>1</v>
      </c>
    </row>
    <row r="22" spans="1:29" ht="15">
      <c r="A22" s="530"/>
      <c r="B22" s="919"/>
      <c r="C22" s="871"/>
      <c r="D22" s="553"/>
      <c r="E22" s="574"/>
      <c r="F22" s="555"/>
      <c r="G22" s="574"/>
      <c r="H22" s="553"/>
      <c r="I22" s="574"/>
      <c r="J22" s="553"/>
      <c r="K22" s="2563"/>
      <c r="L22" s="2124"/>
      <c r="M22" s="2116"/>
      <c r="N22" s="2116"/>
      <c r="O22" s="2123"/>
      <c r="P22" s="3398"/>
      <c r="Q22" s="2540"/>
      <c r="R22" s="1556"/>
      <c r="S22" s="1557"/>
      <c r="T22" s="1556"/>
      <c r="U22" s="1557"/>
      <c r="V22" s="1556"/>
      <c r="W22" s="1557"/>
      <c r="X22" s="2542"/>
      <c r="Y22" s="3398"/>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398"/>
      <c r="Q23" s="1555" t="str">
        <f>B23</f>
        <v>自然及人文环境</v>
      </c>
      <c r="R23" s="1556" t="s">
        <v>8</v>
      </c>
      <c r="S23" s="1557">
        <f>F23</f>
        <v>100</v>
      </c>
      <c r="T23" s="1556" t="s">
        <v>8</v>
      </c>
      <c r="U23" s="1557">
        <f>H23</f>
        <v>100</v>
      </c>
      <c r="V23" s="1556" t="s">
        <v>8</v>
      </c>
      <c r="W23" s="1557">
        <f>J23</f>
        <v>100</v>
      </c>
      <c r="X23" s="1550"/>
      <c r="Y23" s="3398"/>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398"/>
      <c r="Q24" s="1555"/>
      <c r="R24" s="1556"/>
      <c r="S24" s="1557"/>
      <c r="T24" s="1556"/>
      <c r="U24" s="1557"/>
      <c r="V24" s="1556"/>
      <c r="W24" s="1557"/>
      <c r="X24" s="1550"/>
      <c r="Y24" s="3398"/>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398"/>
      <c r="Q25" s="1555" t="str">
        <f t="shared" ref="Q25:Q46" si="8">B25</f>
        <v>临街状况</v>
      </c>
      <c r="R25" s="1556" t="s">
        <v>8</v>
      </c>
      <c r="S25" s="1557">
        <f>F25</f>
        <v>100</v>
      </c>
      <c r="T25" s="1556" t="s">
        <v>8</v>
      </c>
      <c r="U25" s="1557">
        <f>H25</f>
        <v>100</v>
      </c>
      <c r="V25" s="1556" t="s">
        <v>8</v>
      </c>
      <c r="W25" s="1557">
        <f>J25</f>
        <v>100</v>
      </c>
      <c r="X25" s="1550"/>
      <c r="Y25" s="3398"/>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398"/>
      <c r="Q26" s="1555" t="str">
        <f t="shared" si="8"/>
        <v>平面位置/可视性</v>
      </c>
      <c r="R26" s="1556" t="s">
        <v>8</v>
      </c>
      <c r="S26" s="1557">
        <f>F26</f>
        <v>100</v>
      </c>
      <c r="T26" s="1556" t="s">
        <v>8</v>
      </c>
      <c r="U26" s="1557">
        <f>H26</f>
        <v>100</v>
      </c>
      <c r="V26" s="1556" t="s">
        <v>8</v>
      </c>
      <c r="W26" s="1557">
        <f>J26</f>
        <v>100</v>
      </c>
      <c r="X26" s="1550"/>
      <c r="Y26" s="3398"/>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398"/>
      <c r="Q27" s="1144" t="str">
        <f t="shared" si="8"/>
        <v>人流量</v>
      </c>
      <c r="R27" s="1551" t="s">
        <v>8</v>
      </c>
      <c r="S27" s="1552">
        <f>F27</f>
        <v>100</v>
      </c>
      <c r="T27" s="1551" t="s">
        <v>8</v>
      </c>
      <c r="U27" s="1552">
        <f>H27</f>
        <v>100</v>
      </c>
      <c r="V27" s="1551" t="s">
        <v>8</v>
      </c>
      <c r="W27" s="1552">
        <f>J27</f>
        <v>100</v>
      </c>
      <c r="X27" s="1553"/>
      <c r="Y27" s="3398"/>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398"/>
      <c r="Q28" s="1555" t="str">
        <f t="shared" si="8"/>
        <v>楼层</v>
      </c>
      <c r="R28" s="1556" t="s">
        <v>8</v>
      </c>
      <c r="S28" s="1557">
        <f t="shared" ref="S28:S46" si="9">F28</f>
        <v>100</v>
      </c>
      <c r="T28" s="1556" t="s">
        <v>8</v>
      </c>
      <c r="U28" s="1557">
        <f t="shared" ref="U28:U46" si="10">H28</f>
        <v>100</v>
      </c>
      <c r="V28" s="1556" t="s">
        <v>8</v>
      </c>
      <c r="W28" s="1557">
        <f t="shared" ref="W28:W46" si="11">J28</f>
        <v>100</v>
      </c>
      <c r="X28" s="1550"/>
      <c r="Y28" s="3398"/>
      <c r="Z28" s="1558" t="str">
        <f t="shared" ref="Z28:Z46" si="12">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398"/>
      <c r="Q29" s="1555">
        <f t="shared" si="8"/>
        <v>111</v>
      </c>
      <c r="R29" s="1556" t="s">
        <v>8</v>
      </c>
      <c r="S29" s="1557">
        <f t="shared" si="9"/>
        <v>100</v>
      </c>
      <c r="T29" s="1556" t="s">
        <v>8</v>
      </c>
      <c r="U29" s="1557">
        <f t="shared" si="10"/>
        <v>100</v>
      </c>
      <c r="V29" s="1556" t="s">
        <v>8</v>
      </c>
      <c r="W29" s="1557">
        <f t="shared" si="11"/>
        <v>100</v>
      </c>
      <c r="X29" s="1550"/>
      <c r="Y29" s="3398"/>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398"/>
      <c r="Q30" s="1555">
        <f t="shared" si="8"/>
        <v>111</v>
      </c>
      <c r="R30" s="1556" t="s">
        <v>8</v>
      </c>
      <c r="S30" s="1557">
        <f t="shared" si="9"/>
        <v>100</v>
      </c>
      <c r="T30" s="1556" t="s">
        <v>8</v>
      </c>
      <c r="U30" s="1557">
        <f t="shared" si="10"/>
        <v>100</v>
      </c>
      <c r="V30" s="1556" t="s">
        <v>8</v>
      </c>
      <c r="W30" s="1557">
        <f t="shared" si="11"/>
        <v>100</v>
      </c>
      <c r="X30" s="1550"/>
      <c r="Y30" s="3398"/>
      <c r="Z30" s="1558">
        <f t="shared" si="12"/>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398"/>
      <c r="Q31" s="1555">
        <f t="shared" si="8"/>
        <v>111</v>
      </c>
      <c r="R31" s="1556" t="s">
        <v>8</v>
      </c>
      <c r="S31" s="1557">
        <f t="shared" si="9"/>
        <v>100</v>
      </c>
      <c r="T31" s="1556" t="s">
        <v>8</v>
      </c>
      <c r="U31" s="1557">
        <f t="shared" si="10"/>
        <v>100</v>
      </c>
      <c r="V31" s="1556" t="s">
        <v>8</v>
      </c>
      <c r="W31" s="1557">
        <f t="shared" si="11"/>
        <v>100</v>
      </c>
      <c r="X31" s="1550"/>
      <c r="Y31" s="3398"/>
      <c r="Z31" s="1558">
        <f t="shared" si="12"/>
        <v>111</v>
      </c>
      <c r="AA31" s="1559">
        <f t="shared" si="3"/>
        <v>1</v>
      </c>
      <c r="AB31" s="1559">
        <f t="shared" si="4"/>
        <v>1</v>
      </c>
      <c r="AC31" s="1559">
        <f t="shared" si="5"/>
        <v>1</v>
      </c>
    </row>
    <row r="32" spans="1:29" ht="15">
      <c r="A32" s="2859"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399" t="s">
        <v>550</v>
      </c>
      <c r="Q32" s="1555" t="str">
        <f t="shared" si="8"/>
        <v>商业类型</v>
      </c>
      <c r="R32" s="1556" t="s">
        <v>8</v>
      </c>
      <c r="S32" s="1557">
        <f t="shared" si="9"/>
        <v>100</v>
      </c>
      <c r="T32" s="1556" t="s">
        <v>8</v>
      </c>
      <c r="U32" s="1557">
        <f t="shared" si="10"/>
        <v>100</v>
      </c>
      <c r="V32" s="1556" t="s">
        <v>8</v>
      </c>
      <c r="W32" s="1557">
        <f t="shared" si="11"/>
        <v>100</v>
      </c>
      <c r="X32" s="1550"/>
      <c r="Y32" s="3400" t="s">
        <v>550</v>
      </c>
      <c r="Z32" s="1558" t="str">
        <f t="shared" si="12"/>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00"/>
      <c r="Q33" s="1587" t="str">
        <f t="shared" si="8"/>
        <v>项目建筑规模</v>
      </c>
      <c r="R33" s="1560" t="s">
        <v>8</v>
      </c>
      <c r="S33" s="1561" t="e">
        <f t="shared" si="9"/>
        <v>#N/A</v>
      </c>
      <c r="T33" s="1560" t="s">
        <v>8</v>
      </c>
      <c r="U33" s="1561" t="e">
        <f t="shared" si="10"/>
        <v>#N/A</v>
      </c>
      <c r="V33" s="1560" t="s">
        <v>8</v>
      </c>
      <c r="W33" s="1561" t="e">
        <f t="shared" si="11"/>
        <v>#N/A</v>
      </c>
      <c r="X33" s="1562"/>
      <c r="Y33" s="3400"/>
      <c r="Z33" s="1563" t="str">
        <f t="shared" si="12"/>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00"/>
      <c r="Q34" s="1555" t="str">
        <f t="shared" si="8"/>
        <v>建筑结构</v>
      </c>
      <c r="R34" s="1556" t="s">
        <v>8</v>
      </c>
      <c r="S34" s="1557">
        <f t="shared" si="9"/>
        <v>100</v>
      </c>
      <c r="T34" s="1556" t="s">
        <v>8</v>
      </c>
      <c r="U34" s="1557">
        <f t="shared" si="10"/>
        <v>100</v>
      </c>
      <c r="V34" s="1556" t="s">
        <v>8</v>
      </c>
      <c r="W34" s="1557">
        <f t="shared" si="11"/>
        <v>100</v>
      </c>
      <c r="X34" s="1550"/>
      <c r="Y34" s="3400"/>
      <c r="Z34" s="1558" t="str">
        <f t="shared" si="12"/>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00"/>
      <c r="Q35" s="1555" t="str">
        <f t="shared" si="8"/>
        <v>公共部分装修</v>
      </c>
      <c r="R35" s="1556" t="s">
        <v>8</v>
      </c>
      <c r="S35" s="1557">
        <f t="shared" si="9"/>
        <v>100</v>
      </c>
      <c r="T35" s="1556" t="s">
        <v>8</v>
      </c>
      <c r="U35" s="1557">
        <f t="shared" si="10"/>
        <v>100</v>
      </c>
      <c r="V35" s="1556" t="s">
        <v>8</v>
      </c>
      <c r="W35" s="1557">
        <f t="shared" si="11"/>
        <v>100</v>
      </c>
      <c r="X35" s="1550"/>
      <c r="Y35" s="3400"/>
      <c r="Z35" s="1558" t="str">
        <f t="shared" si="12"/>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00"/>
      <c r="Q36" s="1555" t="str">
        <f t="shared" si="8"/>
        <v>成新度</v>
      </c>
      <c r="R36" s="1556" t="s">
        <v>8</v>
      </c>
      <c r="S36" s="1557" t="e">
        <f t="shared" si="9"/>
        <v>#N/A</v>
      </c>
      <c r="T36" s="1556" t="s">
        <v>8</v>
      </c>
      <c r="U36" s="1557" t="e">
        <f t="shared" si="10"/>
        <v>#N/A</v>
      </c>
      <c r="V36" s="1556" t="s">
        <v>8</v>
      </c>
      <c r="W36" s="1557" t="e">
        <f t="shared" si="11"/>
        <v>#N/A</v>
      </c>
      <c r="X36" s="1550"/>
      <c r="Y36" s="3400"/>
      <c r="Z36" s="1558" t="str">
        <f t="shared" si="12"/>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00"/>
      <c r="Q37" s="1144" t="str">
        <f t="shared" si="8"/>
        <v>市政基础设施</v>
      </c>
      <c r="R37" s="1551" t="s">
        <v>8</v>
      </c>
      <c r="S37" s="1552">
        <f t="shared" si="9"/>
        <v>100</v>
      </c>
      <c r="T37" s="1551" t="s">
        <v>8</v>
      </c>
      <c r="U37" s="1552">
        <f t="shared" si="10"/>
        <v>100</v>
      </c>
      <c r="V37" s="1551" t="s">
        <v>8</v>
      </c>
      <c r="W37" s="1552">
        <f t="shared" si="11"/>
        <v>100</v>
      </c>
      <c r="X37" s="1553"/>
      <c r="Y37" s="3400"/>
      <c r="Z37" s="1143" t="str">
        <f t="shared" si="12"/>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00" t="s">
        <v>766</v>
      </c>
      <c r="Q38" s="1555" t="str">
        <f t="shared" si="8"/>
        <v>业态</v>
      </c>
      <c r="R38" s="1556" t="s">
        <v>8</v>
      </c>
      <c r="S38" s="1557">
        <f t="shared" si="9"/>
        <v>100</v>
      </c>
      <c r="T38" s="1556" t="s">
        <v>8</v>
      </c>
      <c r="U38" s="1557">
        <f t="shared" si="10"/>
        <v>100</v>
      </c>
      <c r="V38" s="1556" t="s">
        <v>8</v>
      </c>
      <c r="W38" s="1557">
        <f t="shared" si="11"/>
        <v>100</v>
      </c>
      <c r="X38" s="1550"/>
      <c r="Y38" s="3400" t="s">
        <v>766</v>
      </c>
      <c r="Z38" s="1558" t="str">
        <f t="shared" si="12"/>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0"/>
      <c r="Q39" s="1555" t="str">
        <f t="shared" si="8"/>
        <v>层高</v>
      </c>
      <c r="R39" s="1556" t="s">
        <v>8</v>
      </c>
      <c r="S39" s="1557">
        <f t="shared" si="9"/>
        <v>100</v>
      </c>
      <c r="T39" s="1556" t="s">
        <v>8</v>
      </c>
      <c r="U39" s="1557">
        <f t="shared" si="10"/>
        <v>100</v>
      </c>
      <c r="V39" s="1556" t="s">
        <v>8</v>
      </c>
      <c r="W39" s="1557">
        <f t="shared" si="11"/>
        <v>100</v>
      </c>
      <c r="X39" s="1550"/>
      <c r="Y39" s="3400"/>
      <c r="Z39" s="1558" t="str">
        <f t="shared" si="12"/>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00"/>
      <c r="Q40" s="1555" t="str">
        <f t="shared" si="8"/>
        <v>单套建筑面积</v>
      </c>
      <c r="R40" s="1556" t="s">
        <v>8</v>
      </c>
      <c r="S40" s="1557">
        <f t="shared" si="9"/>
        <v>100</v>
      </c>
      <c r="T40" s="1556" t="s">
        <v>8</v>
      </c>
      <c r="U40" s="1557">
        <f t="shared" si="10"/>
        <v>100</v>
      </c>
      <c r="V40" s="1556" t="s">
        <v>8</v>
      </c>
      <c r="W40" s="1557">
        <f t="shared" si="11"/>
        <v>100</v>
      </c>
      <c r="X40" s="1550"/>
      <c r="Y40" s="3400"/>
      <c r="Z40" s="1558" t="str">
        <f t="shared" si="12"/>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00"/>
      <c r="Q41" s="1587" t="str">
        <f t="shared" si="8"/>
        <v>进深比</v>
      </c>
      <c r="R41" s="1560" t="s">
        <v>8</v>
      </c>
      <c r="S41" s="1561">
        <f t="shared" si="9"/>
        <v>100</v>
      </c>
      <c r="T41" s="1560" t="s">
        <v>8</v>
      </c>
      <c r="U41" s="1561">
        <f t="shared" si="10"/>
        <v>100</v>
      </c>
      <c r="V41" s="1560" t="s">
        <v>8</v>
      </c>
      <c r="W41" s="1561">
        <f t="shared" si="11"/>
        <v>100</v>
      </c>
      <c r="X41" s="1562"/>
      <c r="Y41" s="3400"/>
      <c r="Z41" s="1563" t="str">
        <f t="shared" si="12"/>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00"/>
      <c r="Q42" s="1555" t="str">
        <f t="shared" si="8"/>
        <v>内部装修</v>
      </c>
      <c r="R42" s="1556" t="s">
        <v>8</v>
      </c>
      <c r="S42" s="1557">
        <f t="shared" si="9"/>
        <v>100</v>
      </c>
      <c r="T42" s="1556" t="s">
        <v>8</v>
      </c>
      <c r="U42" s="1557">
        <f t="shared" si="10"/>
        <v>100</v>
      </c>
      <c r="V42" s="1556" t="s">
        <v>8</v>
      </c>
      <c r="W42" s="1557">
        <f t="shared" si="11"/>
        <v>100</v>
      </c>
      <c r="X42" s="1550"/>
      <c r="Y42" s="3400"/>
      <c r="Z42" s="1558" t="str">
        <f t="shared" si="12"/>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00"/>
      <c r="Q43" s="1555" t="str">
        <f t="shared" si="8"/>
        <v>内部装修维护情况</v>
      </c>
      <c r="R43" s="1556" t="s">
        <v>8</v>
      </c>
      <c r="S43" s="1557">
        <f t="shared" si="9"/>
        <v>100</v>
      </c>
      <c r="T43" s="1556" t="s">
        <v>8</v>
      </c>
      <c r="U43" s="1557">
        <f t="shared" si="10"/>
        <v>100</v>
      </c>
      <c r="V43" s="1556" t="s">
        <v>8</v>
      </c>
      <c r="W43" s="1557">
        <f t="shared" si="11"/>
        <v>100</v>
      </c>
      <c r="X43" s="1550"/>
      <c r="Y43" s="3400"/>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00"/>
      <c r="Q44" s="1144">
        <f t="shared" si="8"/>
        <v>111</v>
      </c>
      <c r="R44" s="1551" t="s">
        <v>8</v>
      </c>
      <c r="S44" s="1552">
        <f t="shared" si="9"/>
        <v>100</v>
      </c>
      <c r="T44" s="1551" t="s">
        <v>8</v>
      </c>
      <c r="U44" s="1552">
        <f t="shared" si="10"/>
        <v>100</v>
      </c>
      <c r="V44" s="1551" t="s">
        <v>8</v>
      </c>
      <c r="W44" s="1552">
        <f t="shared" si="11"/>
        <v>100</v>
      </c>
      <c r="X44" s="1553"/>
      <c r="Y44" s="3400"/>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00"/>
      <c r="Q45" s="1555">
        <f t="shared" si="8"/>
        <v>111</v>
      </c>
      <c r="R45" s="1556" t="s">
        <v>8</v>
      </c>
      <c r="S45" s="1557">
        <f t="shared" si="9"/>
        <v>100</v>
      </c>
      <c r="T45" s="1556" t="s">
        <v>8</v>
      </c>
      <c r="U45" s="1557">
        <f t="shared" si="10"/>
        <v>100</v>
      </c>
      <c r="V45" s="1556" t="s">
        <v>8</v>
      </c>
      <c r="W45" s="1557">
        <f t="shared" si="11"/>
        <v>100</v>
      </c>
      <c r="X45" s="1550"/>
      <c r="Y45" s="3400"/>
      <c r="Z45" s="1558">
        <f t="shared" si="12"/>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0"/>
      <c r="Q46" s="1555">
        <f t="shared" si="8"/>
        <v>111</v>
      </c>
      <c r="R46" s="1556" t="s">
        <v>8</v>
      </c>
      <c r="S46" s="1557">
        <f t="shared" si="9"/>
        <v>100</v>
      </c>
      <c r="T46" s="1556" t="s">
        <v>8</v>
      </c>
      <c r="U46" s="1557">
        <f t="shared" si="10"/>
        <v>100</v>
      </c>
      <c r="V46" s="1556" t="s">
        <v>8</v>
      </c>
      <c r="W46" s="1557">
        <f t="shared" si="11"/>
        <v>100</v>
      </c>
      <c r="X46" s="1550"/>
      <c r="Y46" s="3500"/>
      <c r="Z46" s="1558">
        <f t="shared" si="12"/>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395" t="str">
        <f>A47</f>
        <v>成交单价（元/平方米）</v>
      </c>
      <c r="Q47" s="3395"/>
      <c r="R47" s="3499">
        <f>E47</f>
        <v>0</v>
      </c>
      <c r="S47" s="3499"/>
      <c r="T47" s="3499">
        <f>G47</f>
        <v>0</v>
      </c>
      <c r="U47" s="3499"/>
      <c r="V47" s="3499">
        <f>I47</f>
        <v>0</v>
      </c>
      <c r="W47" s="3499"/>
      <c r="X47" s="1542"/>
      <c r="Y47" s="1564"/>
      <c r="Z47" s="1542"/>
      <c r="AA47" s="1542"/>
      <c r="AB47" s="1542"/>
      <c r="AC47" s="1542"/>
    </row>
    <row r="48" spans="1:29" ht="15.75" thickBot="1">
      <c r="A48" s="613" t="s">
        <v>2756</v>
      </c>
      <c r="B48" s="885"/>
      <c r="C48" s="2594" t="e">
        <f>R49</f>
        <v>#DIV/0!</v>
      </c>
      <c r="D48" s="2595"/>
      <c r="E48" s="2596" t="e">
        <f>R48</f>
        <v>#DIV/0!</v>
      </c>
      <c r="F48" s="2596"/>
      <c r="G48" s="2594" t="e">
        <f>T48</f>
        <v>#DIV/0!</v>
      </c>
      <c r="H48" s="2595"/>
      <c r="I48" s="2596" t="e">
        <f>V48</f>
        <v>#DIV/0!</v>
      </c>
      <c r="J48" s="2595"/>
      <c r="K48" s="1594"/>
      <c r="L48" s="2126"/>
      <c r="M48" s="2127"/>
      <c r="N48" s="2116"/>
      <c r="O48" s="2127"/>
      <c r="P48" s="3395" t="str">
        <f>A48</f>
        <v>比较价格（元/平方米）</v>
      </c>
      <c r="Q48" s="3395"/>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416" t="str">
        <f>A49</f>
        <v>估价对象XX用房的比较价格（楼面单价，元/平方米）</v>
      </c>
      <c r="Q49" s="3417"/>
      <c r="R49" s="3498" t="e">
        <f>IF(F1="售价",ROUND(AVERAGE(R48:V48),0),ROUND(AVERAGE(R48:V48),1))</f>
        <v>#DIV/0!</v>
      </c>
      <c r="S49" s="3498"/>
      <c r="T49" s="3498"/>
      <c r="U49" s="3498"/>
      <c r="V49" s="3498"/>
      <c r="W49" s="349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2020-7</v>
      </c>
      <c r="D58" s="2756">
        <f>EDATE(C58,-1)</f>
        <v>43983</v>
      </c>
      <c r="E58" s="2756">
        <f t="shared" ref="E58:O58" si="13">EDATE(D58,-1)</f>
        <v>43952</v>
      </c>
      <c r="F58" s="2756">
        <f t="shared" si="13"/>
        <v>43922</v>
      </c>
      <c r="G58" s="2756">
        <f t="shared" si="13"/>
        <v>43891</v>
      </c>
      <c r="H58" s="2756">
        <f t="shared" si="13"/>
        <v>43862</v>
      </c>
      <c r="I58" s="2756">
        <f t="shared" si="13"/>
        <v>43831</v>
      </c>
      <c r="J58" s="2756">
        <f t="shared" si="13"/>
        <v>43800</v>
      </c>
      <c r="K58" s="2756">
        <f t="shared" si="13"/>
        <v>43770</v>
      </c>
      <c r="L58" s="2756">
        <f t="shared" si="13"/>
        <v>43739</v>
      </c>
      <c r="M58" s="2756">
        <f t="shared" si="13"/>
        <v>43709</v>
      </c>
      <c r="N58" s="2756">
        <f t="shared" si="13"/>
        <v>43678</v>
      </c>
      <c r="O58" s="2756">
        <f t="shared" si="13"/>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01" t="s">
        <v>522</v>
      </c>
      <c r="D4" s="3402"/>
      <c r="E4" s="3425" t="s">
        <v>523</v>
      </c>
      <c r="F4" s="3426"/>
      <c r="G4" s="3401" t="s">
        <v>524</v>
      </c>
      <c r="H4" s="3402"/>
      <c r="I4" s="3401" t="s">
        <v>525</v>
      </c>
      <c r="J4" s="3402"/>
      <c r="K4" s="512" t="s">
        <v>526</v>
      </c>
      <c r="L4" s="2115"/>
      <c r="M4" s="2116"/>
      <c r="N4" s="2116"/>
      <c r="O4" s="2116"/>
      <c r="P4" s="3501" t="s">
        <v>527</v>
      </c>
      <c r="Q4" s="3404"/>
      <c r="R4" s="3389" t="s">
        <v>523</v>
      </c>
      <c r="S4" s="3390"/>
      <c r="T4" s="3389" t="s">
        <v>524</v>
      </c>
      <c r="U4" s="3390"/>
      <c r="V4" s="3409" t="s">
        <v>525</v>
      </c>
      <c r="W4" s="3409"/>
      <c r="X4" s="1550"/>
      <c r="Y4" s="3389" t="s">
        <v>527</v>
      </c>
      <c r="Z4" s="3390"/>
      <c r="AA4" s="3384" t="s">
        <v>523</v>
      </c>
      <c r="AB4" s="3384" t="s">
        <v>524</v>
      </c>
      <c r="AC4" s="3384" t="s">
        <v>525</v>
      </c>
    </row>
    <row r="5" spans="1:29" ht="15">
      <c r="A5" s="513"/>
      <c r="B5" s="514"/>
      <c r="C5" s="3412" t="s">
        <v>2927</v>
      </c>
      <c r="D5" s="3413"/>
      <c r="E5" s="3427" t="s">
        <v>2928</v>
      </c>
      <c r="F5" s="3428"/>
      <c r="G5" s="3412" t="s">
        <v>2929</v>
      </c>
      <c r="H5" s="3413"/>
      <c r="I5" s="3412" t="s">
        <v>2930</v>
      </c>
      <c r="J5" s="3413"/>
      <c r="K5" s="512"/>
      <c r="L5" s="2115"/>
      <c r="M5" s="2116"/>
      <c r="N5" s="2116"/>
      <c r="O5" s="2116"/>
      <c r="P5" s="3502"/>
      <c r="Q5" s="3406"/>
      <c r="R5" s="3391"/>
      <c r="S5" s="3392"/>
      <c r="T5" s="3391"/>
      <c r="U5" s="3392"/>
      <c r="V5" s="3409"/>
      <c r="W5" s="3409"/>
      <c r="X5" s="1550"/>
      <c r="Y5" s="3391"/>
      <c r="Z5" s="3392"/>
      <c r="AA5" s="3385"/>
      <c r="AB5" s="3385"/>
      <c r="AC5" s="3385"/>
    </row>
    <row r="6" spans="1:29" ht="15.75" thickBot="1">
      <c r="A6" s="515"/>
      <c r="B6" s="516"/>
      <c r="C6" s="3410" t="s">
        <v>2931</v>
      </c>
      <c r="D6" s="3411"/>
      <c r="E6" s="3429" t="s">
        <v>2931</v>
      </c>
      <c r="F6" s="3430"/>
      <c r="G6" s="3410" t="s">
        <v>2931</v>
      </c>
      <c r="H6" s="3411"/>
      <c r="I6" s="3410" t="s">
        <v>2931</v>
      </c>
      <c r="J6" s="3411"/>
      <c r="K6" s="512" t="s">
        <v>528</v>
      </c>
      <c r="L6" s="2115"/>
      <c r="M6" s="2116"/>
      <c r="N6" s="2116"/>
      <c r="O6" s="2116"/>
      <c r="P6" s="3503"/>
      <c r="Q6" s="3408"/>
      <c r="R6" s="3391"/>
      <c r="S6" s="3392"/>
      <c r="T6" s="3393"/>
      <c r="U6" s="3394"/>
      <c r="V6" s="3409"/>
      <c r="W6" s="3409"/>
      <c r="X6" s="1550"/>
      <c r="Y6" s="3393"/>
      <c r="Z6" s="3394"/>
      <c r="AA6" s="3386"/>
      <c r="AB6" s="3386"/>
      <c r="AC6" s="3386"/>
    </row>
    <row r="7" spans="1:29" s="1213" customFormat="1" ht="15.75" thickBot="1">
      <c r="A7" s="2863"/>
      <c r="B7" s="2870" t="s">
        <v>529</v>
      </c>
      <c r="C7" s="517">
        <f>'数据-取费表'!B2</f>
        <v>44036</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96" t="s">
        <v>530</v>
      </c>
      <c r="Q7" s="3396"/>
      <c r="R7" s="1551" t="s">
        <v>8</v>
      </c>
      <c r="S7" s="1552">
        <f t="shared" ref="S7:S15" si="0">F7</f>
        <v>0</v>
      </c>
      <c r="T7" s="1551" t="s">
        <v>8</v>
      </c>
      <c r="U7" s="1552">
        <f t="shared" ref="U7:U15" si="1">H7</f>
        <v>0</v>
      </c>
      <c r="V7" s="1551" t="s">
        <v>8</v>
      </c>
      <c r="W7" s="1552">
        <f t="shared" ref="W7:W15" si="2">J7</f>
        <v>0</v>
      </c>
      <c r="X7" s="1553"/>
      <c r="Y7" s="3387" t="s">
        <v>530</v>
      </c>
      <c r="Z7" s="3388"/>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96" t="s">
        <v>533</v>
      </c>
      <c r="Q8" s="3388"/>
      <c r="R8" s="1551" t="s">
        <v>8</v>
      </c>
      <c r="S8" s="1552">
        <f t="shared" si="0"/>
        <v>0</v>
      </c>
      <c r="T8" s="1551" t="s">
        <v>8</v>
      </c>
      <c r="U8" s="1552">
        <f t="shared" si="1"/>
        <v>0</v>
      </c>
      <c r="V8" s="1551" t="s">
        <v>8</v>
      </c>
      <c r="W8" s="1552">
        <f t="shared" si="2"/>
        <v>0</v>
      </c>
      <c r="X8" s="1553"/>
      <c r="Y8" s="3387" t="s">
        <v>533</v>
      </c>
      <c r="Z8" s="3388"/>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5" t="s">
        <v>535</v>
      </c>
      <c r="Q9" s="1144" t="str">
        <f t="shared" ref="Q9:Q15" si="6">B9</f>
        <v>用途</v>
      </c>
      <c r="R9" s="1551" t="s">
        <v>8</v>
      </c>
      <c r="S9" s="1552">
        <f t="shared" si="0"/>
        <v>100</v>
      </c>
      <c r="T9" s="1551" t="s">
        <v>8</v>
      </c>
      <c r="U9" s="1552">
        <f t="shared" si="1"/>
        <v>100</v>
      </c>
      <c r="V9" s="1551" t="s">
        <v>8</v>
      </c>
      <c r="W9" s="1552">
        <f t="shared" si="2"/>
        <v>100</v>
      </c>
      <c r="X9" s="1553"/>
      <c r="Y9" s="3352"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5"/>
      <c r="Q10" s="1144" t="str">
        <f t="shared" si="6"/>
        <v>土地使用年限（年）</v>
      </c>
      <c r="R10" s="1551" t="s">
        <v>8</v>
      </c>
      <c r="S10" s="1552">
        <f t="shared" si="0"/>
        <v>100</v>
      </c>
      <c r="T10" s="1551" t="s">
        <v>8</v>
      </c>
      <c r="U10" s="1552">
        <f t="shared" si="1"/>
        <v>100</v>
      </c>
      <c r="V10" s="1551" t="s">
        <v>8</v>
      </c>
      <c r="W10" s="1552">
        <f t="shared" si="2"/>
        <v>100</v>
      </c>
      <c r="X10" s="1553"/>
      <c r="Y10" s="3352"/>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5"/>
      <c r="Q11" s="1144" t="str">
        <f t="shared" si="6"/>
        <v>容积率</v>
      </c>
      <c r="R11" s="1551" t="s">
        <v>8</v>
      </c>
      <c r="S11" s="1552" t="e">
        <f t="shared" si="0"/>
        <v>#N/A</v>
      </c>
      <c r="T11" s="1551" t="s">
        <v>8</v>
      </c>
      <c r="U11" s="1552" t="e">
        <f t="shared" si="1"/>
        <v>#N/A</v>
      </c>
      <c r="V11" s="1551" t="s">
        <v>8</v>
      </c>
      <c r="W11" s="1552" t="e">
        <f t="shared" si="2"/>
        <v>#N/A</v>
      </c>
      <c r="X11" s="1553"/>
      <c r="Y11" s="3352"/>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95"/>
      <c r="Q12" s="1144">
        <f t="shared" si="6"/>
        <v>111</v>
      </c>
      <c r="R12" s="1551" t="s">
        <v>8</v>
      </c>
      <c r="S12" s="1552">
        <f t="shared" si="0"/>
        <v>100</v>
      </c>
      <c r="T12" s="1551" t="s">
        <v>8</v>
      </c>
      <c r="U12" s="1552">
        <f t="shared" si="1"/>
        <v>100</v>
      </c>
      <c r="V12" s="1551" t="s">
        <v>8</v>
      </c>
      <c r="W12" s="1552">
        <f t="shared" si="2"/>
        <v>100</v>
      </c>
      <c r="X12" s="1553"/>
      <c r="Y12" s="3352"/>
      <c r="Z12" s="1143">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95"/>
      <c r="Q13" s="1144">
        <f t="shared" si="6"/>
        <v>111</v>
      </c>
      <c r="R13" s="1551" t="s">
        <v>8</v>
      </c>
      <c r="S13" s="1552">
        <f t="shared" si="0"/>
        <v>100</v>
      </c>
      <c r="T13" s="1551" t="s">
        <v>8</v>
      </c>
      <c r="U13" s="1552">
        <f t="shared" si="1"/>
        <v>100</v>
      </c>
      <c r="V13" s="1551" t="s">
        <v>8</v>
      </c>
      <c r="W13" s="1552">
        <f t="shared" si="2"/>
        <v>100</v>
      </c>
      <c r="X13" s="1553"/>
      <c r="Y13" s="3352"/>
      <c r="Z13" s="1143">
        <f t="shared" si="7"/>
        <v>111</v>
      </c>
      <c r="AA13" s="1554">
        <f t="shared" si="3"/>
        <v>1</v>
      </c>
      <c r="AB13" s="1554">
        <f t="shared" si="4"/>
        <v>1</v>
      </c>
      <c r="AC13" s="1554">
        <f t="shared" si="5"/>
        <v>1</v>
      </c>
    </row>
    <row r="14" spans="1:29" ht="15.75" thickBot="1">
      <c r="A14" s="2869"/>
      <c r="B14" s="2875">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95"/>
      <c r="Q14" s="1144">
        <f t="shared" si="6"/>
        <v>111</v>
      </c>
      <c r="R14" s="1551" t="s">
        <v>8</v>
      </c>
      <c r="S14" s="1552">
        <f t="shared" si="0"/>
        <v>100</v>
      </c>
      <c r="T14" s="1551" t="s">
        <v>8</v>
      </c>
      <c r="U14" s="1552">
        <f t="shared" si="1"/>
        <v>100</v>
      </c>
      <c r="V14" s="1551" t="s">
        <v>8</v>
      </c>
      <c r="W14" s="1552">
        <f t="shared" si="2"/>
        <v>100</v>
      </c>
      <c r="X14" s="1553"/>
      <c r="Y14" s="3352"/>
      <c r="Z14" s="1143">
        <f t="shared" si="7"/>
        <v>111</v>
      </c>
      <c r="AA14" s="1554">
        <f t="shared" si="3"/>
        <v>1</v>
      </c>
      <c r="AB14" s="1554">
        <f t="shared" si="4"/>
        <v>1</v>
      </c>
      <c r="AC14" s="1554">
        <f t="shared" si="5"/>
        <v>1</v>
      </c>
    </row>
    <row r="15" spans="1:29" ht="71.25">
      <c r="A15" s="2861"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397" t="s">
        <v>540</v>
      </c>
      <c r="Q15" s="1555" t="str">
        <f t="shared" si="6"/>
        <v>办公集聚程度</v>
      </c>
      <c r="R15" s="1556" t="s">
        <v>8</v>
      </c>
      <c r="S15" s="1557">
        <f t="shared" si="0"/>
        <v>100</v>
      </c>
      <c r="T15" s="1556" t="s">
        <v>8</v>
      </c>
      <c r="U15" s="1557">
        <f t="shared" si="1"/>
        <v>100</v>
      </c>
      <c r="V15" s="1556" t="s">
        <v>8</v>
      </c>
      <c r="W15" s="1557">
        <f t="shared" si="2"/>
        <v>100</v>
      </c>
      <c r="X15" s="1550"/>
      <c r="Y15" s="3397"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398"/>
      <c r="Q16" s="1555"/>
      <c r="R16" s="1556"/>
      <c r="S16" s="1557"/>
      <c r="T16" s="1556"/>
      <c r="U16" s="1557"/>
      <c r="V16" s="1556"/>
      <c r="W16" s="1557"/>
      <c r="X16" s="1550"/>
      <c r="Y16" s="3398"/>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398"/>
      <c r="Q17" s="1555" t="str">
        <f>B17</f>
        <v>交通便捷度</v>
      </c>
      <c r="R17" s="1556" t="s">
        <v>8</v>
      </c>
      <c r="S17" s="1557">
        <f>F17</f>
        <v>100</v>
      </c>
      <c r="T17" s="1556" t="s">
        <v>8</v>
      </c>
      <c r="U17" s="1557">
        <f>H17</f>
        <v>100</v>
      </c>
      <c r="V17" s="1556" t="s">
        <v>8</v>
      </c>
      <c r="W17" s="1557">
        <f>J17</f>
        <v>100</v>
      </c>
      <c r="X17" s="1550"/>
      <c r="Y17" s="3398"/>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398"/>
      <c r="Q18" s="1555"/>
      <c r="R18" s="1556"/>
      <c r="S18" s="1557"/>
      <c r="T18" s="1556"/>
      <c r="U18" s="1557"/>
      <c r="V18" s="1556"/>
      <c r="W18" s="1557"/>
      <c r="X18" s="1550"/>
      <c r="Y18" s="3398"/>
      <c r="Z18" s="1558"/>
      <c r="AA18" s="1559">
        <v>1</v>
      </c>
      <c r="AB18" s="1559">
        <v>1</v>
      </c>
      <c r="AC18" s="1559">
        <v>1</v>
      </c>
    </row>
    <row r="19" spans="1:29" ht="42.75">
      <c r="A19" s="530"/>
      <c r="B19" s="2564"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398"/>
      <c r="Q19" s="1555" t="str">
        <f>B19</f>
        <v>公共配套设施</v>
      </c>
      <c r="R19" s="1556" t="s">
        <v>8</v>
      </c>
      <c r="S19" s="1557">
        <f>F19</f>
        <v>100</v>
      </c>
      <c r="T19" s="1556" t="s">
        <v>8</v>
      </c>
      <c r="U19" s="1557">
        <f>H19</f>
        <v>100</v>
      </c>
      <c r="V19" s="1556" t="s">
        <v>8</v>
      </c>
      <c r="W19" s="1557">
        <f>J19</f>
        <v>100</v>
      </c>
      <c r="X19" s="1550"/>
      <c r="Y19" s="3398"/>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398"/>
      <c r="Q20" s="1555"/>
      <c r="R20" s="1556"/>
      <c r="S20" s="1557"/>
      <c r="T20" s="1556"/>
      <c r="U20" s="1557"/>
      <c r="V20" s="1556"/>
      <c r="W20" s="1557"/>
      <c r="X20" s="1550"/>
      <c r="Y20" s="3398"/>
      <c r="Z20" s="1558"/>
      <c r="AA20" s="1559">
        <v>1</v>
      </c>
      <c r="AB20" s="1559">
        <v>1</v>
      </c>
      <c r="AC20" s="1559">
        <v>1</v>
      </c>
    </row>
    <row r="21" spans="1:29" ht="28.5">
      <c r="A21" s="530"/>
      <c r="B21" s="2552"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398"/>
      <c r="Q21" s="2540" t="str">
        <f>B21</f>
        <v>基础设施水平</v>
      </c>
      <c r="R21" s="1556" t="s">
        <v>8</v>
      </c>
      <c r="S21" s="1557">
        <f>F21</f>
        <v>100</v>
      </c>
      <c r="T21" s="1556" t="s">
        <v>8</v>
      </c>
      <c r="U21" s="1557">
        <f>H21</f>
        <v>100</v>
      </c>
      <c r="V21" s="1556" t="s">
        <v>8</v>
      </c>
      <c r="W21" s="1557">
        <f>J21</f>
        <v>100</v>
      </c>
      <c r="X21" s="2542"/>
      <c r="Y21" s="3398"/>
      <c r="Z21" s="2541" t="str">
        <f>Q21</f>
        <v>基础设施水平</v>
      </c>
      <c r="AA21" s="1559">
        <f>D21/F21</f>
        <v>1</v>
      </c>
      <c r="AB21" s="1559">
        <f>D21/H21</f>
        <v>1</v>
      </c>
      <c r="AC21" s="1559">
        <f>D21/J21</f>
        <v>1</v>
      </c>
    </row>
    <row r="22" spans="1:29" ht="15">
      <c r="A22" s="530"/>
      <c r="B22" s="576"/>
      <c r="C22" s="565"/>
      <c r="D22" s="553"/>
      <c r="E22" s="574"/>
      <c r="F22" s="553"/>
      <c r="G22" s="552"/>
      <c r="H22" s="553"/>
      <c r="I22" s="552"/>
      <c r="J22" s="553"/>
      <c r="K22" s="2563"/>
      <c r="L22" s="2124"/>
      <c r="M22" s="2116"/>
      <c r="N22" s="2116"/>
      <c r="O22" s="2116"/>
      <c r="P22" s="3398"/>
      <c r="Q22" s="2540"/>
      <c r="R22" s="1556"/>
      <c r="S22" s="1557"/>
      <c r="T22" s="1556"/>
      <c r="U22" s="1557"/>
      <c r="V22" s="1556"/>
      <c r="W22" s="1557"/>
      <c r="X22" s="2542"/>
      <c r="Y22" s="3398"/>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398"/>
      <c r="Q23" s="1555" t="str">
        <f>B23</f>
        <v>环境质量</v>
      </c>
      <c r="R23" s="1556" t="s">
        <v>8</v>
      </c>
      <c r="S23" s="1557">
        <f>F23</f>
        <v>100</v>
      </c>
      <c r="T23" s="1556" t="s">
        <v>8</v>
      </c>
      <c r="U23" s="1557">
        <f>H23</f>
        <v>100</v>
      </c>
      <c r="V23" s="1556" t="s">
        <v>8</v>
      </c>
      <c r="W23" s="1557">
        <f>J23</f>
        <v>100</v>
      </c>
      <c r="X23" s="1550"/>
      <c r="Y23" s="3398"/>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398"/>
      <c r="Q24" s="1555"/>
      <c r="R24" s="1556"/>
      <c r="S24" s="1557"/>
      <c r="T24" s="1556"/>
      <c r="U24" s="1557"/>
      <c r="V24" s="1556"/>
      <c r="W24" s="1557"/>
      <c r="X24" s="1550"/>
      <c r="Y24" s="3398"/>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398"/>
      <c r="Q25" s="1555" t="str">
        <f>B25</f>
        <v>毗邻道路的类型与等级</v>
      </c>
      <c r="R25" s="1556" t="s">
        <v>8</v>
      </c>
      <c r="S25" s="1557">
        <f>F25</f>
        <v>100</v>
      </c>
      <c r="T25" s="1556" t="s">
        <v>8</v>
      </c>
      <c r="U25" s="1557">
        <f>H25</f>
        <v>100</v>
      </c>
      <c r="V25" s="1556" t="s">
        <v>8</v>
      </c>
      <c r="W25" s="1557">
        <f>J25</f>
        <v>100</v>
      </c>
      <c r="X25" s="1550"/>
      <c r="Y25" s="3398"/>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398"/>
      <c r="Q26" s="1555"/>
      <c r="R26" s="1556"/>
      <c r="S26" s="1557"/>
      <c r="T26" s="1556"/>
      <c r="U26" s="1557"/>
      <c r="V26" s="1556"/>
      <c r="W26" s="1557"/>
      <c r="X26" s="1550"/>
      <c r="Y26" s="3398"/>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398"/>
      <c r="Q27" s="1555" t="str">
        <f t="shared" ref="Q27:Q47" si="8">B27</f>
        <v>楼层</v>
      </c>
      <c r="R27" s="1556" t="s">
        <v>8</v>
      </c>
      <c r="S27" s="1557">
        <f>F27</f>
        <v>100</v>
      </c>
      <c r="T27" s="1556" t="s">
        <v>8</v>
      </c>
      <c r="U27" s="1557">
        <f>H27</f>
        <v>100</v>
      </c>
      <c r="V27" s="1556" t="s">
        <v>8</v>
      </c>
      <c r="W27" s="1557">
        <f>J27</f>
        <v>100</v>
      </c>
      <c r="X27" s="1550"/>
      <c r="Y27" s="3398"/>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398"/>
      <c r="Q28" s="1144" t="str">
        <f t="shared" si="8"/>
        <v>朝向</v>
      </c>
      <c r="R28" s="1551" t="s">
        <v>8</v>
      </c>
      <c r="S28" s="1552">
        <f>F28</f>
        <v>100</v>
      </c>
      <c r="T28" s="1551" t="s">
        <v>8</v>
      </c>
      <c r="U28" s="1552">
        <f>H28</f>
        <v>100</v>
      </c>
      <c r="V28" s="1551" t="s">
        <v>8</v>
      </c>
      <c r="W28" s="1552">
        <f>J28</f>
        <v>100</v>
      </c>
      <c r="X28" s="1553"/>
      <c r="Y28" s="3398"/>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398"/>
      <c r="Q29" s="1555">
        <f t="shared" si="8"/>
        <v>111</v>
      </c>
      <c r="R29" s="1556" t="s">
        <v>8</v>
      </c>
      <c r="S29" s="1557">
        <f t="shared" ref="S29:S47" si="9">F29</f>
        <v>100</v>
      </c>
      <c r="T29" s="1556" t="s">
        <v>8</v>
      </c>
      <c r="U29" s="1557">
        <f t="shared" ref="U29:U47" si="10">H29</f>
        <v>100</v>
      </c>
      <c r="V29" s="1556" t="s">
        <v>8</v>
      </c>
      <c r="W29" s="1557">
        <f t="shared" ref="W29:W47" si="11">J29</f>
        <v>100</v>
      </c>
      <c r="X29" s="1550"/>
      <c r="Y29" s="3398"/>
      <c r="Z29" s="1558">
        <f t="shared" ref="Z29:Z47" si="12">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398"/>
      <c r="Q30" s="1555">
        <f t="shared" si="8"/>
        <v>111</v>
      </c>
      <c r="R30" s="1556" t="s">
        <v>8</v>
      </c>
      <c r="S30" s="1557">
        <f t="shared" si="9"/>
        <v>100</v>
      </c>
      <c r="T30" s="1556" t="s">
        <v>8</v>
      </c>
      <c r="U30" s="1557">
        <f t="shared" si="10"/>
        <v>100</v>
      </c>
      <c r="V30" s="1556" t="s">
        <v>8</v>
      </c>
      <c r="W30" s="1557">
        <f t="shared" si="11"/>
        <v>100</v>
      </c>
      <c r="X30" s="1550"/>
      <c r="Y30" s="3398"/>
      <c r="Z30" s="1558">
        <f t="shared" si="12"/>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398"/>
      <c r="Q31" s="1555">
        <f t="shared" si="8"/>
        <v>111</v>
      </c>
      <c r="R31" s="1556" t="s">
        <v>8</v>
      </c>
      <c r="S31" s="1557">
        <f t="shared" si="9"/>
        <v>100</v>
      </c>
      <c r="T31" s="1556" t="s">
        <v>8</v>
      </c>
      <c r="U31" s="1557">
        <f t="shared" si="10"/>
        <v>100</v>
      </c>
      <c r="V31" s="1556" t="s">
        <v>8</v>
      </c>
      <c r="W31" s="1557">
        <f t="shared" si="11"/>
        <v>100</v>
      </c>
      <c r="X31" s="1550"/>
      <c r="Y31" s="3398"/>
      <c r="Z31" s="1558">
        <f t="shared" si="12"/>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398"/>
      <c r="Q32" s="1555">
        <f t="shared" si="8"/>
        <v>111</v>
      </c>
      <c r="R32" s="1556" t="s">
        <v>8</v>
      </c>
      <c r="S32" s="1557">
        <f t="shared" si="9"/>
        <v>100</v>
      </c>
      <c r="T32" s="1556" t="s">
        <v>8</v>
      </c>
      <c r="U32" s="1557">
        <f t="shared" si="10"/>
        <v>100</v>
      </c>
      <c r="V32" s="1556" t="s">
        <v>8</v>
      </c>
      <c r="W32" s="1557">
        <f t="shared" si="11"/>
        <v>100</v>
      </c>
      <c r="X32" s="1550"/>
      <c r="Y32" s="3398"/>
      <c r="Z32" s="1558">
        <f t="shared" si="12"/>
        <v>111</v>
      </c>
      <c r="AA32" s="1559">
        <f t="shared" si="3"/>
        <v>1</v>
      </c>
      <c r="AB32" s="1559">
        <f t="shared" si="4"/>
        <v>1</v>
      </c>
      <c r="AC32" s="1559">
        <f t="shared" si="5"/>
        <v>1</v>
      </c>
    </row>
    <row r="33" spans="1:29" ht="15">
      <c r="A33" s="2859"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399" t="s">
        <v>550</v>
      </c>
      <c r="Q33" s="1555" t="str">
        <f t="shared" si="8"/>
        <v>建筑类型</v>
      </c>
      <c r="R33" s="1556" t="s">
        <v>8</v>
      </c>
      <c r="S33" s="1557">
        <f t="shared" si="9"/>
        <v>100</v>
      </c>
      <c r="T33" s="1556" t="s">
        <v>8</v>
      </c>
      <c r="U33" s="1557">
        <f t="shared" si="10"/>
        <v>100</v>
      </c>
      <c r="V33" s="1556" t="s">
        <v>8</v>
      </c>
      <c r="W33" s="1557">
        <f t="shared" si="11"/>
        <v>100</v>
      </c>
      <c r="X33" s="1550"/>
      <c r="Y33" s="3400" t="s">
        <v>550</v>
      </c>
      <c r="Z33" s="1558" t="str">
        <f t="shared" si="12"/>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00"/>
      <c r="Q34" s="1587" t="str">
        <f t="shared" si="8"/>
        <v>项目建筑规模</v>
      </c>
      <c r="R34" s="1560" t="s">
        <v>8</v>
      </c>
      <c r="S34" s="1561" t="e">
        <f t="shared" si="9"/>
        <v>#N/A</v>
      </c>
      <c r="T34" s="1560" t="s">
        <v>8</v>
      </c>
      <c r="U34" s="1561" t="e">
        <f t="shared" si="10"/>
        <v>#N/A</v>
      </c>
      <c r="V34" s="1560" t="s">
        <v>8</v>
      </c>
      <c r="W34" s="1561" t="e">
        <f t="shared" si="11"/>
        <v>#N/A</v>
      </c>
      <c r="X34" s="1562"/>
      <c r="Y34" s="3400"/>
      <c r="Z34" s="1563" t="str">
        <f t="shared" si="12"/>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00"/>
      <c r="Q35" s="1555" t="str">
        <f t="shared" si="8"/>
        <v>建筑结构</v>
      </c>
      <c r="R35" s="1556" t="s">
        <v>8</v>
      </c>
      <c r="S35" s="1557">
        <f t="shared" si="9"/>
        <v>100</v>
      </c>
      <c r="T35" s="1556" t="s">
        <v>8</v>
      </c>
      <c r="U35" s="1557">
        <f t="shared" si="10"/>
        <v>100</v>
      </c>
      <c r="V35" s="1556" t="s">
        <v>8</v>
      </c>
      <c r="W35" s="1557">
        <f t="shared" si="11"/>
        <v>100</v>
      </c>
      <c r="X35" s="1550"/>
      <c r="Y35" s="3400"/>
      <c r="Z35" s="1558" t="str">
        <f t="shared" si="12"/>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00"/>
      <c r="Q36" s="1555" t="str">
        <f t="shared" si="8"/>
        <v>公共部分装修</v>
      </c>
      <c r="R36" s="1556" t="s">
        <v>8</v>
      </c>
      <c r="S36" s="1557">
        <f t="shared" si="9"/>
        <v>100</v>
      </c>
      <c r="T36" s="1556" t="s">
        <v>8</v>
      </c>
      <c r="U36" s="1557">
        <f t="shared" si="10"/>
        <v>100</v>
      </c>
      <c r="V36" s="1556" t="s">
        <v>8</v>
      </c>
      <c r="W36" s="1557">
        <f t="shared" si="11"/>
        <v>100</v>
      </c>
      <c r="X36" s="1550"/>
      <c r="Y36" s="3400"/>
      <c r="Z36" s="1558" t="str">
        <f t="shared" si="12"/>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00"/>
      <c r="Q37" s="1555" t="str">
        <f t="shared" si="8"/>
        <v>成新度</v>
      </c>
      <c r="R37" s="1556" t="s">
        <v>8</v>
      </c>
      <c r="S37" s="1557" t="e">
        <f t="shared" si="9"/>
        <v>#N/A</v>
      </c>
      <c r="T37" s="1556" t="s">
        <v>8</v>
      </c>
      <c r="U37" s="1557" t="e">
        <f t="shared" si="10"/>
        <v>#N/A</v>
      </c>
      <c r="V37" s="1556" t="s">
        <v>8</v>
      </c>
      <c r="W37" s="1557" t="e">
        <f t="shared" si="11"/>
        <v>#N/A</v>
      </c>
      <c r="X37" s="1550"/>
      <c r="Y37" s="3400"/>
      <c r="Z37" s="1558" t="str">
        <f t="shared" si="12"/>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00"/>
      <c r="Q38" s="1144" t="str">
        <f t="shared" si="8"/>
        <v>写字楼等级</v>
      </c>
      <c r="R38" s="1551" t="s">
        <v>8</v>
      </c>
      <c r="S38" s="1552">
        <f t="shared" si="9"/>
        <v>100</v>
      </c>
      <c r="T38" s="1551" t="s">
        <v>8</v>
      </c>
      <c r="U38" s="1552">
        <f t="shared" si="10"/>
        <v>100</v>
      </c>
      <c r="V38" s="1551" t="s">
        <v>8</v>
      </c>
      <c r="W38" s="1552">
        <f t="shared" si="11"/>
        <v>100</v>
      </c>
      <c r="X38" s="1553"/>
      <c r="Y38" s="3400"/>
      <c r="Z38" s="1143" t="str">
        <f t="shared" si="12"/>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00" t="s">
        <v>550</v>
      </c>
      <c r="Q39" s="1555" t="str">
        <f t="shared" si="8"/>
        <v>物业管理</v>
      </c>
      <c r="R39" s="1556" t="s">
        <v>8</v>
      </c>
      <c r="S39" s="1557">
        <f t="shared" si="9"/>
        <v>100</v>
      </c>
      <c r="T39" s="1556" t="s">
        <v>8</v>
      </c>
      <c r="U39" s="1557">
        <f t="shared" si="10"/>
        <v>100</v>
      </c>
      <c r="V39" s="1556" t="s">
        <v>8</v>
      </c>
      <c r="W39" s="1557">
        <f t="shared" si="11"/>
        <v>100</v>
      </c>
      <c r="X39" s="1550"/>
      <c r="Y39" s="3400" t="s">
        <v>550</v>
      </c>
      <c r="Z39" s="1558" t="str">
        <f t="shared" si="12"/>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00"/>
      <c r="Q40" s="1555" t="str">
        <f t="shared" si="8"/>
        <v>市政基础设施</v>
      </c>
      <c r="R40" s="1556" t="s">
        <v>8</v>
      </c>
      <c r="S40" s="1557">
        <f t="shared" si="9"/>
        <v>100</v>
      </c>
      <c r="T40" s="1556" t="s">
        <v>8</v>
      </c>
      <c r="U40" s="1557">
        <f t="shared" si="10"/>
        <v>100</v>
      </c>
      <c r="V40" s="1556" t="s">
        <v>8</v>
      </c>
      <c r="W40" s="1557">
        <f t="shared" si="11"/>
        <v>100</v>
      </c>
      <c r="X40" s="1550"/>
      <c r="Y40" s="3400"/>
      <c r="Z40" s="1558" t="str">
        <f t="shared" si="12"/>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00"/>
      <c r="Q41" s="1555" t="str">
        <f t="shared" si="8"/>
        <v>层高</v>
      </c>
      <c r="R41" s="1556" t="s">
        <v>8</v>
      </c>
      <c r="S41" s="1557">
        <f t="shared" si="9"/>
        <v>100</v>
      </c>
      <c r="T41" s="1556" t="s">
        <v>8</v>
      </c>
      <c r="U41" s="1557">
        <f t="shared" si="10"/>
        <v>100</v>
      </c>
      <c r="V41" s="1556" t="s">
        <v>8</v>
      </c>
      <c r="W41" s="1557">
        <f t="shared" si="11"/>
        <v>100</v>
      </c>
      <c r="X41" s="1550"/>
      <c r="Y41" s="3400"/>
      <c r="Z41" s="1558" t="str">
        <f t="shared" si="12"/>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00"/>
      <c r="Q42" s="1587" t="str">
        <f t="shared" si="8"/>
        <v>单套建筑面积</v>
      </c>
      <c r="R42" s="1560" t="s">
        <v>8</v>
      </c>
      <c r="S42" s="1561">
        <f t="shared" si="9"/>
        <v>100</v>
      </c>
      <c r="T42" s="1560" t="s">
        <v>8</v>
      </c>
      <c r="U42" s="1561">
        <f t="shared" si="10"/>
        <v>100</v>
      </c>
      <c r="V42" s="1560" t="s">
        <v>8</v>
      </c>
      <c r="W42" s="1561">
        <f t="shared" si="11"/>
        <v>100</v>
      </c>
      <c r="X42" s="1562"/>
      <c r="Y42" s="3400"/>
      <c r="Z42" s="1563" t="str">
        <f t="shared" si="12"/>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00"/>
      <c r="Q43" s="1555" t="str">
        <f t="shared" si="8"/>
        <v>内部装修</v>
      </c>
      <c r="R43" s="1556" t="s">
        <v>8</v>
      </c>
      <c r="S43" s="1557">
        <f t="shared" si="9"/>
        <v>100</v>
      </c>
      <c r="T43" s="1556" t="s">
        <v>8</v>
      </c>
      <c r="U43" s="1557">
        <f t="shared" si="10"/>
        <v>100</v>
      </c>
      <c r="V43" s="1556" t="s">
        <v>8</v>
      </c>
      <c r="W43" s="1557">
        <f t="shared" si="11"/>
        <v>100</v>
      </c>
      <c r="X43" s="1550"/>
      <c r="Y43" s="3400"/>
      <c r="Z43" s="1558" t="str">
        <f t="shared" si="12"/>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00"/>
      <c r="Q44" s="1555" t="str">
        <f t="shared" si="8"/>
        <v>内部装修维护情况</v>
      </c>
      <c r="R44" s="1556" t="s">
        <v>8</v>
      </c>
      <c r="S44" s="1557">
        <f t="shared" si="9"/>
        <v>100</v>
      </c>
      <c r="T44" s="1556" t="s">
        <v>8</v>
      </c>
      <c r="U44" s="1557">
        <f t="shared" si="10"/>
        <v>100</v>
      </c>
      <c r="V44" s="1556" t="s">
        <v>8</v>
      </c>
      <c r="W44" s="1557">
        <f t="shared" si="11"/>
        <v>100</v>
      </c>
      <c r="X44" s="1550"/>
      <c r="Y44" s="3400"/>
      <c r="Z44" s="1558" t="str">
        <f t="shared" si="12"/>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00"/>
      <c r="Q45" s="1144">
        <f t="shared" si="8"/>
        <v>111</v>
      </c>
      <c r="R45" s="1551" t="s">
        <v>8</v>
      </c>
      <c r="S45" s="1552">
        <f t="shared" si="9"/>
        <v>100</v>
      </c>
      <c r="T45" s="1551" t="s">
        <v>8</v>
      </c>
      <c r="U45" s="1552">
        <f t="shared" si="10"/>
        <v>100</v>
      </c>
      <c r="V45" s="1551" t="s">
        <v>8</v>
      </c>
      <c r="W45" s="1552">
        <f t="shared" si="11"/>
        <v>100</v>
      </c>
      <c r="X45" s="1553"/>
      <c r="Y45" s="3400"/>
      <c r="Z45" s="1143">
        <f t="shared" si="12"/>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00"/>
      <c r="Q46" s="1555">
        <f t="shared" si="8"/>
        <v>111</v>
      </c>
      <c r="R46" s="1556" t="s">
        <v>8</v>
      </c>
      <c r="S46" s="1557">
        <f t="shared" si="9"/>
        <v>100</v>
      </c>
      <c r="T46" s="1556" t="s">
        <v>8</v>
      </c>
      <c r="U46" s="1557">
        <f t="shared" si="10"/>
        <v>100</v>
      </c>
      <c r="V46" s="1556" t="s">
        <v>8</v>
      </c>
      <c r="W46" s="1557">
        <f t="shared" si="11"/>
        <v>100</v>
      </c>
      <c r="X46" s="1550"/>
      <c r="Y46" s="3400"/>
      <c r="Z46" s="1558">
        <f t="shared" si="12"/>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0"/>
      <c r="Q47" s="1555">
        <f t="shared" si="8"/>
        <v>111</v>
      </c>
      <c r="R47" s="1556" t="s">
        <v>8</v>
      </c>
      <c r="S47" s="1557">
        <f t="shared" si="9"/>
        <v>100</v>
      </c>
      <c r="T47" s="1556" t="s">
        <v>8</v>
      </c>
      <c r="U47" s="1557">
        <f t="shared" si="10"/>
        <v>100</v>
      </c>
      <c r="V47" s="1556" t="s">
        <v>8</v>
      </c>
      <c r="W47" s="1557">
        <f t="shared" si="11"/>
        <v>100</v>
      </c>
      <c r="X47" s="1550"/>
      <c r="Y47" s="3500"/>
      <c r="Z47" s="1558">
        <f t="shared" si="12"/>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417" t="str">
        <f>A48</f>
        <v>成交单价（元/平方米）</v>
      </c>
      <c r="Q48" s="3395"/>
      <c r="R48" s="3499">
        <f>E48</f>
        <v>0</v>
      </c>
      <c r="S48" s="3499"/>
      <c r="T48" s="3499">
        <f>G48</f>
        <v>0</v>
      </c>
      <c r="U48" s="3499"/>
      <c r="V48" s="3499">
        <f>I48</f>
        <v>0</v>
      </c>
      <c r="W48" s="3499"/>
      <c r="X48" s="1542"/>
      <c r="Y48" s="1564"/>
      <c r="Z48" s="1542"/>
      <c r="AA48" s="1542"/>
      <c r="AB48" s="1542"/>
      <c r="AC48" s="1542"/>
    </row>
    <row r="49" spans="1:29" ht="15.75" thickBot="1">
      <c r="A49" s="613" t="s">
        <v>2756</v>
      </c>
      <c r="B49" s="885"/>
      <c r="C49" s="2594" t="e">
        <f>R50</f>
        <v>#DIV/0!</v>
      </c>
      <c r="D49" s="2595"/>
      <c r="E49" s="2596" t="e">
        <f>R49</f>
        <v>#DIV/0!</v>
      </c>
      <c r="F49" s="2596"/>
      <c r="G49" s="2594" t="e">
        <f>T49</f>
        <v>#DIV/0!</v>
      </c>
      <c r="H49" s="2595"/>
      <c r="I49" s="2596" t="e">
        <f>V49</f>
        <v>#DIV/0!</v>
      </c>
      <c r="J49" s="2595"/>
      <c r="K49" s="1594"/>
      <c r="L49" s="2126"/>
      <c r="M49" s="2116"/>
      <c r="N49" s="2116"/>
      <c r="O49" s="2116"/>
      <c r="P49" s="3417" t="str">
        <f>A49</f>
        <v>比较价格（元/平方米）</v>
      </c>
      <c r="Q49" s="3395"/>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504" t="str">
        <f>A50</f>
        <v>估价对象XX用房的比较价格（楼面单价，元/平方米）</v>
      </c>
      <c r="Q50" s="3417"/>
      <c r="R50" s="3498" t="e">
        <f>IF(F1="售价",ROUND(AVERAGE(R49:V49),0),ROUND(AVERAGE(R49:V49),1))</f>
        <v>#DIV/0!</v>
      </c>
      <c r="S50" s="3498"/>
      <c r="T50" s="3498"/>
      <c r="U50" s="3498"/>
      <c r="V50" s="3498"/>
      <c r="W50" s="3498"/>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2020-7</v>
      </c>
      <c r="D59" s="2756">
        <f>EDATE(C59,-1)</f>
        <v>43983</v>
      </c>
      <c r="E59" s="2756">
        <f t="shared" ref="E59:O59" si="13">EDATE(D59,-1)</f>
        <v>43952</v>
      </c>
      <c r="F59" s="2756">
        <f t="shared" si="13"/>
        <v>43922</v>
      </c>
      <c r="G59" s="2756">
        <f t="shared" si="13"/>
        <v>43891</v>
      </c>
      <c r="H59" s="2756">
        <f t="shared" si="13"/>
        <v>43862</v>
      </c>
      <c r="I59" s="2756">
        <f t="shared" si="13"/>
        <v>43831</v>
      </c>
      <c r="J59" s="2756">
        <f t="shared" si="13"/>
        <v>43800</v>
      </c>
      <c r="K59" s="2756">
        <f t="shared" si="13"/>
        <v>43770</v>
      </c>
      <c r="L59" s="2756">
        <f t="shared" si="13"/>
        <v>43739</v>
      </c>
      <c r="M59" s="2756">
        <f t="shared" si="13"/>
        <v>43709</v>
      </c>
      <c r="N59" s="2756">
        <f t="shared" si="13"/>
        <v>43678</v>
      </c>
      <c r="O59" s="2756">
        <f t="shared" si="13"/>
        <v>43647</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01" t="s">
        <v>522</v>
      </c>
      <c r="D4" s="3402"/>
      <c r="E4" s="3425" t="s">
        <v>523</v>
      </c>
      <c r="F4" s="3426"/>
      <c r="G4" s="3401" t="s">
        <v>524</v>
      </c>
      <c r="H4" s="3402"/>
      <c r="I4" s="3401" t="s">
        <v>525</v>
      </c>
      <c r="J4" s="3402"/>
      <c r="K4" s="512" t="s">
        <v>526</v>
      </c>
      <c r="L4" s="2115"/>
      <c r="M4" s="2116"/>
      <c r="N4" s="2116"/>
      <c r="O4" s="2116"/>
      <c r="P4" s="3403" t="s">
        <v>527</v>
      </c>
      <c r="Q4" s="3404"/>
      <c r="R4" s="3389" t="s">
        <v>523</v>
      </c>
      <c r="S4" s="3390"/>
      <c r="T4" s="3389" t="s">
        <v>524</v>
      </c>
      <c r="U4" s="3390"/>
      <c r="V4" s="3409" t="s">
        <v>525</v>
      </c>
      <c r="W4" s="3409"/>
      <c r="X4" s="1550"/>
      <c r="Y4" s="3389" t="s">
        <v>527</v>
      </c>
      <c r="Z4" s="3390"/>
      <c r="AA4" s="3384" t="s">
        <v>523</v>
      </c>
      <c r="AB4" s="3385" t="s">
        <v>524</v>
      </c>
      <c r="AC4" s="3384" t="s">
        <v>525</v>
      </c>
    </row>
    <row r="5" spans="1:29" ht="15">
      <c r="A5" s="513"/>
      <c r="B5" s="514"/>
      <c r="C5" s="3412" t="s">
        <v>2927</v>
      </c>
      <c r="D5" s="3413"/>
      <c r="E5" s="3427" t="s">
        <v>2928</v>
      </c>
      <c r="F5" s="3428"/>
      <c r="G5" s="3412" t="s">
        <v>2929</v>
      </c>
      <c r="H5" s="3413"/>
      <c r="I5" s="3412" t="s">
        <v>2930</v>
      </c>
      <c r="J5" s="3413"/>
      <c r="K5" s="512"/>
      <c r="L5" s="2115"/>
      <c r="M5" s="2116"/>
      <c r="N5" s="2116"/>
      <c r="O5" s="2116"/>
      <c r="P5" s="3405"/>
      <c r="Q5" s="3406"/>
      <c r="R5" s="3391"/>
      <c r="S5" s="3392"/>
      <c r="T5" s="3391"/>
      <c r="U5" s="3392"/>
      <c r="V5" s="3409"/>
      <c r="W5" s="3409"/>
      <c r="X5" s="1550"/>
      <c r="Y5" s="3391"/>
      <c r="Z5" s="3392"/>
      <c r="AA5" s="3385"/>
      <c r="AB5" s="3385"/>
      <c r="AC5" s="3385"/>
    </row>
    <row r="6" spans="1:29" ht="15.75" thickBot="1">
      <c r="A6" s="515"/>
      <c r="B6" s="516"/>
      <c r="C6" s="3410" t="s">
        <v>2931</v>
      </c>
      <c r="D6" s="3411"/>
      <c r="E6" s="3429" t="s">
        <v>2931</v>
      </c>
      <c r="F6" s="3430"/>
      <c r="G6" s="3410" t="s">
        <v>2931</v>
      </c>
      <c r="H6" s="3411"/>
      <c r="I6" s="3410" t="s">
        <v>2931</v>
      </c>
      <c r="J6" s="3411"/>
      <c r="K6" s="512" t="s">
        <v>528</v>
      </c>
      <c r="L6" s="2115"/>
      <c r="M6" s="2116"/>
      <c r="N6" s="2116"/>
      <c r="O6" s="2116"/>
      <c r="P6" s="3407"/>
      <c r="Q6" s="3408"/>
      <c r="R6" s="3391"/>
      <c r="S6" s="3392"/>
      <c r="T6" s="3393"/>
      <c r="U6" s="3394"/>
      <c r="V6" s="3409"/>
      <c r="W6" s="3409"/>
      <c r="X6" s="1550"/>
      <c r="Y6" s="3393"/>
      <c r="Z6" s="3394"/>
      <c r="AA6" s="3386"/>
      <c r="AB6" s="3386"/>
      <c r="AC6" s="3386"/>
    </row>
    <row r="7" spans="1:29" s="1213" customFormat="1" ht="15.75" thickBot="1">
      <c r="A7" s="2863"/>
      <c r="B7" s="2870" t="s">
        <v>529</v>
      </c>
      <c r="C7" s="517">
        <f>'数据-取费表'!B2</f>
        <v>44036</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87" t="s">
        <v>530</v>
      </c>
      <c r="Q7" s="3396"/>
      <c r="R7" s="1551" t="s">
        <v>8</v>
      </c>
      <c r="S7" s="1552">
        <f t="shared" ref="S7:S15" si="0">F7</f>
        <v>0</v>
      </c>
      <c r="T7" s="1551" t="s">
        <v>8</v>
      </c>
      <c r="U7" s="1552">
        <f t="shared" ref="U7:U15" si="1">H7</f>
        <v>0</v>
      </c>
      <c r="V7" s="1551" t="s">
        <v>8</v>
      </c>
      <c r="W7" s="1552">
        <f t="shared" ref="W7:W15" si="2">J7</f>
        <v>0</v>
      </c>
      <c r="X7" s="1553"/>
      <c r="Y7" s="3387" t="s">
        <v>530</v>
      </c>
      <c r="Z7" s="3388"/>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87" t="s">
        <v>533</v>
      </c>
      <c r="Q8" s="3388"/>
      <c r="R8" s="1551" t="s">
        <v>8</v>
      </c>
      <c r="S8" s="1552">
        <f t="shared" si="0"/>
        <v>0</v>
      </c>
      <c r="T8" s="1551" t="s">
        <v>8</v>
      </c>
      <c r="U8" s="1552">
        <f t="shared" si="1"/>
        <v>0</v>
      </c>
      <c r="V8" s="1551" t="s">
        <v>8</v>
      </c>
      <c r="W8" s="1552">
        <f t="shared" si="2"/>
        <v>0</v>
      </c>
      <c r="X8" s="1553"/>
      <c r="Y8" s="3387" t="s">
        <v>533</v>
      </c>
      <c r="Z8" s="3388"/>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5" t="s">
        <v>535</v>
      </c>
      <c r="Q9" s="1144" t="str">
        <f t="shared" ref="Q9:Q15" si="6">B9</f>
        <v>用途</v>
      </c>
      <c r="R9" s="1551" t="s">
        <v>8</v>
      </c>
      <c r="S9" s="1552">
        <f t="shared" si="0"/>
        <v>100</v>
      </c>
      <c r="T9" s="1551" t="s">
        <v>8</v>
      </c>
      <c r="U9" s="1552">
        <f t="shared" si="1"/>
        <v>100</v>
      </c>
      <c r="V9" s="1551" t="s">
        <v>8</v>
      </c>
      <c r="W9" s="1552">
        <f t="shared" si="2"/>
        <v>100</v>
      </c>
      <c r="X9" s="1553"/>
      <c r="Y9" s="3352"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5"/>
      <c r="Q10" s="1144" t="str">
        <f t="shared" si="6"/>
        <v>土地使用年限（年）</v>
      </c>
      <c r="R10" s="1551" t="s">
        <v>8</v>
      </c>
      <c r="S10" s="1552">
        <f t="shared" si="0"/>
        <v>100</v>
      </c>
      <c r="T10" s="1551" t="s">
        <v>8</v>
      </c>
      <c r="U10" s="1552">
        <f t="shared" si="1"/>
        <v>100</v>
      </c>
      <c r="V10" s="1551" t="s">
        <v>8</v>
      </c>
      <c r="W10" s="1552">
        <f t="shared" si="2"/>
        <v>100</v>
      </c>
      <c r="X10" s="1553"/>
      <c r="Y10" s="3352"/>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5"/>
      <c r="Q11" s="1144" t="str">
        <f t="shared" si="6"/>
        <v>容积率</v>
      </c>
      <c r="R11" s="1551" t="s">
        <v>8</v>
      </c>
      <c r="S11" s="1552" t="e">
        <f t="shared" si="0"/>
        <v>#N/A</v>
      </c>
      <c r="T11" s="1551" t="s">
        <v>8</v>
      </c>
      <c r="U11" s="1552" t="e">
        <f t="shared" si="1"/>
        <v>#N/A</v>
      </c>
      <c r="V11" s="1551" t="s">
        <v>8</v>
      </c>
      <c r="W11" s="1552" t="e">
        <f t="shared" si="2"/>
        <v>#N/A</v>
      </c>
      <c r="X11" s="1553"/>
      <c r="Y11" s="3352"/>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95"/>
      <c r="Q12" s="1144">
        <f t="shared" si="6"/>
        <v>111</v>
      </c>
      <c r="R12" s="1551" t="s">
        <v>8</v>
      </c>
      <c r="S12" s="1552">
        <f t="shared" si="0"/>
        <v>100</v>
      </c>
      <c r="T12" s="1551" t="s">
        <v>8</v>
      </c>
      <c r="U12" s="1552">
        <f t="shared" si="1"/>
        <v>100</v>
      </c>
      <c r="V12" s="1551" t="s">
        <v>8</v>
      </c>
      <c r="W12" s="1552">
        <f t="shared" si="2"/>
        <v>100</v>
      </c>
      <c r="X12" s="1553"/>
      <c r="Y12" s="3352"/>
      <c r="Z12" s="1143">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95"/>
      <c r="Q13" s="1144">
        <f t="shared" si="6"/>
        <v>111</v>
      </c>
      <c r="R13" s="1551" t="s">
        <v>8</v>
      </c>
      <c r="S13" s="1552">
        <f t="shared" si="0"/>
        <v>100</v>
      </c>
      <c r="T13" s="1551" t="s">
        <v>8</v>
      </c>
      <c r="U13" s="1552">
        <f t="shared" si="1"/>
        <v>100</v>
      </c>
      <c r="V13" s="1551" t="s">
        <v>8</v>
      </c>
      <c r="W13" s="1552">
        <f t="shared" si="2"/>
        <v>100</v>
      </c>
      <c r="X13" s="1553"/>
      <c r="Y13" s="3352"/>
      <c r="Z13" s="1143">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95"/>
      <c r="Q14" s="1144">
        <f t="shared" si="6"/>
        <v>111</v>
      </c>
      <c r="R14" s="1551" t="s">
        <v>8</v>
      </c>
      <c r="S14" s="1552">
        <f t="shared" si="0"/>
        <v>100</v>
      </c>
      <c r="T14" s="1551" t="s">
        <v>8</v>
      </c>
      <c r="U14" s="1552">
        <f t="shared" si="1"/>
        <v>100</v>
      </c>
      <c r="V14" s="1551" t="s">
        <v>8</v>
      </c>
      <c r="W14" s="1552">
        <f t="shared" si="2"/>
        <v>100</v>
      </c>
      <c r="X14" s="1553"/>
      <c r="Y14" s="3352"/>
      <c r="Z14" s="1143">
        <f t="shared" si="7"/>
        <v>111</v>
      </c>
      <c r="AA14" s="1554">
        <f t="shared" si="3"/>
        <v>1</v>
      </c>
      <c r="AB14" s="1554">
        <f t="shared" si="4"/>
        <v>1</v>
      </c>
      <c r="AC14" s="1554">
        <f t="shared" si="5"/>
        <v>1</v>
      </c>
    </row>
    <row r="15" spans="1:29" ht="57">
      <c r="A15" s="2861"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397" t="s">
        <v>540</v>
      </c>
      <c r="Q15" s="1555" t="str">
        <f t="shared" si="6"/>
        <v>产业集聚程度</v>
      </c>
      <c r="R15" s="1556" t="s">
        <v>8</v>
      </c>
      <c r="S15" s="1557">
        <f t="shared" si="0"/>
        <v>100</v>
      </c>
      <c r="T15" s="1556" t="s">
        <v>8</v>
      </c>
      <c r="U15" s="1557">
        <f t="shared" si="1"/>
        <v>100</v>
      </c>
      <c r="V15" s="1556" t="s">
        <v>8</v>
      </c>
      <c r="W15" s="1557">
        <f t="shared" si="2"/>
        <v>100</v>
      </c>
      <c r="X15" s="1550"/>
      <c r="Y15" s="3397"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398"/>
      <c r="Q16" s="1555"/>
      <c r="R16" s="1556"/>
      <c r="S16" s="1557"/>
      <c r="T16" s="1556"/>
      <c r="U16" s="1557"/>
      <c r="V16" s="1556"/>
      <c r="W16" s="1557"/>
      <c r="X16" s="1550"/>
      <c r="Y16" s="3398"/>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398"/>
      <c r="Q17" s="1555" t="str">
        <f>B17</f>
        <v>交通便捷度</v>
      </c>
      <c r="R17" s="1556" t="s">
        <v>8</v>
      </c>
      <c r="S17" s="1557">
        <f>F17</f>
        <v>100</v>
      </c>
      <c r="T17" s="1556" t="s">
        <v>8</v>
      </c>
      <c r="U17" s="1557">
        <f>H17</f>
        <v>100</v>
      </c>
      <c r="V17" s="1556" t="s">
        <v>8</v>
      </c>
      <c r="W17" s="1557">
        <f>J17</f>
        <v>100</v>
      </c>
      <c r="X17" s="1550"/>
      <c r="Y17" s="339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398"/>
      <c r="Q18" s="1555"/>
      <c r="R18" s="1556"/>
      <c r="S18" s="1557"/>
      <c r="T18" s="1556"/>
      <c r="U18" s="1557"/>
      <c r="V18" s="1556"/>
      <c r="W18" s="1557"/>
      <c r="X18" s="1550"/>
      <c r="Y18" s="3398"/>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398"/>
      <c r="Q19" s="1555" t="str">
        <f>B19</f>
        <v>公共配套设施</v>
      </c>
      <c r="R19" s="1556" t="s">
        <v>8</v>
      </c>
      <c r="S19" s="1557">
        <f>F19</f>
        <v>100</v>
      </c>
      <c r="T19" s="1556" t="s">
        <v>8</v>
      </c>
      <c r="U19" s="1557">
        <f>H19</f>
        <v>100</v>
      </c>
      <c r="V19" s="1556" t="s">
        <v>8</v>
      </c>
      <c r="W19" s="1557">
        <f>J19</f>
        <v>100</v>
      </c>
      <c r="X19" s="1550"/>
      <c r="Y19" s="3398"/>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398"/>
      <c r="Q20" s="1555"/>
      <c r="R20" s="1556"/>
      <c r="S20" s="1557"/>
      <c r="T20" s="1556"/>
      <c r="U20" s="1557"/>
      <c r="V20" s="1556"/>
      <c r="W20" s="1557"/>
      <c r="X20" s="1550"/>
      <c r="Y20" s="3398"/>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398"/>
      <c r="Q21" s="2540" t="str">
        <f>B21</f>
        <v>基础设施水平</v>
      </c>
      <c r="R21" s="1556" t="s">
        <v>8</v>
      </c>
      <c r="S21" s="1557">
        <f>F21</f>
        <v>100</v>
      </c>
      <c r="T21" s="1556" t="s">
        <v>8</v>
      </c>
      <c r="U21" s="1557">
        <f>H21</f>
        <v>100</v>
      </c>
      <c r="V21" s="1556" t="s">
        <v>8</v>
      </c>
      <c r="W21" s="1557">
        <f>J21</f>
        <v>100</v>
      </c>
      <c r="X21" s="2542"/>
      <c r="Y21" s="3398"/>
      <c r="Z21" s="2541" t="str">
        <f>Q21</f>
        <v>基础设施水平</v>
      </c>
      <c r="AA21" s="1559">
        <f>D21/F21</f>
        <v>1</v>
      </c>
      <c r="AB21" s="1559">
        <f>D21/H21</f>
        <v>1</v>
      </c>
      <c r="AC21" s="1559">
        <f>D21/J21</f>
        <v>1</v>
      </c>
    </row>
    <row r="22" spans="1:29" ht="15">
      <c r="A22" s="530"/>
      <c r="B22" s="576"/>
      <c r="C22" s="871"/>
      <c r="D22" s="553"/>
      <c r="E22" s="574"/>
      <c r="F22" s="555"/>
      <c r="G22" s="574"/>
      <c r="H22" s="553"/>
      <c r="I22" s="574"/>
      <c r="J22" s="553"/>
      <c r="K22" s="2563"/>
      <c r="L22" s="2124"/>
      <c r="M22" s="2116"/>
      <c r="N22" s="2116"/>
      <c r="O22" s="2123"/>
      <c r="P22" s="3398"/>
      <c r="Q22" s="2540"/>
      <c r="R22" s="1556"/>
      <c r="S22" s="1557"/>
      <c r="T22" s="1556"/>
      <c r="U22" s="1557"/>
      <c r="V22" s="1556"/>
      <c r="W22" s="1557"/>
      <c r="X22" s="2542"/>
      <c r="Y22" s="3398"/>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398"/>
      <c r="Q23" s="1555" t="str">
        <f>B23</f>
        <v>环境质量</v>
      </c>
      <c r="R23" s="1556" t="s">
        <v>8</v>
      </c>
      <c r="S23" s="1557">
        <f>F23</f>
        <v>100</v>
      </c>
      <c r="T23" s="1556" t="s">
        <v>8</v>
      </c>
      <c r="U23" s="1557">
        <f>H23</f>
        <v>100</v>
      </c>
      <c r="V23" s="1556" t="s">
        <v>8</v>
      </c>
      <c r="W23" s="1557">
        <f>J23</f>
        <v>100</v>
      </c>
      <c r="X23" s="1550"/>
      <c r="Y23" s="3398"/>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398"/>
      <c r="Q24" s="1555"/>
      <c r="R24" s="1556"/>
      <c r="S24" s="1557"/>
      <c r="T24" s="1556"/>
      <c r="U24" s="1557"/>
      <c r="V24" s="1556"/>
      <c r="W24" s="1557"/>
      <c r="X24" s="1550"/>
      <c r="Y24" s="3398"/>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398"/>
      <c r="Q25" s="1555">
        <f>B25</f>
        <v>111</v>
      </c>
      <c r="R25" s="1556" t="s">
        <v>8</v>
      </c>
      <c r="S25" s="1557">
        <f>F25</f>
        <v>100</v>
      </c>
      <c r="T25" s="1556" t="s">
        <v>8</v>
      </c>
      <c r="U25" s="1557">
        <f>H25</f>
        <v>100</v>
      </c>
      <c r="V25" s="1556" t="s">
        <v>8</v>
      </c>
      <c r="W25" s="1557">
        <f>J25</f>
        <v>100</v>
      </c>
      <c r="X25" s="1550"/>
      <c r="Y25" s="3398"/>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398"/>
      <c r="Q26" s="1555">
        <f t="shared" ref="Q26:Q40" si="8">B26</f>
        <v>111</v>
      </c>
      <c r="R26" s="1556" t="s">
        <v>8</v>
      </c>
      <c r="S26" s="1557">
        <f>F26</f>
        <v>100</v>
      </c>
      <c r="T26" s="1556" t="s">
        <v>8</v>
      </c>
      <c r="U26" s="1557">
        <f>H26</f>
        <v>100</v>
      </c>
      <c r="V26" s="1556" t="s">
        <v>8</v>
      </c>
      <c r="W26" s="1557">
        <f>J26</f>
        <v>100</v>
      </c>
      <c r="X26" s="1550"/>
      <c r="Y26" s="3398"/>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398"/>
      <c r="Q27" s="1144">
        <f t="shared" si="8"/>
        <v>111</v>
      </c>
      <c r="R27" s="1551" t="s">
        <v>8</v>
      </c>
      <c r="S27" s="1552">
        <f>F27</f>
        <v>100</v>
      </c>
      <c r="T27" s="1551" t="s">
        <v>8</v>
      </c>
      <c r="U27" s="1552">
        <f>H27</f>
        <v>100</v>
      </c>
      <c r="V27" s="1551" t="s">
        <v>8</v>
      </c>
      <c r="W27" s="1552">
        <f>J27</f>
        <v>100</v>
      </c>
      <c r="X27" s="1553"/>
      <c r="Y27" s="3398"/>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398"/>
      <c r="Q28" s="1555">
        <f t="shared" si="8"/>
        <v>111</v>
      </c>
      <c r="R28" s="1556" t="s">
        <v>8</v>
      </c>
      <c r="S28" s="1557">
        <f t="shared" ref="S28:S40" si="9">F28</f>
        <v>100</v>
      </c>
      <c r="T28" s="1556" t="s">
        <v>8</v>
      </c>
      <c r="U28" s="1557">
        <f t="shared" ref="U28:U40" si="10">H28</f>
        <v>100</v>
      </c>
      <c r="V28" s="1556" t="s">
        <v>8</v>
      </c>
      <c r="W28" s="1557">
        <f t="shared" ref="W28:W40" si="11">J28</f>
        <v>100</v>
      </c>
      <c r="X28" s="1550"/>
      <c r="Y28" s="3398"/>
      <c r="Z28" s="1558">
        <f t="shared" ref="Z28:Z40" si="12">Q28</f>
        <v>111</v>
      </c>
      <c r="AA28" s="1559">
        <f t="shared" si="3"/>
        <v>1</v>
      </c>
      <c r="AB28" s="1559">
        <f t="shared" si="4"/>
        <v>1</v>
      </c>
      <c r="AC28" s="1559">
        <f t="shared" si="5"/>
        <v>1</v>
      </c>
    </row>
    <row r="29" spans="1:29" ht="15">
      <c r="A29" s="2859"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399" t="s">
        <v>550</v>
      </c>
      <c r="Q29" s="1555" t="str">
        <f t="shared" si="8"/>
        <v>建筑类型</v>
      </c>
      <c r="R29" s="1556" t="s">
        <v>8</v>
      </c>
      <c r="S29" s="1557">
        <f t="shared" si="9"/>
        <v>100</v>
      </c>
      <c r="T29" s="1556" t="s">
        <v>8</v>
      </c>
      <c r="U29" s="1557">
        <f t="shared" si="10"/>
        <v>100</v>
      </c>
      <c r="V29" s="1556" t="s">
        <v>8</v>
      </c>
      <c r="W29" s="1557">
        <f t="shared" si="11"/>
        <v>100</v>
      </c>
      <c r="X29" s="1550"/>
      <c r="Y29" s="3400" t="s">
        <v>550</v>
      </c>
      <c r="Z29" s="1558" t="str">
        <f t="shared" si="12"/>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00"/>
      <c r="Q30" s="1587" t="str">
        <f t="shared" si="8"/>
        <v>项目建筑规模</v>
      </c>
      <c r="R30" s="1560" t="s">
        <v>8</v>
      </c>
      <c r="S30" s="1561" t="e">
        <f t="shared" si="9"/>
        <v>#N/A</v>
      </c>
      <c r="T30" s="1560" t="s">
        <v>8</v>
      </c>
      <c r="U30" s="1561" t="e">
        <f t="shared" si="10"/>
        <v>#N/A</v>
      </c>
      <c r="V30" s="1560" t="s">
        <v>8</v>
      </c>
      <c r="W30" s="1561" t="e">
        <f t="shared" si="11"/>
        <v>#N/A</v>
      </c>
      <c r="X30" s="1562"/>
      <c r="Y30" s="3400"/>
      <c r="Z30" s="1563" t="str">
        <f t="shared" si="12"/>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00"/>
      <c r="Q31" s="1555" t="str">
        <f t="shared" si="8"/>
        <v>建筑结构</v>
      </c>
      <c r="R31" s="1556" t="s">
        <v>8</v>
      </c>
      <c r="S31" s="1557">
        <f t="shared" si="9"/>
        <v>100</v>
      </c>
      <c r="T31" s="1556" t="s">
        <v>8</v>
      </c>
      <c r="U31" s="1557">
        <f t="shared" si="10"/>
        <v>100</v>
      </c>
      <c r="V31" s="1556" t="s">
        <v>8</v>
      </c>
      <c r="W31" s="1557">
        <f t="shared" si="11"/>
        <v>100</v>
      </c>
      <c r="X31" s="1550"/>
      <c r="Y31" s="3400"/>
      <c r="Z31" s="1558" t="str">
        <f t="shared" si="12"/>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00"/>
      <c r="Q32" s="1555" t="str">
        <f t="shared" si="8"/>
        <v>公共部分装修</v>
      </c>
      <c r="R32" s="1556" t="s">
        <v>8</v>
      </c>
      <c r="S32" s="1557">
        <f t="shared" si="9"/>
        <v>100</v>
      </c>
      <c r="T32" s="1556" t="s">
        <v>8</v>
      </c>
      <c r="U32" s="1557">
        <f t="shared" si="10"/>
        <v>100</v>
      </c>
      <c r="V32" s="1556" t="s">
        <v>8</v>
      </c>
      <c r="W32" s="1557">
        <f t="shared" si="11"/>
        <v>100</v>
      </c>
      <c r="X32" s="1550"/>
      <c r="Y32" s="3400"/>
      <c r="Z32" s="1558" t="str">
        <f t="shared" si="12"/>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00"/>
      <c r="Q33" s="1555" t="str">
        <f t="shared" si="8"/>
        <v>成新度</v>
      </c>
      <c r="R33" s="1556" t="s">
        <v>8</v>
      </c>
      <c r="S33" s="1557" t="e">
        <f t="shared" si="9"/>
        <v>#N/A</v>
      </c>
      <c r="T33" s="1556" t="s">
        <v>8</v>
      </c>
      <c r="U33" s="1557" t="e">
        <f t="shared" si="10"/>
        <v>#N/A</v>
      </c>
      <c r="V33" s="1556" t="s">
        <v>8</v>
      </c>
      <c r="W33" s="1557" t="e">
        <f t="shared" si="11"/>
        <v>#N/A</v>
      </c>
      <c r="X33" s="1550"/>
      <c r="Y33" s="3400"/>
      <c r="Z33" s="1558" t="str">
        <f t="shared" si="12"/>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00"/>
      <c r="Q34" s="1144" t="str">
        <f t="shared" si="8"/>
        <v>物业管理</v>
      </c>
      <c r="R34" s="1551" t="s">
        <v>8</v>
      </c>
      <c r="S34" s="1552">
        <f t="shared" si="9"/>
        <v>100</v>
      </c>
      <c r="T34" s="1551" t="s">
        <v>8</v>
      </c>
      <c r="U34" s="1552">
        <f t="shared" si="10"/>
        <v>100</v>
      </c>
      <c r="V34" s="1551" t="s">
        <v>8</v>
      </c>
      <c r="W34" s="1552">
        <f t="shared" si="11"/>
        <v>100</v>
      </c>
      <c r="X34" s="1553"/>
      <c r="Y34" s="3400"/>
      <c r="Z34" s="1143" t="str">
        <f t="shared" si="12"/>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00" t="s">
        <v>550</v>
      </c>
      <c r="Q35" s="1555" t="str">
        <f t="shared" si="8"/>
        <v>市政基础设施</v>
      </c>
      <c r="R35" s="1556" t="s">
        <v>8</v>
      </c>
      <c r="S35" s="1557">
        <f t="shared" si="9"/>
        <v>100</v>
      </c>
      <c r="T35" s="1556" t="s">
        <v>8</v>
      </c>
      <c r="U35" s="1557">
        <f t="shared" si="10"/>
        <v>100</v>
      </c>
      <c r="V35" s="1556" t="s">
        <v>8</v>
      </c>
      <c r="W35" s="1557">
        <f t="shared" si="11"/>
        <v>100</v>
      </c>
      <c r="X35" s="1550"/>
      <c r="Y35" s="3400" t="s">
        <v>550</v>
      </c>
      <c r="Z35" s="1558" t="str">
        <f t="shared" si="12"/>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00"/>
      <c r="Q36" s="1555" t="str">
        <f t="shared" si="8"/>
        <v>内部装修</v>
      </c>
      <c r="R36" s="1556" t="s">
        <v>8</v>
      </c>
      <c r="S36" s="1557">
        <f t="shared" si="9"/>
        <v>100</v>
      </c>
      <c r="T36" s="1556" t="s">
        <v>8</v>
      </c>
      <c r="U36" s="1557">
        <f t="shared" si="10"/>
        <v>100</v>
      </c>
      <c r="V36" s="1556" t="s">
        <v>8</v>
      </c>
      <c r="W36" s="1557">
        <f t="shared" si="11"/>
        <v>100</v>
      </c>
      <c r="X36" s="1550"/>
      <c r="Y36" s="3400"/>
      <c r="Z36" s="1558" t="str">
        <f t="shared" si="12"/>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00"/>
      <c r="Q37" s="1555" t="str">
        <f t="shared" si="8"/>
        <v>内部装修状况</v>
      </c>
      <c r="R37" s="1556" t="s">
        <v>8</v>
      </c>
      <c r="S37" s="1557">
        <f t="shared" si="9"/>
        <v>100</v>
      </c>
      <c r="T37" s="1556" t="s">
        <v>8</v>
      </c>
      <c r="U37" s="1557">
        <f t="shared" si="10"/>
        <v>100</v>
      </c>
      <c r="V37" s="1556" t="s">
        <v>8</v>
      </c>
      <c r="W37" s="1557">
        <f t="shared" si="11"/>
        <v>100</v>
      </c>
      <c r="X37" s="1550"/>
      <c r="Y37" s="3400"/>
      <c r="Z37" s="1558" t="str">
        <f t="shared" si="12"/>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00"/>
      <c r="Q38" s="1587">
        <f t="shared" si="8"/>
        <v>111</v>
      </c>
      <c r="R38" s="1560" t="s">
        <v>8</v>
      </c>
      <c r="S38" s="1561">
        <f t="shared" si="9"/>
        <v>100</v>
      </c>
      <c r="T38" s="1560" t="s">
        <v>8</v>
      </c>
      <c r="U38" s="1561">
        <f t="shared" si="10"/>
        <v>100</v>
      </c>
      <c r="V38" s="1560" t="s">
        <v>8</v>
      </c>
      <c r="W38" s="1561">
        <f t="shared" si="11"/>
        <v>100</v>
      </c>
      <c r="X38" s="1562"/>
      <c r="Y38" s="3400"/>
      <c r="Z38" s="1563">
        <f t="shared" si="12"/>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00"/>
      <c r="Q39" s="1555">
        <f t="shared" si="8"/>
        <v>111</v>
      </c>
      <c r="R39" s="1556" t="s">
        <v>8</v>
      </c>
      <c r="S39" s="1557">
        <f t="shared" si="9"/>
        <v>100</v>
      </c>
      <c r="T39" s="1556" t="s">
        <v>8</v>
      </c>
      <c r="U39" s="1557">
        <f t="shared" si="10"/>
        <v>100</v>
      </c>
      <c r="V39" s="1556" t="s">
        <v>8</v>
      </c>
      <c r="W39" s="1557">
        <f t="shared" si="11"/>
        <v>100</v>
      </c>
      <c r="X39" s="1550"/>
      <c r="Y39" s="3400"/>
      <c r="Z39" s="1558">
        <f t="shared" si="12"/>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00"/>
      <c r="Q40" s="1555">
        <f t="shared" si="8"/>
        <v>111</v>
      </c>
      <c r="R40" s="1556" t="s">
        <v>8</v>
      </c>
      <c r="S40" s="1557">
        <f t="shared" si="9"/>
        <v>100</v>
      </c>
      <c r="T40" s="1556" t="s">
        <v>8</v>
      </c>
      <c r="U40" s="1557">
        <f t="shared" si="10"/>
        <v>100</v>
      </c>
      <c r="V40" s="1556" t="s">
        <v>8</v>
      </c>
      <c r="W40" s="1557">
        <f t="shared" si="11"/>
        <v>100</v>
      </c>
      <c r="X40" s="1550"/>
      <c r="Y40" s="3500"/>
      <c r="Z40" s="1558">
        <f t="shared" si="12"/>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395" t="str">
        <f>A41</f>
        <v>成交单价（元/平方米）</v>
      </c>
      <c r="Q41" s="3395"/>
      <c r="R41" s="3499">
        <f>E41</f>
        <v>0</v>
      </c>
      <c r="S41" s="3499"/>
      <c r="T41" s="3499">
        <f>G41</f>
        <v>0</v>
      </c>
      <c r="U41" s="3499"/>
      <c r="V41" s="3499">
        <f>I41</f>
        <v>0</v>
      </c>
      <c r="W41" s="3499"/>
      <c r="X41" s="1542"/>
      <c r="Y41" s="1564"/>
      <c r="Z41" s="1542"/>
      <c r="AA41" s="1542"/>
      <c r="AB41" s="1542"/>
      <c r="AC41" s="1542"/>
    </row>
    <row r="42" spans="1:29" ht="15.75" thickBot="1">
      <c r="A42" s="613" t="s">
        <v>2756</v>
      </c>
      <c r="B42" s="885"/>
      <c r="C42" s="2594" t="e">
        <f>R43</f>
        <v>#DIV/0!</v>
      </c>
      <c r="D42" s="2595"/>
      <c r="E42" s="2596" t="e">
        <f>R42</f>
        <v>#DIV/0!</v>
      </c>
      <c r="F42" s="2596"/>
      <c r="G42" s="2594" t="e">
        <f>T42</f>
        <v>#DIV/0!</v>
      </c>
      <c r="H42" s="2595"/>
      <c r="I42" s="2596" t="e">
        <f>V42</f>
        <v>#DIV/0!</v>
      </c>
      <c r="J42" s="2595"/>
      <c r="K42" s="1594"/>
      <c r="L42" s="2126"/>
      <c r="M42" s="2127"/>
      <c r="N42" s="2116"/>
      <c r="O42" s="2127"/>
      <c r="P42" s="3395" t="str">
        <f>A42</f>
        <v>比较价格（元/平方米）</v>
      </c>
      <c r="Q42" s="3395"/>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416" t="str">
        <f>A43</f>
        <v>估价对象XX用房的比较价格（楼面单价，元/平方米）</v>
      </c>
      <c r="Q43" s="3417"/>
      <c r="R43" s="3498" t="e">
        <f>IF(F1="售价",ROUND(AVERAGE(R42:V42),0),ROUND(AVERAGE(R42:V42),1))</f>
        <v>#DIV/0!</v>
      </c>
      <c r="S43" s="3498"/>
      <c r="T43" s="3498"/>
      <c r="U43" s="3498"/>
      <c r="V43" s="3498"/>
      <c r="W43" s="3498"/>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2020-7</v>
      </c>
      <c r="D52" s="2756">
        <f>EDATE(C52,-1)</f>
        <v>43983</v>
      </c>
      <c r="E52" s="2756">
        <f t="shared" ref="E52:O52" si="13">EDATE(D52,-1)</f>
        <v>43952</v>
      </c>
      <c r="F52" s="2756">
        <f t="shared" si="13"/>
        <v>43922</v>
      </c>
      <c r="G52" s="2756">
        <f t="shared" si="13"/>
        <v>43891</v>
      </c>
      <c r="H52" s="2756">
        <f t="shared" si="13"/>
        <v>43862</v>
      </c>
      <c r="I52" s="2756">
        <f t="shared" si="13"/>
        <v>43831</v>
      </c>
      <c r="J52" s="2756">
        <f t="shared" si="13"/>
        <v>43800</v>
      </c>
      <c r="K52" s="2756">
        <f t="shared" si="13"/>
        <v>43770</v>
      </c>
      <c r="L52" s="2756">
        <f t="shared" si="13"/>
        <v>43739</v>
      </c>
      <c r="M52" s="2756">
        <f t="shared" si="13"/>
        <v>43709</v>
      </c>
      <c r="N52" s="2756">
        <f t="shared" si="13"/>
        <v>43678</v>
      </c>
      <c r="O52" s="2756">
        <f t="shared" si="13"/>
        <v>43647</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1" t="s">
        <v>798</v>
      </c>
      <c r="D4" s="3402"/>
      <c r="E4" s="3401" t="s">
        <v>799</v>
      </c>
      <c r="F4" s="3402"/>
      <c r="G4" s="3401" t="s">
        <v>800</v>
      </c>
      <c r="H4" s="3402"/>
      <c r="I4" s="3401" t="s">
        <v>801</v>
      </c>
      <c r="J4" s="3402"/>
      <c r="K4" s="512" t="s">
        <v>802</v>
      </c>
      <c r="L4" s="2115"/>
      <c r="M4" s="2116"/>
      <c r="N4" s="2116"/>
      <c r="O4" s="2116"/>
      <c r="P4" s="3403" t="s">
        <v>803</v>
      </c>
      <c r="Q4" s="3404"/>
      <c r="R4" s="3389" t="s">
        <v>799</v>
      </c>
      <c r="S4" s="3390"/>
      <c r="T4" s="3389" t="s">
        <v>800</v>
      </c>
      <c r="U4" s="3390"/>
      <c r="V4" s="3409" t="s">
        <v>801</v>
      </c>
      <c r="W4" s="3409"/>
      <c r="X4" s="1550"/>
      <c r="Y4" s="3389" t="s">
        <v>803</v>
      </c>
      <c r="Z4" s="3390"/>
      <c r="AA4" s="3384" t="s">
        <v>799</v>
      </c>
      <c r="AB4" s="3385" t="s">
        <v>800</v>
      </c>
      <c r="AC4" s="3384" t="s">
        <v>801</v>
      </c>
    </row>
    <row r="5" spans="1:29" ht="15">
      <c r="A5" s="513"/>
      <c r="B5" s="514"/>
      <c r="C5" s="3412" t="s">
        <v>2927</v>
      </c>
      <c r="D5" s="3413"/>
      <c r="E5" s="3412" t="s">
        <v>2928</v>
      </c>
      <c r="F5" s="3413"/>
      <c r="G5" s="3412" t="s">
        <v>2929</v>
      </c>
      <c r="H5" s="3413"/>
      <c r="I5" s="3412" t="s">
        <v>2930</v>
      </c>
      <c r="J5" s="3413"/>
      <c r="K5" s="512"/>
      <c r="L5" s="2115"/>
      <c r="M5" s="2116"/>
      <c r="N5" s="2116"/>
      <c r="O5" s="2116"/>
      <c r="P5" s="3405"/>
      <c r="Q5" s="3406"/>
      <c r="R5" s="3391"/>
      <c r="S5" s="3392"/>
      <c r="T5" s="3391"/>
      <c r="U5" s="3392"/>
      <c r="V5" s="3409"/>
      <c r="W5" s="3409"/>
      <c r="X5" s="1550"/>
      <c r="Y5" s="3391"/>
      <c r="Z5" s="3392"/>
      <c r="AA5" s="3385"/>
      <c r="AB5" s="3385"/>
      <c r="AC5" s="3385"/>
    </row>
    <row r="6" spans="1:29" ht="15.75" thickBot="1">
      <c r="A6" s="515"/>
      <c r="B6" s="516"/>
      <c r="C6" s="3410" t="s">
        <v>2931</v>
      </c>
      <c r="D6" s="3411"/>
      <c r="E6" s="3414" t="s">
        <v>2931</v>
      </c>
      <c r="F6" s="3415"/>
      <c r="G6" s="3410" t="s">
        <v>2931</v>
      </c>
      <c r="H6" s="3411"/>
      <c r="I6" s="3410" t="s">
        <v>2931</v>
      </c>
      <c r="J6" s="3411"/>
      <c r="K6" s="512" t="s">
        <v>528</v>
      </c>
      <c r="L6" s="2115"/>
      <c r="M6" s="2116"/>
      <c r="N6" s="2116"/>
      <c r="O6" s="2116"/>
      <c r="P6" s="3407"/>
      <c r="Q6" s="3408"/>
      <c r="R6" s="3391"/>
      <c r="S6" s="3392"/>
      <c r="T6" s="3393"/>
      <c r="U6" s="3394"/>
      <c r="V6" s="3409"/>
      <c r="W6" s="3409"/>
      <c r="X6" s="1550"/>
      <c r="Y6" s="3393"/>
      <c r="Z6" s="3394"/>
      <c r="AA6" s="3386"/>
      <c r="AB6" s="3386"/>
      <c r="AC6" s="3386"/>
    </row>
    <row r="7" spans="1:29" s="1213" customFormat="1" ht="15.75" thickBot="1">
      <c r="A7" s="2863"/>
      <c r="B7" s="2870" t="s">
        <v>529</v>
      </c>
      <c r="C7" s="517">
        <f>'数据-取费表'!B2</f>
        <v>44036</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87" t="s">
        <v>530</v>
      </c>
      <c r="Q7" s="3396"/>
      <c r="R7" s="1551" t="s">
        <v>8</v>
      </c>
      <c r="S7" s="1552">
        <f t="shared" ref="S7:S14" si="0">F7</f>
        <v>0</v>
      </c>
      <c r="T7" s="1551" t="s">
        <v>8</v>
      </c>
      <c r="U7" s="1552">
        <f t="shared" ref="U7:U14" si="1">H7</f>
        <v>0</v>
      </c>
      <c r="V7" s="1551" t="s">
        <v>8</v>
      </c>
      <c r="W7" s="1552">
        <f t="shared" ref="W7:W14" si="2">J7</f>
        <v>0</v>
      </c>
      <c r="X7" s="1553"/>
      <c r="Y7" s="3387" t="s">
        <v>530</v>
      </c>
      <c r="Z7" s="3388"/>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87" t="s">
        <v>533</v>
      </c>
      <c r="Q8" s="3388"/>
      <c r="R8" s="1551" t="s">
        <v>8</v>
      </c>
      <c r="S8" s="1552">
        <f t="shared" si="0"/>
        <v>0</v>
      </c>
      <c r="T8" s="1551" t="s">
        <v>8</v>
      </c>
      <c r="U8" s="1552">
        <f t="shared" si="1"/>
        <v>0</v>
      </c>
      <c r="V8" s="1551" t="s">
        <v>8</v>
      </c>
      <c r="W8" s="1552">
        <f t="shared" si="2"/>
        <v>0</v>
      </c>
      <c r="X8" s="1553"/>
      <c r="Y8" s="3387" t="s">
        <v>533</v>
      </c>
      <c r="Z8" s="3388"/>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95" t="s">
        <v>535</v>
      </c>
      <c r="Q9" s="1144" t="str">
        <f t="shared" ref="Q9:Q14" si="6">B9</f>
        <v>用途</v>
      </c>
      <c r="R9" s="1551" t="s">
        <v>8</v>
      </c>
      <c r="S9" s="1552">
        <f t="shared" si="0"/>
        <v>100</v>
      </c>
      <c r="T9" s="1551" t="s">
        <v>8</v>
      </c>
      <c r="U9" s="1552">
        <f t="shared" si="1"/>
        <v>100</v>
      </c>
      <c r="V9" s="1551" t="s">
        <v>8</v>
      </c>
      <c r="W9" s="1552">
        <f t="shared" si="2"/>
        <v>100</v>
      </c>
      <c r="X9" s="1553"/>
      <c r="Y9" s="3352"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95"/>
      <c r="Q10" s="1144" t="str">
        <f t="shared" si="6"/>
        <v>土地使用年限（年）</v>
      </c>
      <c r="R10" s="1551" t="s">
        <v>8</v>
      </c>
      <c r="S10" s="1552">
        <f t="shared" si="0"/>
        <v>100</v>
      </c>
      <c r="T10" s="1551" t="s">
        <v>8</v>
      </c>
      <c r="U10" s="1552">
        <f t="shared" si="1"/>
        <v>100</v>
      </c>
      <c r="V10" s="1551" t="s">
        <v>8</v>
      </c>
      <c r="W10" s="1552">
        <f t="shared" si="2"/>
        <v>100</v>
      </c>
      <c r="X10" s="1553"/>
      <c r="Y10" s="3352"/>
      <c r="Z10" s="1143"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5"/>
      <c r="Q11" s="1144">
        <f t="shared" si="6"/>
        <v>111</v>
      </c>
      <c r="R11" s="1551" t="s">
        <v>8</v>
      </c>
      <c r="S11" s="1552">
        <f t="shared" si="0"/>
        <v>100</v>
      </c>
      <c r="T11" s="1551" t="s">
        <v>8</v>
      </c>
      <c r="U11" s="1552">
        <f t="shared" si="1"/>
        <v>100</v>
      </c>
      <c r="V11" s="1551" t="s">
        <v>8</v>
      </c>
      <c r="W11" s="1552">
        <f t="shared" si="2"/>
        <v>100</v>
      </c>
      <c r="X11" s="1553"/>
      <c r="Y11" s="3352"/>
      <c r="Z11" s="1143">
        <f t="shared" si="7"/>
        <v>111</v>
      </c>
      <c r="AA11" s="1554">
        <f t="shared" si="3"/>
        <v>1</v>
      </c>
      <c r="AB11" s="1554">
        <f t="shared" si="4"/>
        <v>1</v>
      </c>
      <c r="AC11" s="1554">
        <f t="shared" si="5"/>
        <v>1</v>
      </c>
    </row>
    <row r="12" spans="1:29" s="1213"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5"/>
      <c r="Q12" s="1144">
        <f t="shared" si="6"/>
        <v>111</v>
      </c>
      <c r="R12" s="1551" t="s">
        <v>8</v>
      </c>
      <c r="S12" s="1552">
        <f t="shared" si="0"/>
        <v>100</v>
      </c>
      <c r="T12" s="1551" t="s">
        <v>8</v>
      </c>
      <c r="U12" s="1552">
        <f t="shared" si="1"/>
        <v>100</v>
      </c>
      <c r="V12" s="1551" t="s">
        <v>8</v>
      </c>
      <c r="W12" s="1552">
        <f t="shared" si="2"/>
        <v>100</v>
      </c>
      <c r="X12" s="1553"/>
      <c r="Y12" s="3352"/>
      <c r="Z12" s="1143">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5"/>
      <c r="Q13" s="1144">
        <f t="shared" si="6"/>
        <v>111</v>
      </c>
      <c r="R13" s="1551" t="s">
        <v>8</v>
      </c>
      <c r="S13" s="1552">
        <f t="shared" si="0"/>
        <v>100</v>
      </c>
      <c r="T13" s="1551" t="s">
        <v>8</v>
      </c>
      <c r="U13" s="1552">
        <f t="shared" si="1"/>
        <v>100</v>
      </c>
      <c r="V13" s="1551" t="s">
        <v>8</v>
      </c>
      <c r="W13" s="1552">
        <f t="shared" si="2"/>
        <v>100</v>
      </c>
      <c r="X13" s="1553"/>
      <c r="Y13" s="3352"/>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397" t="s">
        <v>540</v>
      </c>
      <c r="Q14" s="1555" t="str">
        <f t="shared" si="6"/>
        <v>交通便捷度</v>
      </c>
      <c r="R14" s="1556" t="s">
        <v>8</v>
      </c>
      <c r="S14" s="1557">
        <f t="shared" si="0"/>
        <v>100</v>
      </c>
      <c r="T14" s="1556" t="s">
        <v>8</v>
      </c>
      <c r="U14" s="1557">
        <f t="shared" si="1"/>
        <v>100</v>
      </c>
      <c r="V14" s="1556" t="s">
        <v>8</v>
      </c>
      <c r="W14" s="1557">
        <f t="shared" si="2"/>
        <v>100</v>
      </c>
      <c r="X14" s="1550"/>
      <c r="Y14" s="3397"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398"/>
      <c r="Q15" s="1555"/>
      <c r="R15" s="1556"/>
      <c r="S15" s="1557"/>
      <c r="T15" s="1556"/>
      <c r="U15" s="1557"/>
      <c r="V15" s="1556"/>
      <c r="W15" s="1557"/>
      <c r="X15" s="1550"/>
      <c r="Y15" s="3398"/>
      <c r="Z15" s="1558"/>
      <c r="AA15" s="1559">
        <v>1</v>
      </c>
      <c r="AB15" s="1559">
        <v>1</v>
      </c>
      <c r="AC15" s="1559">
        <v>1</v>
      </c>
    </row>
    <row r="16" spans="1:29" ht="42.75">
      <c r="A16" s="513"/>
      <c r="B16" s="2564"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398"/>
      <c r="Q16" s="1555" t="str">
        <f>B16</f>
        <v>公共配套设施</v>
      </c>
      <c r="R16" s="1556" t="s">
        <v>8</v>
      </c>
      <c r="S16" s="1557">
        <f>F16</f>
        <v>100</v>
      </c>
      <c r="T16" s="1556" t="s">
        <v>8</v>
      </c>
      <c r="U16" s="1557">
        <f>H16</f>
        <v>100</v>
      </c>
      <c r="V16" s="1556" t="s">
        <v>8</v>
      </c>
      <c r="W16" s="1557">
        <f>J16</f>
        <v>100</v>
      </c>
      <c r="X16" s="1550"/>
      <c r="Y16" s="3398"/>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398"/>
      <c r="Q17" s="1555"/>
      <c r="R17" s="1556"/>
      <c r="S17" s="1557"/>
      <c r="T17" s="1556"/>
      <c r="U17" s="1557"/>
      <c r="V17" s="1556"/>
      <c r="W17" s="1557"/>
      <c r="X17" s="1550"/>
      <c r="Y17" s="3398"/>
      <c r="Z17" s="1558"/>
      <c r="AA17" s="1559">
        <v>1</v>
      </c>
      <c r="AB17" s="1559">
        <v>1</v>
      </c>
      <c r="AC17" s="1559">
        <v>1</v>
      </c>
    </row>
    <row r="18" spans="1:29" ht="28.5">
      <c r="A18" s="513"/>
      <c r="B18" s="2552"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398"/>
      <c r="Q18" s="2540" t="str">
        <f>B18</f>
        <v>基础设施水平</v>
      </c>
      <c r="R18" s="1556" t="s">
        <v>8</v>
      </c>
      <c r="S18" s="1557">
        <f>F18</f>
        <v>100</v>
      </c>
      <c r="T18" s="1556" t="s">
        <v>8</v>
      </c>
      <c r="U18" s="1557">
        <f>H18</f>
        <v>100</v>
      </c>
      <c r="V18" s="1556" t="s">
        <v>8</v>
      </c>
      <c r="W18" s="1557">
        <f>J18</f>
        <v>100</v>
      </c>
      <c r="X18" s="2542"/>
      <c r="Y18" s="3398"/>
      <c r="Z18" s="2541" t="str">
        <f>Q18</f>
        <v>基础设施水平</v>
      </c>
      <c r="AA18" s="1559">
        <f>D18/F18</f>
        <v>1</v>
      </c>
      <c r="AB18" s="1559">
        <f>D18/H18</f>
        <v>1</v>
      </c>
      <c r="AC18" s="1559">
        <f>D18/J18</f>
        <v>1</v>
      </c>
    </row>
    <row r="19" spans="1:29" ht="15">
      <c r="A19" s="513"/>
      <c r="B19" s="576"/>
      <c r="C19" s="871"/>
      <c r="D19" s="557"/>
      <c r="E19" s="574"/>
      <c r="F19" s="555"/>
      <c r="G19" s="574"/>
      <c r="H19" s="553"/>
      <c r="I19" s="574"/>
      <c r="J19" s="553"/>
      <c r="K19" s="2563"/>
      <c r="L19" s="2124"/>
      <c r="M19" s="2116"/>
      <c r="N19" s="2116"/>
      <c r="O19" s="2123"/>
      <c r="P19" s="3398"/>
      <c r="Q19" s="2540"/>
      <c r="R19" s="1556"/>
      <c r="S19" s="1557"/>
      <c r="T19" s="1556"/>
      <c r="U19" s="1557"/>
      <c r="V19" s="1556"/>
      <c r="W19" s="1557"/>
      <c r="X19" s="2542"/>
      <c r="Y19" s="3398"/>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398"/>
      <c r="Q20" s="1555" t="str">
        <f>B20</f>
        <v>自然及人文环境</v>
      </c>
      <c r="R20" s="1556" t="s">
        <v>8</v>
      </c>
      <c r="S20" s="1557">
        <f>F20</f>
        <v>100</v>
      </c>
      <c r="T20" s="1556" t="s">
        <v>8</v>
      </c>
      <c r="U20" s="1557">
        <f>H20</f>
        <v>100</v>
      </c>
      <c r="V20" s="1556" t="s">
        <v>8</v>
      </c>
      <c r="W20" s="1557">
        <f>J20</f>
        <v>100</v>
      </c>
      <c r="X20" s="1550"/>
      <c r="Y20" s="3398"/>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398"/>
      <c r="Q21" s="1555"/>
      <c r="R21" s="1556"/>
      <c r="S21" s="1557"/>
      <c r="T21" s="1556"/>
      <c r="U21" s="1557"/>
      <c r="V21" s="1556"/>
      <c r="W21" s="1557"/>
      <c r="X21" s="1550"/>
      <c r="Y21" s="3398"/>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398"/>
      <c r="Q22" s="1555" t="str">
        <f>B22</f>
        <v>楼层</v>
      </c>
      <c r="R22" s="1556" t="s">
        <v>8</v>
      </c>
      <c r="S22" s="1557">
        <f>F22</f>
        <v>100</v>
      </c>
      <c r="T22" s="1556" t="s">
        <v>8</v>
      </c>
      <c r="U22" s="1557">
        <f>H22</f>
        <v>100</v>
      </c>
      <c r="V22" s="1556" t="s">
        <v>8</v>
      </c>
      <c r="W22" s="1557">
        <f>J22</f>
        <v>100</v>
      </c>
      <c r="X22" s="1550"/>
      <c r="Y22" s="3398"/>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398"/>
      <c r="Q23" s="1555">
        <f>B23</f>
        <v>111</v>
      </c>
      <c r="R23" s="1556" t="s">
        <v>8</v>
      </c>
      <c r="S23" s="1557">
        <f>F23</f>
        <v>100</v>
      </c>
      <c r="T23" s="1556" t="s">
        <v>8</v>
      </c>
      <c r="U23" s="1557">
        <f>H23</f>
        <v>100</v>
      </c>
      <c r="V23" s="1556" t="s">
        <v>8</v>
      </c>
      <c r="W23" s="1557">
        <f>J23</f>
        <v>100</v>
      </c>
      <c r="X23" s="1550"/>
      <c r="Y23" s="3398"/>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398"/>
      <c r="Q24" s="1555">
        <f t="shared" ref="Q24:Q36" si="8">B24</f>
        <v>111</v>
      </c>
      <c r="R24" s="1556" t="s">
        <v>8</v>
      </c>
      <c r="S24" s="1557">
        <f>F24</f>
        <v>100</v>
      </c>
      <c r="T24" s="1556" t="s">
        <v>8</v>
      </c>
      <c r="U24" s="1557">
        <f>H24</f>
        <v>100</v>
      </c>
      <c r="V24" s="1556" t="s">
        <v>8</v>
      </c>
      <c r="W24" s="1557">
        <f>J24</f>
        <v>100</v>
      </c>
      <c r="X24" s="1550"/>
      <c r="Y24" s="3398"/>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398"/>
      <c r="Q25" s="1144">
        <f t="shared" si="8"/>
        <v>111</v>
      </c>
      <c r="R25" s="1551" t="s">
        <v>8</v>
      </c>
      <c r="S25" s="1552">
        <f>F25</f>
        <v>100</v>
      </c>
      <c r="T25" s="1551" t="s">
        <v>8</v>
      </c>
      <c r="U25" s="1552">
        <f>H25</f>
        <v>100</v>
      </c>
      <c r="V25" s="1551" t="s">
        <v>8</v>
      </c>
      <c r="W25" s="1552">
        <f>J25</f>
        <v>100</v>
      </c>
      <c r="X25" s="1553"/>
      <c r="Y25" s="3398"/>
      <c r="Z25" s="1143">
        <f>Q25</f>
        <v>111</v>
      </c>
      <c r="AA25" s="1559">
        <f>D25/F25</f>
        <v>1</v>
      </c>
      <c r="AB25" s="1559">
        <f>D25/H25</f>
        <v>1</v>
      </c>
      <c r="AC25" s="1559">
        <f>D25/J25</f>
        <v>1</v>
      </c>
    </row>
    <row r="26" spans="1:29" ht="15">
      <c r="A26" s="2859"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399" t="s">
        <v>550</v>
      </c>
      <c r="Q26" s="1555" t="str">
        <f t="shared" si="8"/>
        <v>配套类型</v>
      </c>
      <c r="R26" s="1556" t="s">
        <v>8</v>
      </c>
      <c r="S26" s="1557">
        <f t="shared" ref="S26:S36" si="9">F26</f>
        <v>100</v>
      </c>
      <c r="T26" s="1556" t="s">
        <v>8</v>
      </c>
      <c r="U26" s="1557">
        <f t="shared" ref="U26:U36" si="10">H26</f>
        <v>100</v>
      </c>
      <c r="V26" s="1556" t="s">
        <v>8</v>
      </c>
      <c r="W26" s="1557">
        <f t="shared" ref="W26:W36" si="11">J26</f>
        <v>100</v>
      </c>
      <c r="X26" s="1550"/>
      <c r="Y26" s="3400" t="s">
        <v>550</v>
      </c>
      <c r="Z26" s="1558" t="str">
        <f t="shared" ref="Z26:Z36" si="12">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00"/>
      <c r="Q27" s="1587" t="str">
        <f t="shared" si="8"/>
        <v>项目停车位配比</v>
      </c>
      <c r="R27" s="1560" t="s">
        <v>8</v>
      </c>
      <c r="S27" s="1561">
        <f t="shared" si="9"/>
        <v>100</v>
      </c>
      <c r="T27" s="1560" t="s">
        <v>8</v>
      </c>
      <c r="U27" s="1561">
        <f t="shared" si="10"/>
        <v>100</v>
      </c>
      <c r="V27" s="1560" t="s">
        <v>8</v>
      </c>
      <c r="W27" s="1561">
        <f t="shared" si="11"/>
        <v>100</v>
      </c>
      <c r="X27" s="1562"/>
      <c r="Y27" s="3400"/>
      <c r="Z27" s="1563" t="str">
        <f t="shared" si="12"/>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00"/>
      <c r="Q28" s="1555" t="str">
        <f t="shared" si="8"/>
        <v>公共部分装修</v>
      </c>
      <c r="R28" s="1556" t="s">
        <v>8</v>
      </c>
      <c r="S28" s="1557">
        <f t="shared" si="9"/>
        <v>100</v>
      </c>
      <c r="T28" s="1556" t="s">
        <v>8</v>
      </c>
      <c r="U28" s="1557">
        <f t="shared" si="10"/>
        <v>100</v>
      </c>
      <c r="V28" s="1556" t="s">
        <v>8</v>
      </c>
      <c r="W28" s="1557">
        <f t="shared" si="11"/>
        <v>100</v>
      </c>
      <c r="X28" s="1550"/>
      <c r="Y28" s="3400"/>
      <c r="Z28" s="1558" t="str">
        <f t="shared" si="12"/>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00"/>
      <c r="Q29" s="1555" t="str">
        <f t="shared" si="8"/>
        <v>成新率</v>
      </c>
      <c r="R29" s="1556" t="s">
        <v>8</v>
      </c>
      <c r="S29" s="1557" t="e">
        <f t="shared" si="9"/>
        <v>#N/A</v>
      </c>
      <c r="T29" s="1556" t="s">
        <v>8</v>
      </c>
      <c r="U29" s="1557" t="e">
        <f t="shared" si="10"/>
        <v>#N/A</v>
      </c>
      <c r="V29" s="1556" t="s">
        <v>8</v>
      </c>
      <c r="W29" s="1557" t="e">
        <f t="shared" si="11"/>
        <v>#N/A</v>
      </c>
      <c r="X29" s="1550"/>
      <c r="Y29" s="3400"/>
      <c r="Z29" s="1558" t="str">
        <f t="shared" si="12"/>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00"/>
      <c r="Q30" s="1555" t="str">
        <f t="shared" si="8"/>
        <v>物业等级</v>
      </c>
      <c r="R30" s="1556" t="s">
        <v>8</v>
      </c>
      <c r="S30" s="1557">
        <f t="shared" si="9"/>
        <v>100</v>
      </c>
      <c r="T30" s="1556" t="s">
        <v>8</v>
      </c>
      <c r="U30" s="1557">
        <f t="shared" si="10"/>
        <v>100</v>
      </c>
      <c r="V30" s="1556" t="s">
        <v>8</v>
      </c>
      <c r="W30" s="1557">
        <f t="shared" si="11"/>
        <v>100</v>
      </c>
      <c r="X30" s="1550"/>
      <c r="Y30" s="3400"/>
      <c r="Z30" s="1558" t="str">
        <f t="shared" si="12"/>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00"/>
      <c r="Q31" s="1144" t="str">
        <f t="shared" si="8"/>
        <v>停车位面积</v>
      </c>
      <c r="R31" s="1551" t="s">
        <v>8</v>
      </c>
      <c r="S31" s="1552" t="e">
        <f t="shared" si="9"/>
        <v>#N/A</v>
      </c>
      <c r="T31" s="1551" t="s">
        <v>8</v>
      </c>
      <c r="U31" s="1552" t="e">
        <f t="shared" si="10"/>
        <v>#N/A</v>
      </c>
      <c r="V31" s="1551" t="s">
        <v>8</v>
      </c>
      <c r="W31" s="1552" t="e">
        <f t="shared" si="11"/>
        <v>#N/A</v>
      </c>
      <c r="X31" s="1553"/>
      <c r="Y31" s="3400"/>
      <c r="Z31" s="1143" t="str">
        <f t="shared" si="12"/>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00" t="s">
        <v>550</v>
      </c>
      <c r="Q32" s="1555" t="str">
        <f t="shared" si="8"/>
        <v>车位类型</v>
      </c>
      <c r="R32" s="1556" t="s">
        <v>8</v>
      </c>
      <c r="S32" s="1557">
        <f t="shared" si="9"/>
        <v>100</v>
      </c>
      <c r="T32" s="1556" t="s">
        <v>8</v>
      </c>
      <c r="U32" s="1557">
        <f t="shared" si="10"/>
        <v>100</v>
      </c>
      <c r="V32" s="1556" t="s">
        <v>8</v>
      </c>
      <c r="W32" s="1557">
        <f t="shared" si="11"/>
        <v>100</v>
      </c>
      <c r="X32" s="1550"/>
      <c r="Y32" s="3400" t="s">
        <v>550</v>
      </c>
      <c r="Z32" s="1558" t="str">
        <f t="shared" si="12"/>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00"/>
      <c r="Q33" s="1555" t="str">
        <f t="shared" si="8"/>
        <v>是否直接入户</v>
      </c>
      <c r="R33" s="1556" t="s">
        <v>8</v>
      </c>
      <c r="S33" s="1557">
        <f t="shared" si="9"/>
        <v>100</v>
      </c>
      <c r="T33" s="1556" t="s">
        <v>8</v>
      </c>
      <c r="U33" s="1557">
        <f t="shared" si="10"/>
        <v>100</v>
      </c>
      <c r="V33" s="1556" t="s">
        <v>8</v>
      </c>
      <c r="W33" s="1557">
        <f t="shared" si="11"/>
        <v>100</v>
      </c>
      <c r="X33" s="1550"/>
      <c r="Y33" s="3400"/>
      <c r="Z33" s="1558" t="str">
        <f t="shared" si="12"/>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00"/>
      <c r="Q34" s="1555">
        <f t="shared" si="8"/>
        <v>111</v>
      </c>
      <c r="R34" s="1556" t="s">
        <v>8</v>
      </c>
      <c r="S34" s="1557">
        <f t="shared" si="9"/>
        <v>100</v>
      </c>
      <c r="T34" s="1556" t="s">
        <v>8</v>
      </c>
      <c r="U34" s="1557">
        <f t="shared" si="10"/>
        <v>100</v>
      </c>
      <c r="V34" s="1556" t="s">
        <v>8</v>
      </c>
      <c r="W34" s="1557">
        <f t="shared" si="11"/>
        <v>100</v>
      </c>
      <c r="X34" s="1550"/>
      <c r="Y34" s="3400"/>
      <c r="Z34" s="1558">
        <f t="shared" si="12"/>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00"/>
      <c r="Q35" s="1587">
        <f t="shared" si="8"/>
        <v>111</v>
      </c>
      <c r="R35" s="1560" t="s">
        <v>8</v>
      </c>
      <c r="S35" s="1561">
        <f t="shared" si="9"/>
        <v>100</v>
      </c>
      <c r="T35" s="1560" t="s">
        <v>8</v>
      </c>
      <c r="U35" s="1561">
        <f t="shared" si="10"/>
        <v>100</v>
      </c>
      <c r="V35" s="1560" t="s">
        <v>8</v>
      </c>
      <c r="W35" s="1561">
        <f t="shared" si="11"/>
        <v>100</v>
      </c>
      <c r="X35" s="1562"/>
      <c r="Y35" s="3400"/>
      <c r="Z35" s="1563">
        <f t="shared" si="12"/>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00"/>
      <c r="Q36" s="1555">
        <f t="shared" si="8"/>
        <v>111</v>
      </c>
      <c r="R36" s="1556" t="s">
        <v>8</v>
      </c>
      <c r="S36" s="1557">
        <f t="shared" si="9"/>
        <v>100</v>
      </c>
      <c r="T36" s="1556" t="s">
        <v>8</v>
      </c>
      <c r="U36" s="1557">
        <f t="shared" si="10"/>
        <v>100</v>
      </c>
      <c r="V36" s="1556" t="s">
        <v>8</v>
      </c>
      <c r="W36" s="1557">
        <f t="shared" si="11"/>
        <v>100</v>
      </c>
      <c r="X36" s="1550"/>
      <c r="Y36" s="3400"/>
      <c r="Z36" s="1558">
        <f t="shared" si="12"/>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395" t="str">
        <f>A37</f>
        <v>成交单价</v>
      </c>
      <c r="Q37" s="3395"/>
      <c r="R37" s="3499">
        <f>E37</f>
        <v>0</v>
      </c>
      <c r="S37" s="3499"/>
      <c r="T37" s="3499">
        <f>G37</f>
        <v>0</v>
      </c>
      <c r="U37" s="3499"/>
      <c r="V37" s="3499">
        <f>I37</f>
        <v>0</v>
      </c>
      <c r="W37" s="3499"/>
      <c r="X37" s="1542"/>
      <c r="Y37" s="1564"/>
      <c r="Z37" s="1542"/>
      <c r="AA37" s="1542"/>
      <c r="AB37" s="1542"/>
      <c r="AC37" s="1542"/>
    </row>
    <row r="38" spans="1:29" ht="15.75" thickBot="1">
      <c r="A38" s="613" t="s">
        <v>2756</v>
      </c>
      <c r="B38" s="885"/>
      <c r="C38" s="2594" t="e">
        <f>R39</f>
        <v>#DIV/0!</v>
      </c>
      <c r="D38" s="2595"/>
      <c r="E38" s="2596" t="e">
        <f>R38</f>
        <v>#DIV/0!</v>
      </c>
      <c r="F38" s="2596"/>
      <c r="G38" s="2594" t="e">
        <f>T38</f>
        <v>#DIV/0!</v>
      </c>
      <c r="H38" s="2595"/>
      <c r="I38" s="2596" t="e">
        <f>V38</f>
        <v>#DIV/0!</v>
      </c>
      <c r="J38" s="2595"/>
      <c r="K38" s="1594"/>
      <c r="L38" s="2126"/>
      <c r="M38" s="2127"/>
      <c r="N38" s="2127"/>
      <c r="O38" s="2127"/>
      <c r="P38" s="3395" t="str">
        <f>A38</f>
        <v>比较价格（元/平方米）</v>
      </c>
      <c r="Q38" s="3395"/>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416" t="str">
        <f>A39</f>
        <v>估价对象XX用房的比较价格（楼面单价，元/平方米）</v>
      </c>
      <c r="Q39" s="3417"/>
      <c r="R39" s="3498" t="e">
        <f>IF(F1="售价",ROUND(AVERAGE(R38:V38),0),ROUND(AVERAGE(R38:V38),1))</f>
        <v>#DIV/0!</v>
      </c>
      <c r="S39" s="3498"/>
      <c r="T39" s="3498"/>
      <c r="U39" s="3498"/>
      <c r="V39" s="3498"/>
      <c r="W39" s="3498"/>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2020-7</v>
      </c>
      <c r="D48" s="2756">
        <f>EDATE(C48,-1)</f>
        <v>43983</v>
      </c>
      <c r="E48" s="2756">
        <f t="shared" ref="E48:O48" si="13">EDATE(D48,-1)</f>
        <v>43952</v>
      </c>
      <c r="F48" s="2756">
        <f t="shared" si="13"/>
        <v>43922</v>
      </c>
      <c r="G48" s="2756">
        <f t="shared" si="13"/>
        <v>43891</v>
      </c>
      <c r="H48" s="2756">
        <f t="shared" si="13"/>
        <v>43862</v>
      </c>
      <c r="I48" s="2756">
        <f t="shared" si="13"/>
        <v>43831</v>
      </c>
      <c r="J48" s="2756">
        <f t="shared" si="13"/>
        <v>43800</v>
      </c>
      <c r="K48" s="2756">
        <f t="shared" si="13"/>
        <v>43770</v>
      </c>
      <c r="L48" s="2756">
        <f t="shared" si="13"/>
        <v>43739</v>
      </c>
      <c r="M48" s="2756">
        <f t="shared" si="13"/>
        <v>43709</v>
      </c>
      <c r="N48" s="2756">
        <f t="shared" si="13"/>
        <v>43678</v>
      </c>
      <c r="O48" s="2756">
        <f t="shared" si="13"/>
        <v>43647</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1" t="s">
        <v>798</v>
      </c>
      <c r="D4" s="3402"/>
      <c r="E4" s="3425" t="s">
        <v>799</v>
      </c>
      <c r="F4" s="3426"/>
      <c r="G4" s="3401" t="s">
        <v>800</v>
      </c>
      <c r="H4" s="3402"/>
      <c r="I4" s="3401" t="s">
        <v>801</v>
      </c>
      <c r="J4" s="3402"/>
      <c r="K4" s="512" t="s">
        <v>802</v>
      </c>
      <c r="L4" s="2115"/>
      <c r="M4" s="2116"/>
      <c r="N4" s="2116"/>
      <c r="O4" s="2116"/>
      <c r="P4" s="3403" t="s">
        <v>803</v>
      </c>
      <c r="Q4" s="3404"/>
      <c r="R4" s="3389" t="s">
        <v>799</v>
      </c>
      <c r="S4" s="3390"/>
      <c r="T4" s="3389" t="s">
        <v>800</v>
      </c>
      <c r="U4" s="3390"/>
      <c r="V4" s="3409" t="s">
        <v>801</v>
      </c>
      <c r="W4" s="3409"/>
      <c r="X4" s="1550"/>
      <c r="Y4" s="3389" t="s">
        <v>803</v>
      </c>
      <c r="Z4" s="3390"/>
      <c r="AA4" s="3384" t="s">
        <v>799</v>
      </c>
      <c r="AB4" s="3385" t="s">
        <v>800</v>
      </c>
      <c r="AC4" s="3384" t="s">
        <v>801</v>
      </c>
    </row>
    <row r="5" spans="1:29" ht="15">
      <c r="A5" s="513"/>
      <c r="B5" s="514"/>
      <c r="C5" s="3412" t="s">
        <v>2927</v>
      </c>
      <c r="D5" s="3413"/>
      <c r="E5" s="3427" t="s">
        <v>2928</v>
      </c>
      <c r="F5" s="3428"/>
      <c r="G5" s="3412" t="s">
        <v>2929</v>
      </c>
      <c r="H5" s="3413"/>
      <c r="I5" s="3412" t="s">
        <v>2930</v>
      </c>
      <c r="J5" s="3413"/>
      <c r="K5" s="512"/>
      <c r="L5" s="2115"/>
      <c r="M5" s="2116"/>
      <c r="N5" s="2116"/>
      <c r="O5" s="2116"/>
      <c r="P5" s="3405"/>
      <c r="Q5" s="3406"/>
      <c r="R5" s="3391"/>
      <c r="S5" s="3392"/>
      <c r="T5" s="3391"/>
      <c r="U5" s="3392"/>
      <c r="V5" s="3409"/>
      <c r="W5" s="3409"/>
      <c r="X5" s="1550"/>
      <c r="Y5" s="3391"/>
      <c r="Z5" s="3392"/>
      <c r="AA5" s="3385"/>
      <c r="AB5" s="3385"/>
      <c r="AC5" s="3385"/>
    </row>
    <row r="6" spans="1:29" ht="15.75" thickBot="1">
      <c r="A6" s="515"/>
      <c r="B6" s="516"/>
      <c r="C6" s="3410" t="s">
        <v>2931</v>
      </c>
      <c r="D6" s="3411"/>
      <c r="E6" s="3429" t="s">
        <v>2931</v>
      </c>
      <c r="F6" s="3430"/>
      <c r="G6" s="3410" t="s">
        <v>2931</v>
      </c>
      <c r="H6" s="3411"/>
      <c r="I6" s="3410" t="s">
        <v>2931</v>
      </c>
      <c r="J6" s="3411"/>
      <c r="K6" s="512" t="s">
        <v>528</v>
      </c>
      <c r="L6" s="2115"/>
      <c r="M6" s="2116"/>
      <c r="N6" s="2116"/>
      <c r="O6" s="2116"/>
      <c r="P6" s="3407"/>
      <c r="Q6" s="3408"/>
      <c r="R6" s="3391"/>
      <c r="S6" s="3392"/>
      <c r="T6" s="3393"/>
      <c r="U6" s="3394"/>
      <c r="V6" s="3409"/>
      <c r="W6" s="3409"/>
      <c r="X6" s="1550"/>
      <c r="Y6" s="3393"/>
      <c r="Z6" s="3394"/>
      <c r="AA6" s="3386"/>
      <c r="AB6" s="3386"/>
      <c r="AC6" s="3386"/>
    </row>
    <row r="7" spans="1:29" s="1213" customFormat="1" ht="15.75" thickBot="1">
      <c r="A7" s="2863"/>
      <c r="B7" s="2870" t="s">
        <v>529</v>
      </c>
      <c r="C7" s="517">
        <f>'数据-取费表'!B2</f>
        <v>44036</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87" t="s">
        <v>530</v>
      </c>
      <c r="Q7" s="3396"/>
      <c r="R7" s="1551" t="s">
        <v>8</v>
      </c>
      <c r="S7" s="1552">
        <f t="shared" ref="S7:S14" si="0">F7</f>
        <v>0</v>
      </c>
      <c r="T7" s="1551" t="s">
        <v>8</v>
      </c>
      <c r="U7" s="1552">
        <f t="shared" ref="U7:U14" si="1">H7</f>
        <v>0</v>
      </c>
      <c r="V7" s="1551" t="s">
        <v>8</v>
      </c>
      <c r="W7" s="1552">
        <f t="shared" ref="W7:W14" si="2">J7</f>
        <v>0</v>
      </c>
      <c r="X7" s="1553"/>
      <c r="Y7" s="3387" t="s">
        <v>530</v>
      </c>
      <c r="Z7" s="3388"/>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87" t="s">
        <v>533</v>
      </c>
      <c r="Q8" s="3388"/>
      <c r="R8" s="1551" t="s">
        <v>8</v>
      </c>
      <c r="S8" s="1552">
        <f t="shared" si="0"/>
        <v>0</v>
      </c>
      <c r="T8" s="1551" t="s">
        <v>8</v>
      </c>
      <c r="U8" s="1552">
        <f t="shared" si="1"/>
        <v>0</v>
      </c>
      <c r="V8" s="1551" t="s">
        <v>8</v>
      </c>
      <c r="W8" s="1552">
        <f t="shared" si="2"/>
        <v>0</v>
      </c>
      <c r="X8" s="1553"/>
      <c r="Y8" s="3387" t="s">
        <v>533</v>
      </c>
      <c r="Z8" s="3388"/>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5" t="s">
        <v>535</v>
      </c>
      <c r="Q9" s="1144" t="str">
        <f t="shared" ref="Q9:Q14" si="6">B9</f>
        <v>用途</v>
      </c>
      <c r="R9" s="1551" t="s">
        <v>8</v>
      </c>
      <c r="S9" s="1552">
        <f t="shared" si="0"/>
        <v>100</v>
      </c>
      <c r="T9" s="1551" t="s">
        <v>8</v>
      </c>
      <c r="U9" s="1552">
        <f t="shared" si="1"/>
        <v>100</v>
      </c>
      <c r="V9" s="1551" t="s">
        <v>8</v>
      </c>
      <c r="W9" s="1552">
        <f t="shared" si="2"/>
        <v>100</v>
      </c>
      <c r="X9" s="1553"/>
      <c r="Y9" s="3352"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5"/>
      <c r="Q10" s="1144" t="str">
        <f t="shared" si="6"/>
        <v>土地使用年限（年）</v>
      </c>
      <c r="R10" s="1551" t="s">
        <v>8</v>
      </c>
      <c r="S10" s="1552">
        <f t="shared" si="0"/>
        <v>100</v>
      </c>
      <c r="T10" s="1551" t="s">
        <v>8</v>
      </c>
      <c r="U10" s="1552">
        <f t="shared" si="1"/>
        <v>100</v>
      </c>
      <c r="V10" s="1551" t="s">
        <v>8</v>
      </c>
      <c r="W10" s="1552">
        <f t="shared" si="2"/>
        <v>100</v>
      </c>
      <c r="X10" s="1553"/>
      <c r="Y10" s="3352"/>
      <c r="Z10" s="1143" t="str">
        <f t="shared" si="7"/>
        <v>土地使用年限（年）</v>
      </c>
      <c r="AA10" s="1554">
        <f t="shared" si="3"/>
        <v>1</v>
      </c>
      <c r="AB10" s="1554">
        <f t="shared" si="4"/>
        <v>1</v>
      </c>
      <c r="AC10" s="1554">
        <f t="shared" si="5"/>
        <v>1</v>
      </c>
    </row>
    <row r="11" spans="1:29" ht="15">
      <c r="A11" s="2868"/>
      <c r="B11" s="2874">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95"/>
      <c r="Q11" s="1144">
        <f t="shared" si="6"/>
        <v>111</v>
      </c>
      <c r="R11" s="1551" t="s">
        <v>8</v>
      </c>
      <c r="S11" s="1552">
        <f t="shared" si="0"/>
        <v>100</v>
      </c>
      <c r="T11" s="1551" t="s">
        <v>8</v>
      </c>
      <c r="U11" s="1552">
        <f t="shared" si="1"/>
        <v>100</v>
      </c>
      <c r="V11" s="1551" t="s">
        <v>8</v>
      </c>
      <c r="W11" s="1552">
        <f t="shared" si="2"/>
        <v>100</v>
      </c>
      <c r="X11" s="1553"/>
      <c r="Y11" s="3352"/>
      <c r="Z11" s="1143">
        <f t="shared" si="7"/>
        <v>111</v>
      </c>
      <c r="AA11" s="1554">
        <f t="shared" si="3"/>
        <v>1</v>
      </c>
      <c r="AB11" s="1554">
        <f t="shared" si="4"/>
        <v>1</v>
      </c>
      <c r="AC11" s="1554">
        <f t="shared" si="5"/>
        <v>1</v>
      </c>
    </row>
    <row r="12" spans="1:29" s="1213" customFormat="1" ht="15">
      <c r="A12" s="2868"/>
      <c r="B12" s="2874">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95"/>
      <c r="Q12" s="1144">
        <f t="shared" si="6"/>
        <v>111</v>
      </c>
      <c r="R12" s="1551" t="s">
        <v>8</v>
      </c>
      <c r="S12" s="1552">
        <f t="shared" si="0"/>
        <v>100</v>
      </c>
      <c r="T12" s="1551" t="s">
        <v>8</v>
      </c>
      <c r="U12" s="1552">
        <f t="shared" si="1"/>
        <v>100</v>
      </c>
      <c r="V12" s="1551" t="s">
        <v>8</v>
      </c>
      <c r="W12" s="1552">
        <f t="shared" si="2"/>
        <v>100</v>
      </c>
      <c r="X12" s="1553"/>
      <c r="Y12" s="3352"/>
      <c r="Z12" s="1143">
        <f t="shared" si="7"/>
        <v>111</v>
      </c>
      <c r="AA12" s="1554">
        <f>D12/F12</f>
        <v>1</v>
      </c>
      <c r="AB12" s="1554">
        <f>D12/H12</f>
        <v>1</v>
      </c>
      <c r="AC12" s="1554">
        <f>D12/J12</f>
        <v>1</v>
      </c>
    </row>
    <row r="13" spans="1:29" ht="15.75" thickBot="1">
      <c r="A13" s="2869"/>
      <c r="B13" s="2875">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95"/>
      <c r="Q13" s="1144">
        <f t="shared" si="6"/>
        <v>111</v>
      </c>
      <c r="R13" s="1551" t="s">
        <v>8</v>
      </c>
      <c r="S13" s="1552">
        <f t="shared" si="0"/>
        <v>100</v>
      </c>
      <c r="T13" s="1551" t="s">
        <v>8</v>
      </c>
      <c r="U13" s="1552">
        <f t="shared" si="1"/>
        <v>100</v>
      </c>
      <c r="V13" s="1551" t="s">
        <v>8</v>
      </c>
      <c r="W13" s="1552">
        <f t="shared" si="2"/>
        <v>100</v>
      </c>
      <c r="X13" s="1553"/>
      <c r="Y13" s="3352"/>
      <c r="Z13" s="1143">
        <f t="shared" si="7"/>
        <v>111</v>
      </c>
      <c r="AA13" s="1554">
        <f t="shared" si="3"/>
        <v>1</v>
      </c>
      <c r="AB13" s="1554">
        <f t="shared" si="4"/>
        <v>1</v>
      </c>
      <c r="AC13" s="1554">
        <f t="shared" si="5"/>
        <v>1</v>
      </c>
    </row>
    <row r="14" spans="1:29" ht="85.5">
      <c r="A14" s="2861" t="s">
        <v>2750</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397" t="s">
        <v>540</v>
      </c>
      <c r="Q14" s="1555" t="str">
        <f t="shared" si="6"/>
        <v>交通便捷度</v>
      </c>
      <c r="R14" s="1556" t="s">
        <v>8</v>
      </c>
      <c r="S14" s="1557">
        <f t="shared" si="0"/>
        <v>100</v>
      </c>
      <c r="T14" s="1556" t="s">
        <v>8</v>
      </c>
      <c r="U14" s="1557">
        <f t="shared" si="1"/>
        <v>100</v>
      </c>
      <c r="V14" s="1556" t="s">
        <v>8</v>
      </c>
      <c r="W14" s="1557">
        <f t="shared" si="2"/>
        <v>100</v>
      </c>
      <c r="X14" s="1550"/>
      <c r="Y14" s="3397"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398"/>
      <c r="Q15" s="1555"/>
      <c r="R15" s="1556"/>
      <c r="S15" s="1557"/>
      <c r="T15" s="1556"/>
      <c r="U15" s="1557"/>
      <c r="V15" s="1556"/>
      <c r="W15" s="1557"/>
      <c r="X15" s="1550"/>
      <c r="Y15" s="3398"/>
      <c r="Z15" s="1558"/>
      <c r="AA15" s="1559">
        <v>1</v>
      </c>
      <c r="AB15" s="1559">
        <v>1</v>
      </c>
      <c r="AC15" s="1559">
        <v>1</v>
      </c>
    </row>
    <row r="16" spans="1:29" ht="42.75">
      <c r="A16" s="530"/>
      <c r="B16" s="2564"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398"/>
      <c r="Q16" s="1555" t="str">
        <f>B16</f>
        <v>公共配套设施</v>
      </c>
      <c r="R16" s="1556" t="s">
        <v>8</v>
      </c>
      <c r="S16" s="1557">
        <f>F16</f>
        <v>100</v>
      </c>
      <c r="T16" s="1556" t="s">
        <v>8</v>
      </c>
      <c r="U16" s="1557">
        <f>H16</f>
        <v>100</v>
      </c>
      <c r="V16" s="1556" t="s">
        <v>8</v>
      </c>
      <c r="W16" s="1557">
        <f>J16</f>
        <v>100</v>
      </c>
      <c r="X16" s="1550"/>
      <c r="Y16" s="3398"/>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398"/>
      <c r="Q17" s="1555"/>
      <c r="R17" s="1556"/>
      <c r="S17" s="1557"/>
      <c r="T17" s="1556"/>
      <c r="U17" s="1557"/>
      <c r="V17" s="1556"/>
      <c r="W17" s="1557"/>
      <c r="X17" s="1550"/>
      <c r="Y17" s="3398"/>
      <c r="Z17" s="1558"/>
      <c r="AA17" s="1559">
        <v>1</v>
      </c>
      <c r="AB17" s="1559">
        <v>1</v>
      </c>
      <c r="AC17" s="1559">
        <v>1</v>
      </c>
    </row>
    <row r="18" spans="1:29" ht="28.5">
      <c r="A18" s="530"/>
      <c r="B18" s="2552"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398"/>
      <c r="Q18" s="2540" t="str">
        <f>B18</f>
        <v>基础设施水平</v>
      </c>
      <c r="R18" s="1556" t="s">
        <v>8</v>
      </c>
      <c r="S18" s="1557">
        <f>F18</f>
        <v>100</v>
      </c>
      <c r="T18" s="1556" t="s">
        <v>8</v>
      </c>
      <c r="U18" s="1557">
        <f>H18</f>
        <v>100</v>
      </c>
      <c r="V18" s="1556" t="s">
        <v>8</v>
      </c>
      <c r="W18" s="1557">
        <f>J18</f>
        <v>100</v>
      </c>
      <c r="X18" s="2542"/>
      <c r="Y18" s="3398"/>
      <c r="Z18" s="2541" t="str">
        <f>Q18</f>
        <v>基础设施水平</v>
      </c>
      <c r="AA18" s="1559">
        <f>D18/F18</f>
        <v>1</v>
      </c>
      <c r="AB18" s="1559">
        <f>D18/H18</f>
        <v>1</v>
      </c>
      <c r="AC18" s="1559">
        <f>D18/J18</f>
        <v>1</v>
      </c>
    </row>
    <row r="19" spans="1:29" ht="15">
      <c r="A19" s="530"/>
      <c r="B19" s="576"/>
      <c r="C19" s="871"/>
      <c r="D19" s="557"/>
      <c r="E19" s="871"/>
      <c r="F19" s="561"/>
      <c r="G19" s="871"/>
      <c r="H19" s="553"/>
      <c r="I19" s="574"/>
      <c r="J19" s="553"/>
      <c r="K19" s="2563"/>
      <c r="L19" s="2124"/>
      <c r="M19" s="2116"/>
      <c r="N19" s="2116"/>
      <c r="O19" s="2123"/>
      <c r="P19" s="3398"/>
      <c r="Q19" s="2540"/>
      <c r="R19" s="1556"/>
      <c r="S19" s="1557"/>
      <c r="T19" s="1556"/>
      <c r="U19" s="1557"/>
      <c r="V19" s="1556"/>
      <c r="W19" s="1557"/>
      <c r="X19" s="2542"/>
      <c r="Y19" s="3398"/>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398"/>
      <c r="Q20" s="1555" t="str">
        <f>B20</f>
        <v>自然及人文环境</v>
      </c>
      <c r="R20" s="1556" t="s">
        <v>8</v>
      </c>
      <c r="S20" s="1557">
        <f>F20</f>
        <v>100</v>
      </c>
      <c r="T20" s="1556" t="s">
        <v>8</v>
      </c>
      <c r="U20" s="1557">
        <f>H20</f>
        <v>100</v>
      </c>
      <c r="V20" s="1556" t="s">
        <v>8</v>
      </c>
      <c r="W20" s="1557">
        <f>J20</f>
        <v>100</v>
      </c>
      <c r="X20" s="1550"/>
      <c r="Y20" s="3398"/>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398"/>
      <c r="Q21" s="1555"/>
      <c r="R21" s="1556"/>
      <c r="S21" s="1557"/>
      <c r="T21" s="1556"/>
      <c r="U21" s="1557"/>
      <c r="V21" s="1556"/>
      <c r="W21" s="1557"/>
      <c r="X21" s="1550"/>
      <c r="Y21" s="3398"/>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398"/>
      <c r="Q22" s="1555" t="str">
        <f>B22</f>
        <v>楼层</v>
      </c>
      <c r="R22" s="1556" t="s">
        <v>8</v>
      </c>
      <c r="S22" s="1557">
        <f>F22</f>
        <v>100</v>
      </c>
      <c r="T22" s="1556" t="s">
        <v>8</v>
      </c>
      <c r="U22" s="1557">
        <f>H22</f>
        <v>100</v>
      </c>
      <c r="V22" s="1556" t="s">
        <v>8</v>
      </c>
      <c r="W22" s="1557">
        <f>J22</f>
        <v>100</v>
      </c>
      <c r="X22" s="1550"/>
      <c r="Y22" s="3398"/>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398"/>
      <c r="Q23" s="1555">
        <f>B23</f>
        <v>111</v>
      </c>
      <c r="R23" s="1556" t="s">
        <v>8</v>
      </c>
      <c r="S23" s="1557">
        <f>F23</f>
        <v>100</v>
      </c>
      <c r="T23" s="1556" t="s">
        <v>8</v>
      </c>
      <c r="U23" s="1557">
        <f>H23</f>
        <v>100</v>
      </c>
      <c r="V23" s="1556" t="s">
        <v>8</v>
      </c>
      <c r="W23" s="1557">
        <f>J23</f>
        <v>100</v>
      </c>
      <c r="X23" s="1550"/>
      <c r="Y23" s="3398"/>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398"/>
      <c r="Q24" s="1555">
        <f t="shared" ref="Q24:Q34" si="8">B24</f>
        <v>111</v>
      </c>
      <c r="R24" s="1556" t="s">
        <v>8</v>
      </c>
      <c r="S24" s="1557">
        <f>F24</f>
        <v>100</v>
      </c>
      <c r="T24" s="1556" t="s">
        <v>8</v>
      </c>
      <c r="U24" s="1557">
        <f>H24</f>
        <v>100</v>
      </c>
      <c r="V24" s="1556" t="s">
        <v>8</v>
      </c>
      <c r="W24" s="1557">
        <f>J24</f>
        <v>100</v>
      </c>
      <c r="X24" s="1550"/>
      <c r="Y24" s="3398"/>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398"/>
      <c r="Q25" s="1144">
        <f t="shared" si="8"/>
        <v>111</v>
      </c>
      <c r="R25" s="1551" t="s">
        <v>8</v>
      </c>
      <c r="S25" s="1552">
        <f>F25</f>
        <v>100</v>
      </c>
      <c r="T25" s="1551" t="s">
        <v>8</v>
      </c>
      <c r="U25" s="1552">
        <f>H25</f>
        <v>100</v>
      </c>
      <c r="V25" s="1551" t="s">
        <v>8</v>
      </c>
      <c r="W25" s="1552">
        <f>J25</f>
        <v>100</v>
      </c>
      <c r="X25" s="1553"/>
      <c r="Y25" s="3398"/>
      <c r="Z25" s="1143">
        <f>Q25</f>
        <v>111</v>
      </c>
      <c r="AA25" s="1559">
        <f>D25/F25</f>
        <v>1</v>
      </c>
      <c r="AB25" s="1559">
        <f>D25/H25</f>
        <v>1</v>
      </c>
      <c r="AC25" s="1559">
        <f>D25/J25</f>
        <v>1</v>
      </c>
    </row>
    <row r="26" spans="1:29" ht="15">
      <c r="A26" s="2859"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399" t="s">
        <v>821</v>
      </c>
      <c r="Q26" s="1555" t="str">
        <f t="shared" si="8"/>
        <v>公共部分装修</v>
      </c>
      <c r="R26" s="1556" t="s">
        <v>8</v>
      </c>
      <c r="S26" s="1557">
        <f t="shared" ref="S26:S34" si="9">F26</f>
        <v>100</v>
      </c>
      <c r="T26" s="1556" t="s">
        <v>8</v>
      </c>
      <c r="U26" s="1557">
        <f t="shared" ref="U26:U34" si="10">H26</f>
        <v>100</v>
      </c>
      <c r="V26" s="1556" t="s">
        <v>8</v>
      </c>
      <c r="W26" s="1557">
        <f t="shared" ref="W26:W34" si="11">J26</f>
        <v>100</v>
      </c>
      <c r="X26" s="1550"/>
      <c r="Y26" s="3400" t="s">
        <v>821</v>
      </c>
      <c r="Z26" s="1558" t="str">
        <f t="shared" ref="Z26:Z34" si="12">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00"/>
      <c r="Q27" s="1587" t="str">
        <f t="shared" si="8"/>
        <v>成新率</v>
      </c>
      <c r="R27" s="1560" t="s">
        <v>8</v>
      </c>
      <c r="S27" s="1561" t="e">
        <f t="shared" si="9"/>
        <v>#N/A</v>
      </c>
      <c r="T27" s="1560" t="s">
        <v>8</v>
      </c>
      <c r="U27" s="1561" t="e">
        <f t="shared" si="10"/>
        <v>#N/A</v>
      </c>
      <c r="V27" s="1560" t="s">
        <v>8</v>
      </c>
      <c r="W27" s="1561" t="e">
        <f t="shared" si="11"/>
        <v>#N/A</v>
      </c>
      <c r="X27" s="1562"/>
      <c r="Y27" s="3400"/>
      <c r="Z27" s="1563" t="str">
        <f t="shared" si="12"/>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00"/>
      <c r="Q28" s="1555" t="str">
        <f t="shared" si="8"/>
        <v>物业等级</v>
      </c>
      <c r="R28" s="1556" t="s">
        <v>8</v>
      </c>
      <c r="S28" s="1557">
        <f t="shared" si="9"/>
        <v>100</v>
      </c>
      <c r="T28" s="1556" t="s">
        <v>8</v>
      </c>
      <c r="U28" s="1557">
        <f t="shared" si="10"/>
        <v>100</v>
      </c>
      <c r="V28" s="1556" t="s">
        <v>8</v>
      </c>
      <c r="W28" s="1557">
        <f t="shared" si="11"/>
        <v>100</v>
      </c>
      <c r="X28" s="1550"/>
      <c r="Y28" s="3400"/>
      <c r="Z28" s="1558" t="str">
        <f t="shared" si="12"/>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00"/>
      <c r="Q29" s="1555" t="str">
        <f t="shared" si="8"/>
        <v>有无电梯</v>
      </c>
      <c r="R29" s="1556" t="s">
        <v>8</v>
      </c>
      <c r="S29" s="1557">
        <f t="shared" si="9"/>
        <v>100</v>
      </c>
      <c r="T29" s="1556" t="s">
        <v>8</v>
      </c>
      <c r="U29" s="1557">
        <f t="shared" si="10"/>
        <v>100</v>
      </c>
      <c r="V29" s="1556" t="s">
        <v>8</v>
      </c>
      <c r="W29" s="1557">
        <f t="shared" si="11"/>
        <v>100</v>
      </c>
      <c r="X29" s="1550"/>
      <c r="Y29" s="3400"/>
      <c r="Z29" s="1558" t="str">
        <f t="shared" si="12"/>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00"/>
      <c r="Q30" s="1555" t="str">
        <f t="shared" si="8"/>
        <v>建筑面积</v>
      </c>
      <c r="R30" s="1556" t="s">
        <v>8</v>
      </c>
      <c r="S30" s="1557" t="e">
        <f t="shared" si="9"/>
        <v>#N/A</v>
      </c>
      <c r="T30" s="1556" t="s">
        <v>8</v>
      </c>
      <c r="U30" s="1557" t="e">
        <f t="shared" si="10"/>
        <v>#N/A</v>
      </c>
      <c r="V30" s="1556" t="s">
        <v>8</v>
      </c>
      <c r="W30" s="1557" t="e">
        <f t="shared" si="11"/>
        <v>#N/A</v>
      </c>
      <c r="X30" s="1550"/>
      <c r="Y30" s="3400"/>
      <c r="Z30" s="1558" t="str">
        <f t="shared" si="12"/>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00"/>
      <c r="Q31" s="1144" t="str">
        <f t="shared" si="8"/>
        <v>是否封闭</v>
      </c>
      <c r="R31" s="1551" t="s">
        <v>8</v>
      </c>
      <c r="S31" s="1552">
        <f t="shared" si="9"/>
        <v>100</v>
      </c>
      <c r="T31" s="1551" t="s">
        <v>8</v>
      </c>
      <c r="U31" s="1552">
        <f t="shared" si="10"/>
        <v>100</v>
      </c>
      <c r="V31" s="1551" t="s">
        <v>8</v>
      </c>
      <c r="W31" s="1552">
        <f t="shared" si="11"/>
        <v>100</v>
      </c>
      <c r="X31" s="1553"/>
      <c r="Y31" s="3400"/>
      <c r="Z31" s="1143" t="str">
        <f t="shared" si="12"/>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00" t="s">
        <v>550</v>
      </c>
      <c r="Q32" s="1555">
        <f t="shared" si="8"/>
        <v>111</v>
      </c>
      <c r="R32" s="1556" t="s">
        <v>8</v>
      </c>
      <c r="S32" s="1557">
        <f t="shared" si="9"/>
        <v>100</v>
      </c>
      <c r="T32" s="1556" t="s">
        <v>8</v>
      </c>
      <c r="U32" s="1557">
        <f t="shared" si="10"/>
        <v>100</v>
      </c>
      <c r="V32" s="1556" t="s">
        <v>8</v>
      </c>
      <c r="W32" s="1557">
        <f t="shared" si="11"/>
        <v>100</v>
      </c>
      <c r="X32" s="1550"/>
      <c r="Y32" s="3400" t="s">
        <v>550</v>
      </c>
      <c r="Z32" s="1558">
        <f t="shared" si="12"/>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00"/>
      <c r="Q33" s="1555">
        <f t="shared" si="8"/>
        <v>111</v>
      </c>
      <c r="R33" s="1556" t="s">
        <v>8</v>
      </c>
      <c r="S33" s="1557">
        <f t="shared" si="9"/>
        <v>100</v>
      </c>
      <c r="T33" s="1556" t="s">
        <v>8</v>
      </c>
      <c r="U33" s="1557">
        <f t="shared" si="10"/>
        <v>100</v>
      </c>
      <c r="V33" s="1556" t="s">
        <v>8</v>
      </c>
      <c r="W33" s="1557">
        <f t="shared" si="11"/>
        <v>100</v>
      </c>
      <c r="X33" s="1550"/>
      <c r="Y33" s="3400"/>
      <c r="Z33" s="1558">
        <f t="shared" si="12"/>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00"/>
      <c r="Q34" s="1555">
        <f t="shared" si="8"/>
        <v>111</v>
      </c>
      <c r="R34" s="1556" t="s">
        <v>8</v>
      </c>
      <c r="S34" s="1557">
        <f t="shared" si="9"/>
        <v>100</v>
      </c>
      <c r="T34" s="1556" t="s">
        <v>8</v>
      </c>
      <c r="U34" s="1557">
        <f t="shared" si="10"/>
        <v>100</v>
      </c>
      <c r="V34" s="1556" t="s">
        <v>8</v>
      </c>
      <c r="W34" s="1557">
        <f t="shared" si="11"/>
        <v>100</v>
      </c>
      <c r="X34" s="1550"/>
      <c r="Y34" s="3400"/>
      <c r="Z34" s="1558">
        <f t="shared" si="12"/>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395" t="str">
        <f>A35</f>
        <v>成交单价（元/平方米）</v>
      </c>
      <c r="Q35" s="3395"/>
      <c r="R35" s="3499">
        <f>E35</f>
        <v>0</v>
      </c>
      <c r="S35" s="3499"/>
      <c r="T35" s="3499">
        <f>G35</f>
        <v>0</v>
      </c>
      <c r="U35" s="3499"/>
      <c r="V35" s="3499">
        <f>I35</f>
        <v>0</v>
      </c>
      <c r="W35" s="3499"/>
      <c r="X35" s="1542"/>
      <c r="Y35" s="1564"/>
      <c r="Z35" s="1542"/>
      <c r="AA35" s="1542"/>
      <c r="AB35" s="1542"/>
      <c r="AC35" s="1542"/>
    </row>
    <row r="36" spans="1:29" ht="15.75" thickBot="1">
      <c r="A36" s="613" t="s">
        <v>2756</v>
      </c>
      <c r="B36" s="885"/>
      <c r="C36" s="2594" t="e">
        <f>R37</f>
        <v>#DIV/0!</v>
      </c>
      <c r="D36" s="2595"/>
      <c r="E36" s="2596" t="e">
        <f>R36</f>
        <v>#DIV/0!</v>
      </c>
      <c r="F36" s="2596"/>
      <c r="G36" s="2594" t="e">
        <f>T36</f>
        <v>#DIV/0!</v>
      </c>
      <c r="H36" s="2595"/>
      <c r="I36" s="2596" t="e">
        <f>V36</f>
        <v>#DIV/0!</v>
      </c>
      <c r="J36" s="2595"/>
      <c r="K36" s="1594"/>
      <c r="L36" s="2126"/>
      <c r="M36" s="2127"/>
      <c r="N36" s="2116"/>
      <c r="O36" s="2127"/>
      <c r="P36" s="3395" t="str">
        <f>A36</f>
        <v>比较价格（元/平方米）</v>
      </c>
      <c r="Q36" s="3395"/>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416" t="str">
        <f>A37</f>
        <v>估价对象XX用房的比较价格（楼面单价，元/平方米）</v>
      </c>
      <c r="Q37" s="3417"/>
      <c r="R37" s="3498" t="e">
        <f>IF(F1="售价",ROUND(AVERAGE(R36:V36),0),ROUND(AVERAGE(R36:V36),1))</f>
        <v>#DIV/0!</v>
      </c>
      <c r="S37" s="3498"/>
      <c r="T37" s="3498"/>
      <c r="U37" s="3498"/>
      <c r="V37" s="3498"/>
      <c r="W37" s="3498"/>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2020-7</v>
      </c>
      <c r="D46" s="2756">
        <f>EDATE(C46,-1)</f>
        <v>43983</v>
      </c>
      <c r="E46" s="2756">
        <f t="shared" ref="E46:O46" si="13">EDATE(D46,-1)</f>
        <v>43952</v>
      </c>
      <c r="F46" s="2756">
        <f t="shared" si="13"/>
        <v>43922</v>
      </c>
      <c r="G46" s="2756">
        <f t="shared" si="13"/>
        <v>43891</v>
      </c>
      <c r="H46" s="2756">
        <f t="shared" si="13"/>
        <v>43862</v>
      </c>
      <c r="I46" s="2756">
        <f t="shared" si="13"/>
        <v>43831</v>
      </c>
      <c r="J46" s="2756">
        <f t="shared" si="13"/>
        <v>43800</v>
      </c>
      <c r="K46" s="2756">
        <f t="shared" si="13"/>
        <v>43770</v>
      </c>
      <c r="L46" s="2756">
        <f t="shared" si="13"/>
        <v>43739</v>
      </c>
      <c r="M46" s="2756">
        <f t="shared" si="13"/>
        <v>43709</v>
      </c>
      <c r="N46" s="2756">
        <f t="shared" si="13"/>
        <v>43678</v>
      </c>
      <c r="O46" s="2756">
        <f t="shared" si="13"/>
        <v>43647</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42071.89平方米。根据《建设工程规划许可证》[]、《出让合同》[]，估价对象规划建筑面积为84143.78平方米。</v>
      </c>
    </row>
    <row r="7" spans="1:4" ht="93.75">
      <c r="A7" s="2825"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2020年7月24日（评估专业人员勘察现场之日）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根据《国有土地使用证》[]，估价对象（分摊）出让国有建设用地使用权面积为42071.89平方米。根据《建设工程规划许可证》[]、《出让合同》[]，估价对象规划建筑面积为84143.78平方米。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2745</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08" t="s">
        <v>2301</v>
      </c>
      <c r="D1" s="3509"/>
      <c r="E1" s="3509"/>
      <c r="F1" s="3509"/>
      <c r="G1" s="3509"/>
      <c r="H1" s="3509"/>
      <c r="I1" s="3509"/>
      <c r="J1" s="3509"/>
      <c r="K1" s="3509"/>
      <c r="L1" s="3509"/>
      <c r="M1" s="3509"/>
      <c r="N1" s="3509"/>
      <c r="O1" s="3509"/>
      <c r="P1" s="3509"/>
      <c r="Q1" s="3509"/>
      <c r="R1" s="3509"/>
      <c r="S1" s="3510"/>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R2" si="1">M3&amp;"(含)"&amp;"-"&amp;N3</f>
        <v>(含)-</v>
      </c>
      <c r="N2" s="948" t="str">
        <f t="shared" si="1"/>
        <v>(含)-</v>
      </c>
      <c r="O2" s="948" t="str">
        <f t="shared" si="1"/>
        <v>(含)-</v>
      </c>
      <c r="P2" s="948" t="str">
        <f t="shared" si="1"/>
        <v>(含)-</v>
      </c>
      <c r="Q2" s="948" t="str">
        <f t="shared" si="1"/>
        <v>(含)-</v>
      </c>
      <c r="R2" s="948" t="str">
        <f t="shared" si="1"/>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2925</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2924</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05" t="s">
        <v>20</v>
      </c>
      <c r="D22" s="3506"/>
      <c r="E22" s="3506"/>
      <c r="F22" s="3506"/>
      <c r="G22" s="3506"/>
      <c r="H22" s="3506"/>
      <c r="I22" s="3506"/>
      <c r="J22" s="3506"/>
      <c r="K22" s="3506"/>
      <c r="L22" s="3506"/>
      <c r="M22" s="3506"/>
      <c r="N22" s="3506"/>
      <c r="O22" s="3506"/>
      <c r="P22" s="3506"/>
      <c r="Q22" s="3507"/>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6"/>
        <v>0</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8">
        <f t="shared" ref="R26:R89" si="15">IF(B26="",0,ROUND($R$24*C26*E26*G26*I26*K26*M26*O26*Q26,0))</f>
        <v>0</v>
      </c>
      <c r="S26" s="797">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8">
        <f t="shared" si="15"/>
        <v>0</v>
      </c>
      <c r="S27" s="797">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8">
        <f t="shared" si="15"/>
        <v>0</v>
      </c>
      <c r="S28" s="797">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8">
        <f t="shared" si="15"/>
        <v>0</v>
      </c>
      <c r="S29" s="797">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8">
        <f t="shared" si="15"/>
        <v>0</v>
      </c>
      <c r="S30" s="797">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8">
        <f t="shared" si="15"/>
        <v>0</v>
      </c>
      <c r="S31" s="797">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8">
        <f t="shared" si="15"/>
        <v>0</v>
      </c>
      <c r="S32" s="797">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8">
        <f t="shared" si="15"/>
        <v>0</v>
      </c>
      <c r="S33" s="797">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8">
        <f t="shared" si="15"/>
        <v>0</v>
      </c>
      <c r="S34" s="797">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8">
        <f t="shared" si="15"/>
        <v>0</v>
      </c>
      <c r="S35" s="797">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8">
        <f t="shared" si="15"/>
        <v>0</v>
      </c>
      <c r="S36" s="797">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8">
        <f t="shared" si="15"/>
        <v>0</v>
      </c>
      <c r="S37" s="797">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8">
        <f t="shared" si="15"/>
        <v>0</v>
      </c>
      <c r="S38" s="797">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8">
        <f t="shared" si="15"/>
        <v>0</v>
      </c>
      <c r="S39" s="797">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8">
        <f t="shared" si="15"/>
        <v>0</v>
      </c>
      <c r="S40" s="797">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8">
        <f t="shared" si="15"/>
        <v>0</v>
      </c>
      <c r="S41" s="797">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8">
        <f t="shared" si="15"/>
        <v>0</v>
      </c>
      <c r="S42" s="797">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8">
        <f t="shared" si="15"/>
        <v>0</v>
      </c>
      <c r="S43" s="797">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8">
        <f t="shared" si="15"/>
        <v>0</v>
      </c>
      <c r="S44" s="797">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8">
        <f t="shared" si="15"/>
        <v>0</v>
      </c>
      <c r="S45" s="797">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8">
        <f t="shared" si="15"/>
        <v>0</v>
      </c>
      <c r="S46" s="797">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8">
        <f t="shared" si="15"/>
        <v>0</v>
      </c>
      <c r="S47" s="797">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8">
        <f t="shared" si="15"/>
        <v>0</v>
      </c>
      <c r="S48" s="797">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8">
        <f t="shared" si="15"/>
        <v>0</v>
      </c>
      <c r="S49" s="797">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8">
        <f t="shared" si="15"/>
        <v>0</v>
      </c>
      <c r="S50" s="797">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8">
        <f t="shared" si="15"/>
        <v>0</v>
      </c>
      <c r="S51" s="797">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8">
        <f t="shared" si="15"/>
        <v>0</v>
      </c>
      <c r="S52" s="797">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8">
        <f t="shared" si="15"/>
        <v>0</v>
      </c>
      <c r="S53" s="797">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8">
        <f t="shared" si="15"/>
        <v>0</v>
      </c>
      <c r="S54" s="797">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8">
        <f t="shared" si="15"/>
        <v>0</v>
      </c>
      <c r="S55" s="797">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8">
        <f t="shared" si="15"/>
        <v>0</v>
      </c>
      <c r="S56" s="797">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8">
        <f t="shared" si="15"/>
        <v>0</v>
      </c>
      <c r="S57" s="797">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8">
        <f t="shared" si="15"/>
        <v>0</v>
      </c>
      <c r="S58" s="797">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8">
        <f t="shared" si="15"/>
        <v>0</v>
      </c>
      <c r="S59" s="797">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8">
        <f t="shared" si="15"/>
        <v>0</v>
      </c>
      <c r="S60" s="797">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8">
        <f t="shared" si="15"/>
        <v>0</v>
      </c>
      <c r="S61" s="797">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8">
        <f t="shared" si="15"/>
        <v>0</v>
      </c>
      <c r="S62" s="797">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8">
        <f t="shared" si="15"/>
        <v>0</v>
      </c>
      <c r="S63" s="797">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8">
        <f t="shared" si="15"/>
        <v>0</v>
      </c>
      <c r="S64" s="797">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8">
        <f t="shared" si="15"/>
        <v>0</v>
      </c>
      <c r="S65" s="797">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8">
        <f t="shared" si="15"/>
        <v>0</v>
      </c>
      <c r="S66" s="797">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8">
        <f t="shared" si="15"/>
        <v>0</v>
      </c>
      <c r="S67" s="797">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8">
        <f t="shared" si="15"/>
        <v>0</v>
      </c>
      <c r="S68" s="797">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8">
        <f t="shared" si="15"/>
        <v>0</v>
      </c>
      <c r="S69" s="797">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8">
        <f t="shared" si="15"/>
        <v>0</v>
      </c>
      <c r="S70" s="797">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8">
        <f t="shared" si="15"/>
        <v>0</v>
      </c>
      <c r="S71" s="797">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8">
        <f t="shared" si="15"/>
        <v>0</v>
      </c>
      <c r="S72" s="797">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8">
        <f t="shared" si="15"/>
        <v>0</v>
      </c>
      <c r="S73" s="797">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8">
        <f t="shared" si="15"/>
        <v>0</v>
      </c>
      <c r="S74" s="797">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8">
        <f t="shared" si="15"/>
        <v>0</v>
      </c>
      <c r="S75" s="797">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8">
        <f t="shared" si="15"/>
        <v>0</v>
      </c>
      <c r="S76" s="797">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8">
        <f t="shared" si="15"/>
        <v>0</v>
      </c>
      <c r="S77" s="797">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8">
        <f t="shared" si="15"/>
        <v>0</v>
      </c>
      <c r="S78" s="797">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8">
        <f t="shared" si="15"/>
        <v>0</v>
      </c>
      <c r="S79" s="797">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8">
        <f t="shared" si="15"/>
        <v>0</v>
      </c>
      <c r="S80" s="797">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8">
        <f t="shared" si="15"/>
        <v>0</v>
      </c>
      <c r="S81" s="797">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8">
        <f t="shared" si="15"/>
        <v>0</v>
      </c>
      <c r="S82" s="797">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8">
        <f t="shared" si="15"/>
        <v>0</v>
      </c>
      <c r="S83" s="797">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8">
        <f t="shared" si="15"/>
        <v>0</v>
      </c>
      <c r="S84" s="797">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8">
        <f t="shared" si="15"/>
        <v>0</v>
      </c>
      <c r="S85" s="797">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8">
        <f t="shared" si="15"/>
        <v>0</v>
      </c>
      <c r="S86" s="797">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8">
        <f t="shared" si="15"/>
        <v>0</v>
      </c>
      <c r="S87" s="797">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8">
        <f t="shared" si="15"/>
        <v>0</v>
      </c>
      <c r="S88" s="797">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8">
        <f t="shared" si="15"/>
        <v>0</v>
      </c>
      <c r="S89" s="797">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8">
        <f t="shared" ref="R90:R153" si="26">IF(B90="",0,ROUND($R$24*C90*E90*G90*I90*K90*M90*O90*Q90,0))</f>
        <v>0</v>
      </c>
      <c r="S90" s="797">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8">
        <f t="shared" si="26"/>
        <v>0</v>
      </c>
      <c r="S91" s="797">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8">
        <f t="shared" si="26"/>
        <v>0</v>
      </c>
      <c r="S92" s="797">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8">
        <f t="shared" si="26"/>
        <v>0</v>
      </c>
      <c r="S93" s="797">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8">
        <f t="shared" si="26"/>
        <v>0</v>
      </c>
      <c r="S94" s="797">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8">
        <f t="shared" si="26"/>
        <v>0</v>
      </c>
      <c r="S95" s="797">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8">
        <f t="shared" si="26"/>
        <v>0</v>
      </c>
      <c r="S96" s="797">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8">
        <f t="shared" si="26"/>
        <v>0</v>
      </c>
      <c r="S97" s="797">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8">
        <f t="shared" si="26"/>
        <v>0</v>
      </c>
      <c r="S98" s="797">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8">
        <f t="shared" si="26"/>
        <v>0</v>
      </c>
      <c r="S99" s="797">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8">
        <f t="shared" si="26"/>
        <v>0</v>
      </c>
      <c r="S100" s="797">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8">
        <f t="shared" si="26"/>
        <v>0</v>
      </c>
      <c r="S101" s="797">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8">
        <f t="shared" si="26"/>
        <v>0</v>
      </c>
      <c r="S102" s="797">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8">
        <f t="shared" si="26"/>
        <v>0</v>
      </c>
      <c r="S103" s="797">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8">
        <f t="shared" si="26"/>
        <v>0</v>
      </c>
      <c r="S104" s="797">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8">
        <f t="shared" si="26"/>
        <v>0</v>
      </c>
      <c r="S105" s="797">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8">
        <f t="shared" si="26"/>
        <v>0</v>
      </c>
      <c r="S106" s="797">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8">
        <f t="shared" si="26"/>
        <v>0</v>
      </c>
      <c r="S107" s="797">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8">
        <f t="shared" si="26"/>
        <v>0</v>
      </c>
      <c r="S108" s="797">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8">
        <f t="shared" si="26"/>
        <v>0</v>
      </c>
      <c r="S109" s="797">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8">
        <f t="shared" si="26"/>
        <v>0</v>
      </c>
      <c r="S110" s="797">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8">
        <f t="shared" si="26"/>
        <v>0</v>
      </c>
      <c r="S111" s="797">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8">
        <f t="shared" si="26"/>
        <v>0</v>
      </c>
      <c r="S112" s="797">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8">
        <f t="shared" si="26"/>
        <v>0</v>
      </c>
      <c r="S113" s="797">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8">
        <f t="shared" si="26"/>
        <v>0</v>
      </c>
      <c r="S114" s="797">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8">
        <f t="shared" si="26"/>
        <v>0</v>
      </c>
      <c r="S115" s="797">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8">
        <f t="shared" si="26"/>
        <v>0</v>
      </c>
      <c r="S116" s="797">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8">
        <f t="shared" si="26"/>
        <v>0</v>
      </c>
      <c r="S117" s="797">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8">
        <f t="shared" si="26"/>
        <v>0</v>
      </c>
      <c r="S118" s="797">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8">
        <f t="shared" si="26"/>
        <v>0</v>
      </c>
      <c r="S119" s="797">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8">
        <f t="shared" si="26"/>
        <v>0</v>
      </c>
      <c r="S120" s="797">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8">
        <f t="shared" si="26"/>
        <v>0</v>
      </c>
      <c r="S121" s="797">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8">
        <f t="shared" si="26"/>
        <v>0</v>
      </c>
      <c r="S122" s="797">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8">
        <f t="shared" si="26"/>
        <v>0</v>
      </c>
      <c r="S123" s="797">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8">
        <f t="shared" si="26"/>
        <v>0</v>
      </c>
      <c r="S124" s="797">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8">
        <f t="shared" si="26"/>
        <v>0</v>
      </c>
      <c r="S125" s="797">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8">
        <f t="shared" si="26"/>
        <v>0</v>
      </c>
      <c r="S126" s="797">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8">
        <f t="shared" si="26"/>
        <v>0</v>
      </c>
      <c r="S127" s="797">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8">
        <f t="shared" si="26"/>
        <v>0</v>
      </c>
      <c r="S128" s="797">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8">
        <f t="shared" si="26"/>
        <v>0</v>
      </c>
      <c r="S129" s="797">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8">
        <f t="shared" si="26"/>
        <v>0</v>
      </c>
      <c r="S130" s="797">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8">
        <f t="shared" si="26"/>
        <v>0</v>
      </c>
      <c r="S131" s="797">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8">
        <f t="shared" si="26"/>
        <v>0</v>
      </c>
      <c r="S132" s="797">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8">
        <f t="shared" si="26"/>
        <v>0</v>
      </c>
      <c r="S133" s="797">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8">
        <f t="shared" si="26"/>
        <v>0</v>
      </c>
      <c r="S134" s="797">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8">
        <f t="shared" si="26"/>
        <v>0</v>
      </c>
      <c r="S135" s="797">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8">
        <f t="shared" si="26"/>
        <v>0</v>
      </c>
      <c r="S136" s="797">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8">
        <f t="shared" si="26"/>
        <v>0</v>
      </c>
      <c r="S137" s="797">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8">
        <f t="shared" si="26"/>
        <v>0</v>
      </c>
      <c r="S138" s="797">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8">
        <f t="shared" si="26"/>
        <v>0</v>
      </c>
      <c r="S139" s="797">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8">
        <f t="shared" si="26"/>
        <v>0</v>
      </c>
      <c r="S140" s="797">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8">
        <f t="shared" si="26"/>
        <v>0</v>
      </c>
      <c r="S141" s="797">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8">
        <f t="shared" si="26"/>
        <v>0</v>
      </c>
      <c r="S142" s="797">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8">
        <f t="shared" si="26"/>
        <v>0</v>
      </c>
      <c r="S143" s="797">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8">
        <f t="shared" si="26"/>
        <v>0</v>
      </c>
      <c r="S144" s="797">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8">
        <f t="shared" si="26"/>
        <v>0</v>
      </c>
      <c r="S145" s="797">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8">
        <f t="shared" si="26"/>
        <v>0</v>
      </c>
      <c r="S146" s="797">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8">
        <f t="shared" si="26"/>
        <v>0</v>
      </c>
      <c r="S147" s="797">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8">
        <f t="shared" si="26"/>
        <v>0</v>
      </c>
      <c r="S148" s="797">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8">
        <f t="shared" si="26"/>
        <v>0</v>
      </c>
      <c r="S149" s="797">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8">
        <f t="shared" si="26"/>
        <v>0</v>
      </c>
      <c r="S150" s="797">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8">
        <f t="shared" si="26"/>
        <v>0</v>
      </c>
      <c r="S151" s="797">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8">
        <f t="shared" si="26"/>
        <v>0</v>
      </c>
      <c r="S152" s="797">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8">
        <f t="shared" si="26"/>
        <v>0</v>
      </c>
      <c r="S153" s="797">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8">
        <f t="shared" ref="R154:R217" si="36">IF(B154="",0,ROUND($R$24*C154*E154*G154*I154*K154*M154*O154*Q154,0))</f>
        <v>0</v>
      </c>
      <c r="S154" s="797">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8">
        <f t="shared" si="36"/>
        <v>0</v>
      </c>
      <c r="S155" s="797">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8">
        <f t="shared" si="36"/>
        <v>0</v>
      </c>
      <c r="S156" s="797">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8">
        <f t="shared" si="36"/>
        <v>0</v>
      </c>
      <c r="S157" s="797">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8">
        <f t="shared" si="36"/>
        <v>0</v>
      </c>
      <c r="S158" s="797">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8">
        <f t="shared" si="36"/>
        <v>0</v>
      </c>
      <c r="S159" s="797">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8">
        <f t="shared" si="36"/>
        <v>0</v>
      </c>
      <c r="S160" s="797">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8">
        <f t="shared" si="36"/>
        <v>0</v>
      </c>
      <c r="S161" s="797">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8">
        <f t="shared" si="36"/>
        <v>0</v>
      </c>
      <c r="S162" s="797">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8">
        <f t="shared" si="36"/>
        <v>0</v>
      </c>
      <c r="S163" s="797">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8">
        <f t="shared" si="36"/>
        <v>0</v>
      </c>
      <c r="S164" s="797">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8">
        <f t="shared" si="36"/>
        <v>0</v>
      </c>
      <c r="S165" s="797">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8">
        <f t="shared" si="36"/>
        <v>0</v>
      </c>
      <c r="S166" s="797">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8">
        <f t="shared" si="36"/>
        <v>0</v>
      </c>
      <c r="S167" s="797">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8">
        <f t="shared" si="36"/>
        <v>0</v>
      </c>
      <c r="S168" s="797">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8">
        <f t="shared" si="36"/>
        <v>0</v>
      </c>
      <c r="S169" s="797">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8">
        <f t="shared" si="36"/>
        <v>0</v>
      </c>
      <c r="S170" s="797">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8">
        <f t="shared" si="36"/>
        <v>0</v>
      </c>
      <c r="S171" s="797">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8">
        <f t="shared" si="36"/>
        <v>0</v>
      </c>
      <c r="S172" s="797">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8">
        <f t="shared" si="36"/>
        <v>0</v>
      </c>
      <c r="S173" s="797">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8">
        <f t="shared" si="36"/>
        <v>0</v>
      </c>
      <c r="S174" s="797">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8">
        <f t="shared" si="36"/>
        <v>0</v>
      </c>
      <c r="S175" s="797">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8">
        <f t="shared" si="36"/>
        <v>0</v>
      </c>
      <c r="S176" s="797">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8">
        <f t="shared" si="36"/>
        <v>0</v>
      </c>
      <c r="S177" s="797">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8">
        <f t="shared" si="36"/>
        <v>0</v>
      </c>
      <c r="S178" s="797">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8">
        <f t="shared" si="36"/>
        <v>0</v>
      </c>
      <c r="S179" s="797">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8">
        <f t="shared" si="36"/>
        <v>0</v>
      </c>
      <c r="S180" s="797">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8">
        <f t="shared" si="36"/>
        <v>0</v>
      </c>
      <c r="S181" s="797">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8">
        <f t="shared" si="36"/>
        <v>0</v>
      </c>
      <c r="S182" s="797">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8">
        <f t="shared" si="36"/>
        <v>0</v>
      </c>
      <c r="S183" s="797">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8">
        <f t="shared" si="36"/>
        <v>0</v>
      </c>
      <c r="S184" s="797">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8">
        <f t="shared" si="36"/>
        <v>0</v>
      </c>
      <c r="S185" s="797">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8">
        <f t="shared" si="36"/>
        <v>0</v>
      </c>
      <c r="S186" s="797">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8">
        <f t="shared" si="36"/>
        <v>0</v>
      </c>
      <c r="S187" s="797">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8">
        <f t="shared" si="36"/>
        <v>0</v>
      </c>
      <c r="S188" s="797">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8">
        <f t="shared" si="36"/>
        <v>0</v>
      </c>
      <c r="S189" s="797">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8">
        <f t="shared" si="36"/>
        <v>0</v>
      </c>
      <c r="S190" s="797">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8">
        <f t="shared" si="36"/>
        <v>0</v>
      </c>
      <c r="S191" s="797">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8">
        <f t="shared" si="36"/>
        <v>0</v>
      </c>
      <c r="S192" s="797">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8">
        <f t="shared" si="36"/>
        <v>0</v>
      </c>
      <c r="S193" s="797">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8">
        <f t="shared" si="36"/>
        <v>0</v>
      </c>
      <c r="S194" s="797">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8">
        <f t="shared" si="36"/>
        <v>0</v>
      </c>
      <c r="S195" s="797">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8">
        <f t="shared" si="36"/>
        <v>0</v>
      </c>
      <c r="S196" s="797">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8">
        <f t="shared" si="36"/>
        <v>0</v>
      </c>
      <c r="S197" s="797">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8">
        <f t="shared" si="36"/>
        <v>0</v>
      </c>
      <c r="S198" s="797">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8">
        <f t="shared" si="36"/>
        <v>0</v>
      </c>
      <c r="S199" s="797">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8">
        <f t="shared" si="36"/>
        <v>0</v>
      </c>
      <c r="S200" s="797">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8">
        <f t="shared" si="36"/>
        <v>0</v>
      </c>
      <c r="S201" s="797">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8">
        <f t="shared" si="36"/>
        <v>0</v>
      </c>
      <c r="S202" s="797">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8">
        <f t="shared" si="36"/>
        <v>0</v>
      </c>
      <c r="S203" s="797">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8">
        <f t="shared" si="36"/>
        <v>0</v>
      </c>
      <c r="S204" s="797">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8">
        <f t="shared" si="36"/>
        <v>0</v>
      </c>
      <c r="S205" s="797">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8">
        <f t="shared" si="36"/>
        <v>0</v>
      </c>
      <c r="S206" s="797">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8">
        <f t="shared" si="36"/>
        <v>0</v>
      </c>
      <c r="S207" s="797">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8">
        <f t="shared" si="36"/>
        <v>0</v>
      </c>
      <c r="S208" s="797">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8">
        <f t="shared" si="36"/>
        <v>0</v>
      </c>
      <c r="S209" s="797">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8">
        <f t="shared" si="36"/>
        <v>0</v>
      </c>
      <c r="S210" s="797">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8">
        <f t="shared" si="36"/>
        <v>0</v>
      </c>
      <c r="S211" s="797">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8">
        <f t="shared" si="36"/>
        <v>0</v>
      </c>
      <c r="S212" s="797">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8">
        <f t="shared" si="36"/>
        <v>0</v>
      </c>
      <c r="S213" s="797">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8">
        <f t="shared" si="36"/>
        <v>0</v>
      </c>
      <c r="S214" s="797">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8">
        <f t="shared" si="36"/>
        <v>0</v>
      </c>
      <c r="S215" s="797">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8">
        <f t="shared" si="36"/>
        <v>0</v>
      </c>
      <c r="S216" s="797">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8">
        <f t="shared" si="36"/>
        <v>0</v>
      </c>
      <c r="S217" s="797">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8">
        <f t="shared" ref="R218:R281" si="46">IF(B218="",0,ROUND($R$24*C218*E218*G218*I218*K218*M218*O218*Q218,0))</f>
        <v>0</v>
      </c>
      <c r="S218" s="797">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8">
        <f t="shared" si="46"/>
        <v>0</v>
      </c>
      <c r="S219" s="797">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8">
        <f t="shared" si="46"/>
        <v>0</v>
      </c>
      <c r="S220" s="797">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8">
        <f t="shared" si="46"/>
        <v>0</v>
      </c>
      <c r="S221" s="797">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8">
        <f t="shared" si="46"/>
        <v>0</v>
      </c>
      <c r="S222" s="797">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8">
        <f t="shared" si="46"/>
        <v>0</v>
      </c>
      <c r="S223" s="797">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8">
        <f t="shared" si="46"/>
        <v>0</v>
      </c>
      <c r="S224" s="797">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8">
        <f t="shared" si="46"/>
        <v>0</v>
      </c>
      <c r="S225" s="797">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8">
        <f t="shared" si="46"/>
        <v>0</v>
      </c>
      <c r="S226" s="797">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8">
        <f t="shared" si="46"/>
        <v>0</v>
      </c>
      <c r="S227" s="797">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8">
        <f t="shared" si="46"/>
        <v>0</v>
      </c>
      <c r="S228" s="797">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8">
        <f t="shared" si="46"/>
        <v>0</v>
      </c>
      <c r="S229" s="797">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8">
        <f t="shared" si="46"/>
        <v>0</v>
      </c>
      <c r="S230" s="797">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8">
        <f t="shared" si="46"/>
        <v>0</v>
      </c>
      <c r="S231" s="797">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8">
        <f t="shared" si="46"/>
        <v>0</v>
      </c>
      <c r="S232" s="797">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8">
        <f t="shared" si="46"/>
        <v>0</v>
      </c>
      <c r="S233" s="797">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8">
        <f t="shared" si="46"/>
        <v>0</v>
      </c>
      <c r="S234" s="797">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8">
        <f t="shared" si="46"/>
        <v>0</v>
      </c>
      <c r="S235" s="797">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8">
        <f t="shared" si="46"/>
        <v>0</v>
      </c>
      <c r="S236" s="797">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8">
        <f t="shared" si="46"/>
        <v>0</v>
      </c>
      <c r="S237" s="797">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8">
        <f t="shared" si="46"/>
        <v>0</v>
      </c>
      <c r="S238" s="797">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8">
        <f t="shared" si="46"/>
        <v>0</v>
      </c>
      <c r="S239" s="797">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8">
        <f t="shared" si="46"/>
        <v>0</v>
      </c>
      <c r="S240" s="797">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8">
        <f t="shared" si="46"/>
        <v>0</v>
      </c>
      <c r="S241" s="797">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8">
        <f t="shared" si="46"/>
        <v>0</v>
      </c>
      <c r="S242" s="797">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8">
        <f t="shared" si="46"/>
        <v>0</v>
      </c>
      <c r="S243" s="797">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8">
        <f t="shared" si="46"/>
        <v>0</v>
      </c>
      <c r="S244" s="797">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8">
        <f t="shared" si="46"/>
        <v>0</v>
      </c>
      <c r="S245" s="797">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8">
        <f t="shared" si="46"/>
        <v>0</v>
      </c>
      <c r="S246" s="797">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8">
        <f t="shared" si="46"/>
        <v>0</v>
      </c>
      <c r="S247" s="797">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8">
        <f t="shared" si="46"/>
        <v>0</v>
      </c>
      <c r="S248" s="797">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8">
        <f t="shared" si="46"/>
        <v>0</v>
      </c>
      <c r="S249" s="797">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8">
        <f t="shared" si="46"/>
        <v>0</v>
      </c>
      <c r="S250" s="797">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8">
        <f t="shared" si="46"/>
        <v>0</v>
      </c>
      <c r="S251" s="797">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8">
        <f t="shared" si="46"/>
        <v>0</v>
      </c>
      <c r="S252" s="797">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8">
        <f t="shared" si="46"/>
        <v>0</v>
      </c>
      <c r="S253" s="797">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8">
        <f t="shared" si="46"/>
        <v>0</v>
      </c>
      <c r="S254" s="797">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8">
        <f t="shared" si="46"/>
        <v>0</v>
      </c>
      <c r="S255" s="797">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8">
        <f t="shared" si="46"/>
        <v>0</v>
      </c>
      <c r="S256" s="797">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8">
        <f t="shared" si="46"/>
        <v>0</v>
      </c>
      <c r="S257" s="797">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8">
        <f t="shared" si="46"/>
        <v>0</v>
      </c>
      <c r="S258" s="797">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8">
        <f t="shared" si="46"/>
        <v>0</v>
      </c>
      <c r="S259" s="797">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8">
        <f t="shared" si="46"/>
        <v>0</v>
      </c>
      <c r="S260" s="797">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8">
        <f t="shared" si="46"/>
        <v>0</v>
      </c>
      <c r="S261" s="797">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8">
        <f t="shared" si="46"/>
        <v>0</v>
      </c>
      <c r="S262" s="797">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8">
        <f t="shared" si="46"/>
        <v>0</v>
      </c>
      <c r="S263" s="797">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8">
        <f t="shared" si="46"/>
        <v>0</v>
      </c>
      <c r="S264" s="797">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8">
        <f t="shared" si="46"/>
        <v>0</v>
      </c>
      <c r="S265" s="797">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8">
        <f t="shared" si="46"/>
        <v>0</v>
      </c>
      <c r="S266" s="797">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8">
        <f t="shared" si="46"/>
        <v>0</v>
      </c>
      <c r="S267" s="797">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8">
        <f t="shared" si="46"/>
        <v>0</v>
      </c>
      <c r="S268" s="797">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8">
        <f t="shared" si="46"/>
        <v>0</v>
      </c>
      <c r="S269" s="797">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8">
        <f t="shared" si="46"/>
        <v>0</v>
      </c>
      <c r="S270" s="797">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8">
        <f t="shared" si="46"/>
        <v>0</v>
      </c>
      <c r="S271" s="797">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8">
        <f t="shared" si="46"/>
        <v>0</v>
      </c>
      <c r="S272" s="797">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8">
        <f t="shared" si="46"/>
        <v>0</v>
      </c>
      <c r="S273" s="797">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8">
        <f t="shared" si="46"/>
        <v>0</v>
      </c>
      <c r="S274" s="797">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8">
        <f t="shared" si="46"/>
        <v>0</v>
      </c>
      <c r="S275" s="797">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8">
        <f t="shared" si="46"/>
        <v>0</v>
      </c>
      <c r="S276" s="797">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8">
        <f t="shared" si="46"/>
        <v>0</v>
      </c>
      <c r="S277" s="797">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8">
        <f t="shared" si="46"/>
        <v>0</v>
      </c>
      <c r="S278" s="797">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8">
        <f t="shared" si="46"/>
        <v>0</v>
      </c>
      <c r="S279" s="797">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8">
        <f t="shared" si="46"/>
        <v>0</v>
      </c>
      <c r="S280" s="797">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8">
        <f t="shared" si="46"/>
        <v>0</v>
      </c>
      <c r="S281" s="797">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8">
        <f t="shared" ref="R282:R345" si="56">IF(B282="",0,ROUND($R$24*C282*E282*G282*I282*K282*M282*O282*Q282,0))</f>
        <v>0</v>
      </c>
      <c r="S282" s="797">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8">
        <f t="shared" si="56"/>
        <v>0</v>
      </c>
      <c r="S283" s="797">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8">
        <f t="shared" si="56"/>
        <v>0</v>
      </c>
      <c r="S284" s="797">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8">
        <f t="shared" si="56"/>
        <v>0</v>
      </c>
      <c r="S285" s="797">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8">
        <f t="shared" si="56"/>
        <v>0</v>
      </c>
      <c r="S286" s="797">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8">
        <f t="shared" si="56"/>
        <v>0</v>
      </c>
      <c r="S287" s="797">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8">
        <f t="shared" si="56"/>
        <v>0</v>
      </c>
      <c r="S288" s="797">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8">
        <f t="shared" si="56"/>
        <v>0</v>
      </c>
      <c r="S289" s="797">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8">
        <f t="shared" si="56"/>
        <v>0</v>
      </c>
      <c r="S290" s="797">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8">
        <f t="shared" si="56"/>
        <v>0</v>
      </c>
      <c r="S291" s="797">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8">
        <f t="shared" si="56"/>
        <v>0</v>
      </c>
      <c r="S292" s="797">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8">
        <f t="shared" si="56"/>
        <v>0</v>
      </c>
      <c r="S293" s="797">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8">
        <f t="shared" si="56"/>
        <v>0</v>
      </c>
      <c r="S294" s="797">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8">
        <f t="shared" si="56"/>
        <v>0</v>
      </c>
      <c r="S295" s="797">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8">
        <f t="shared" si="56"/>
        <v>0</v>
      </c>
      <c r="S296" s="797">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8">
        <f t="shared" si="56"/>
        <v>0</v>
      </c>
      <c r="S297" s="797">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8">
        <f t="shared" si="56"/>
        <v>0</v>
      </c>
      <c r="S298" s="797">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8">
        <f t="shared" si="56"/>
        <v>0</v>
      </c>
      <c r="S299" s="797">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8">
        <f t="shared" si="56"/>
        <v>0</v>
      </c>
      <c r="S300" s="797">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8">
        <f t="shared" si="56"/>
        <v>0</v>
      </c>
      <c r="S301" s="797">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8">
        <f t="shared" si="56"/>
        <v>0</v>
      </c>
      <c r="S302" s="797">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8">
        <f t="shared" si="56"/>
        <v>0</v>
      </c>
      <c r="S303" s="797">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8">
        <f t="shared" si="56"/>
        <v>0</v>
      </c>
      <c r="S304" s="797">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8">
        <f t="shared" si="56"/>
        <v>0</v>
      </c>
      <c r="S305" s="797">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8">
        <f t="shared" si="56"/>
        <v>0</v>
      </c>
      <c r="S306" s="797">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8">
        <f t="shared" si="56"/>
        <v>0</v>
      </c>
      <c r="S307" s="797">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8">
        <f t="shared" si="56"/>
        <v>0</v>
      </c>
      <c r="S308" s="797">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8">
        <f t="shared" si="56"/>
        <v>0</v>
      </c>
      <c r="S309" s="797">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8">
        <f t="shared" si="56"/>
        <v>0</v>
      </c>
      <c r="S310" s="797">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8">
        <f t="shared" si="56"/>
        <v>0</v>
      </c>
      <c r="S311" s="797">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8">
        <f t="shared" si="56"/>
        <v>0</v>
      </c>
      <c r="S312" s="797">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8">
        <f t="shared" si="56"/>
        <v>0</v>
      </c>
      <c r="S313" s="797">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8">
        <f t="shared" si="56"/>
        <v>0</v>
      </c>
      <c r="S314" s="797">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8">
        <f t="shared" si="56"/>
        <v>0</v>
      </c>
      <c r="S315" s="797">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8">
        <f t="shared" si="56"/>
        <v>0</v>
      </c>
      <c r="S316" s="797">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8">
        <f t="shared" si="56"/>
        <v>0</v>
      </c>
      <c r="S317" s="797">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8">
        <f t="shared" si="56"/>
        <v>0</v>
      </c>
      <c r="S318" s="797">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8">
        <f t="shared" si="56"/>
        <v>0</v>
      </c>
      <c r="S319" s="797">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8">
        <f t="shared" si="56"/>
        <v>0</v>
      </c>
      <c r="S320" s="797">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8">
        <f t="shared" si="56"/>
        <v>0</v>
      </c>
      <c r="S321" s="797">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8">
        <f t="shared" si="56"/>
        <v>0</v>
      </c>
      <c r="S322" s="797">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8">
        <f t="shared" si="56"/>
        <v>0</v>
      </c>
      <c r="S323" s="797">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8">
        <f t="shared" si="56"/>
        <v>0</v>
      </c>
      <c r="S324" s="797">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8">
        <f t="shared" si="56"/>
        <v>0</v>
      </c>
      <c r="S325" s="797">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8">
        <f t="shared" si="56"/>
        <v>0</v>
      </c>
      <c r="S326" s="797">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8">
        <f t="shared" si="56"/>
        <v>0</v>
      </c>
      <c r="S327" s="797">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8">
        <f t="shared" si="56"/>
        <v>0</v>
      </c>
      <c r="S328" s="797">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8">
        <f t="shared" si="56"/>
        <v>0</v>
      </c>
      <c r="S329" s="797">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8">
        <f t="shared" si="56"/>
        <v>0</v>
      </c>
      <c r="S330" s="797">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8">
        <f t="shared" si="56"/>
        <v>0</v>
      </c>
      <c r="S331" s="797">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8">
        <f t="shared" si="56"/>
        <v>0</v>
      </c>
      <c r="S332" s="797">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8">
        <f t="shared" si="56"/>
        <v>0</v>
      </c>
      <c r="S333" s="797">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8">
        <f t="shared" si="56"/>
        <v>0</v>
      </c>
      <c r="S334" s="797">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8">
        <f t="shared" si="56"/>
        <v>0</v>
      </c>
      <c r="S335" s="797">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8">
        <f t="shared" si="56"/>
        <v>0</v>
      </c>
      <c r="S336" s="797">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8">
        <f t="shared" si="56"/>
        <v>0</v>
      </c>
      <c r="S337" s="797">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8">
        <f t="shared" si="56"/>
        <v>0</v>
      </c>
      <c r="S338" s="797">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8">
        <f t="shared" si="56"/>
        <v>0</v>
      </c>
      <c r="S339" s="797">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8">
        <f t="shared" si="56"/>
        <v>0</v>
      </c>
      <c r="S340" s="797">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8">
        <f t="shared" si="56"/>
        <v>0</v>
      </c>
      <c r="S341" s="797">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8">
        <f t="shared" si="56"/>
        <v>0</v>
      </c>
      <c r="S342" s="797">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8">
        <f t="shared" si="56"/>
        <v>0</v>
      </c>
      <c r="S343" s="797">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8">
        <f t="shared" si="56"/>
        <v>0</v>
      </c>
      <c r="S344" s="797">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8">
        <f t="shared" si="56"/>
        <v>0</v>
      </c>
      <c r="S345" s="797">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8">
        <f t="shared" ref="R346:R409" si="67">IF(B346="",0,ROUND($R$24*C346*E346*G346*I346*K346*M346*O346*Q346,0))</f>
        <v>0</v>
      </c>
      <c r="S346" s="797">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8">
        <f t="shared" si="67"/>
        <v>0</v>
      </c>
      <c r="S347" s="797">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8">
        <f t="shared" si="67"/>
        <v>0</v>
      </c>
      <c r="S348" s="797">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8">
        <f t="shared" si="67"/>
        <v>0</v>
      </c>
      <c r="S349" s="797">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8">
        <f t="shared" si="67"/>
        <v>0</v>
      </c>
      <c r="S350" s="797">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8">
        <f t="shared" si="67"/>
        <v>0</v>
      </c>
      <c r="S351" s="797">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8">
        <f t="shared" si="67"/>
        <v>0</v>
      </c>
      <c r="S352" s="797">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8">
        <f t="shared" si="67"/>
        <v>0</v>
      </c>
      <c r="S353" s="797">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8">
        <f t="shared" si="67"/>
        <v>0</v>
      </c>
      <c r="S354" s="797">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8">
        <f t="shared" si="67"/>
        <v>0</v>
      </c>
      <c r="S355" s="797">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8">
        <f t="shared" si="67"/>
        <v>0</v>
      </c>
      <c r="S356" s="797">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8">
        <f t="shared" si="67"/>
        <v>0</v>
      </c>
      <c r="S357" s="797">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8">
        <f t="shared" si="67"/>
        <v>0</v>
      </c>
      <c r="S358" s="797">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8">
        <f t="shared" si="67"/>
        <v>0</v>
      </c>
      <c r="S359" s="797">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8">
        <f t="shared" si="67"/>
        <v>0</v>
      </c>
      <c r="S360" s="797">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8">
        <f t="shared" si="67"/>
        <v>0</v>
      </c>
      <c r="S361" s="797">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8">
        <f t="shared" si="67"/>
        <v>0</v>
      </c>
      <c r="S362" s="797">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8">
        <f t="shared" si="67"/>
        <v>0</v>
      </c>
      <c r="S363" s="797">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8">
        <f t="shared" si="67"/>
        <v>0</v>
      </c>
      <c r="S364" s="797">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8">
        <f t="shared" si="67"/>
        <v>0</v>
      </c>
      <c r="S365" s="797">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8">
        <f t="shared" si="67"/>
        <v>0</v>
      </c>
      <c r="S366" s="797">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8">
        <f t="shared" si="67"/>
        <v>0</v>
      </c>
      <c r="S367" s="797">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8">
        <f t="shared" si="67"/>
        <v>0</v>
      </c>
      <c r="S368" s="797">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8">
        <f t="shared" si="67"/>
        <v>0</v>
      </c>
      <c r="S369" s="797">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8">
        <f t="shared" si="67"/>
        <v>0</v>
      </c>
      <c r="S370" s="797">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8">
        <f t="shared" si="67"/>
        <v>0</v>
      </c>
      <c r="S371" s="797">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8">
        <f t="shared" si="67"/>
        <v>0</v>
      </c>
      <c r="S372" s="797">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8">
        <f t="shared" si="67"/>
        <v>0</v>
      </c>
      <c r="S373" s="797">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8">
        <f t="shared" si="67"/>
        <v>0</v>
      </c>
      <c r="S374" s="797">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8">
        <f t="shared" si="67"/>
        <v>0</v>
      </c>
      <c r="S375" s="797">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8">
        <f t="shared" si="67"/>
        <v>0</v>
      </c>
      <c r="S376" s="797">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8">
        <f t="shared" si="67"/>
        <v>0</v>
      </c>
      <c r="S377" s="797">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8">
        <f t="shared" si="67"/>
        <v>0</v>
      </c>
      <c r="S378" s="797">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8">
        <f t="shared" si="67"/>
        <v>0</v>
      </c>
      <c r="S379" s="797">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8">
        <f t="shared" si="67"/>
        <v>0</v>
      </c>
      <c r="S380" s="797">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8">
        <f t="shared" si="67"/>
        <v>0</v>
      </c>
      <c r="S381" s="797">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8">
        <f t="shared" si="67"/>
        <v>0</v>
      </c>
      <c r="S382" s="797">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8">
        <f t="shared" si="67"/>
        <v>0</v>
      </c>
      <c r="S383" s="797">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8">
        <f t="shared" si="67"/>
        <v>0</v>
      </c>
      <c r="S384" s="797">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8">
        <f t="shared" si="67"/>
        <v>0</v>
      </c>
      <c r="S385" s="797">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8">
        <f t="shared" si="67"/>
        <v>0</v>
      </c>
      <c r="S386" s="797">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8">
        <f t="shared" si="67"/>
        <v>0</v>
      </c>
      <c r="S387" s="797">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8">
        <f t="shared" si="67"/>
        <v>0</v>
      </c>
      <c r="S388" s="797">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8">
        <f t="shared" si="67"/>
        <v>0</v>
      </c>
      <c r="S389" s="797">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8">
        <f t="shared" si="67"/>
        <v>0</v>
      </c>
      <c r="S390" s="797">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8">
        <f t="shared" si="67"/>
        <v>0</v>
      </c>
      <c r="S391" s="797">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8">
        <f t="shared" si="67"/>
        <v>0</v>
      </c>
      <c r="S392" s="797">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8">
        <f t="shared" si="67"/>
        <v>0</v>
      </c>
      <c r="S393" s="797">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8">
        <f t="shared" si="67"/>
        <v>0</v>
      </c>
      <c r="S394" s="797">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8">
        <f t="shared" si="67"/>
        <v>0</v>
      </c>
      <c r="S395" s="797">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8">
        <f t="shared" si="67"/>
        <v>0</v>
      </c>
      <c r="S396" s="797">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8">
        <f t="shared" si="67"/>
        <v>0</v>
      </c>
      <c r="S397" s="797">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8">
        <f t="shared" si="67"/>
        <v>0</v>
      </c>
      <c r="S398" s="797">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8">
        <f t="shared" si="67"/>
        <v>0</v>
      </c>
      <c r="S399" s="797">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8">
        <f t="shared" si="67"/>
        <v>0</v>
      </c>
      <c r="S400" s="797">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8">
        <f t="shared" si="67"/>
        <v>0</v>
      </c>
      <c r="S401" s="797">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8">
        <f t="shared" si="67"/>
        <v>0</v>
      </c>
      <c r="S402" s="797">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8">
        <f t="shared" si="67"/>
        <v>0</v>
      </c>
      <c r="S403" s="797">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8">
        <f t="shared" si="67"/>
        <v>0</v>
      </c>
      <c r="S404" s="797">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8">
        <f t="shared" si="67"/>
        <v>0</v>
      </c>
      <c r="S405" s="797">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8">
        <f t="shared" si="67"/>
        <v>0</v>
      </c>
      <c r="S406" s="797">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8">
        <f t="shared" si="67"/>
        <v>0</v>
      </c>
      <c r="S407" s="797">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8">
        <f t="shared" si="67"/>
        <v>0</v>
      </c>
      <c r="S408" s="797">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8">
        <f t="shared" si="67"/>
        <v>0</v>
      </c>
      <c r="S409" s="797">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8">
        <f t="shared" ref="R410:R473" si="77">IF(B410="",0,ROUND($R$24*C410*E410*G410*I410*K410*M410*O410*Q410,0))</f>
        <v>0</v>
      </c>
      <c r="S410" s="797">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8">
        <f t="shared" si="77"/>
        <v>0</v>
      </c>
      <c r="S411" s="797">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8">
        <f t="shared" si="77"/>
        <v>0</v>
      </c>
      <c r="S412" s="797">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8">
        <f t="shared" si="77"/>
        <v>0</v>
      </c>
      <c r="S413" s="797">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8">
        <f t="shared" si="77"/>
        <v>0</v>
      </c>
      <c r="S414" s="797">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8">
        <f t="shared" si="77"/>
        <v>0</v>
      </c>
      <c r="S415" s="797">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8">
        <f t="shared" si="77"/>
        <v>0</v>
      </c>
      <c r="S416" s="797">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8">
        <f t="shared" si="77"/>
        <v>0</v>
      </c>
      <c r="S417" s="797">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8">
        <f t="shared" si="77"/>
        <v>0</v>
      </c>
      <c r="S418" s="797">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8">
        <f t="shared" si="77"/>
        <v>0</v>
      </c>
      <c r="S419" s="797">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8">
        <f t="shared" si="77"/>
        <v>0</v>
      </c>
      <c r="S420" s="797">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8">
        <f t="shared" si="77"/>
        <v>0</v>
      </c>
      <c r="S421" s="797">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8">
        <f t="shared" si="77"/>
        <v>0</v>
      </c>
      <c r="S422" s="797">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8">
        <f t="shared" si="77"/>
        <v>0</v>
      </c>
      <c r="S423" s="797">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8">
        <f t="shared" si="77"/>
        <v>0</v>
      </c>
      <c r="S424" s="797">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8">
        <f t="shared" si="77"/>
        <v>0</v>
      </c>
      <c r="S425" s="797">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8">
        <f t="shared" si="77"/>
        <v>0</v>
      </c>
      <c r="S426" s="797">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8">
        <f t="shared" si="77"/>
        <v>0</v>
      </c>
      <c r="S427" s="797">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8">
        <f t="shared" si="77"/>
        <v>0</v>
      </c>
      <c r="S428" s="797">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8">
        <f t="shared" si="77"/>
        <v>0</v>
      </c>
      <c r="S429" s="797">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8">
        <f t="shared" si="77"/>
        <v>0</v>
      </c>
      <c r="S430" s="797">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8">
        <f t="shared" si="77"/>
        <v>0</v>
      </c>
      <c r="S431" s="797">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8">
        <f t="shared" si="77"/>
        <v>0</v>
      </c>
      <c r="S432" s="797">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8">
        <f t="shared" si="77"/>
        <v>0</v>
      </c>
      <c r="S433" s="797">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8">
        <f t="shared" si="77"/>
        <v>0</v>
      </c>
      <c r="S434" s="797">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8">
        <f t="shared" si="77"/>
        <v>0</v>
      </c>
      <c r="S435" s="797">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8">
        <f t="shared" si="77"/>
        <v>0</v>
      </c>
      <c r="S436" s="797">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8">
        <f t="shared" si="77"/>
        <v>0</v>
      </c>
      <c r="S437" s="797">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8">
        <f t="shared" si="77"/>
        <v>0</v>
      </c>
      <c r="S438" s="797">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8">
        <f t="shared" si="77"/>
        <v>0</v>
      </c>
      <c r="S439" s="797">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8">
        <f t="shared" si="77"/>
        <v>0</v>
      </c>
      <c r="S440" s="797">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8">
        <f t="shared" si="77"/>
        <v>0</v>
      </c>
      <c r="S441" s="797">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8">
        <f t="shared" si="77"/>
        <v>0</v>
      </c>
      <c r="S442" s="797">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8">
        <f t="shared" si="77"/>
        <v>0</v>
      </c>
      <c r="S443" s="797">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8">
        <f t="shared" si="77"/>
        <v>0</v>
      </c>
      <c r="S444" s="797">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8">
        <f t="shared" si="77"/>
        <v>0</v>
      </c>
      <c r="S445" s="797">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8">
        <f t="shared" si="77"/>
        <v>0</v>
      </c>
      <c r="S446" s="797">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8">
        <f t="shared" si="77"/>
        <v>0</v>
      </c>
      <c r="S447" s="797">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8">
        <f t="shared" si="77"/>
        <v>0</v>
      </c>
      <c r="S448" s="797">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8">
        <f t="shared" si="77"/>
        <v>0</v>
      </c>
      <c r="S449" s="797">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8">
        <f t="shared" si="77"/>
        <v>0</v>
      </c>
      <c r="S450" s="797">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8">
        <f t="shared" si="77"/>
        <v>0</v>
      </c>
      <c r="S451" s="797">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8">
        <f t="shared" si="77"/>
        <v>0</v>
      </c>
      <c r="S452" s="797">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8">
        <f t="shared" si="77"/>
        <v>0</v>
      </c>
      <c r="S453" s="797">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8">
        <f t="shared" si="77"/>
        <v>0</v>
      </c>
      <c r="S454" s="797">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8">
        <f t="shared" si="77"/>
        <v>0</v>
      </c>
      <c r="S455" s="797">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8">
        <f t="shared" si="77"/>
        <v>0</v>
      </c>
      <c r="S456" s="797">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8">
        <f t="shared" si="77"/>
        <v>0</v>
      </c>
      <c r="S457" s="797">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8">
        <f t="shared" si="77"/>
        <v>0</v>
      </c>
      <c r="S458" s="797">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8">
        <f t="shared" si="77"/>
        <v>0</v>
      </c>
      <c r="S459" s="797">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8">
        <f t="shared" si="77"/>
        <v>0</v>
      </c>
      <c r="S460" s="797">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8">
        <f t="shared" si="77"/>
        <v>0</v>
      </c>
      <c r="S461" s="797">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8">
        <f t="shared" si="77"/>
        <v>0</v>
      </c>
      <c r="S462" s="797">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8">
        <f t="shared" si="77"/>
        <v>0</v>
      </c>
      <c r="S463" s="797">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8">
        <f t="shared" si="77"/>
        <v>0</v>
      </c>
      <c r="S464" s="797">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8">
        <f t="shared" si="77"/>
        <v>0</v>
      </c>
      <c r="S465" s="797">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8">
        <f t="shared" si="77"/>
        <v>0</v>
      </c>
      <c r="S466" s="797">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8">
        <f t="shared" si="77"/>
        <v>0</v>
      </c>
      <c r="S467" s="797">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8">
        <f t="shared" si="77"/>
        <v>0</v>
      </c>
      <c r="S468" s="797">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8">
        <f t="shared" si="77"/>
        <v>0</v>
      </c>
      <c r="S469" s="797">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8">
        <f t="shared" si="77"/>
        <v>0</v>
      </c>
      <c r="S470" s="797">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8">
        <f t="shared" si="77"/>
        <v>0</v>
      </c>
      <c r="S471" s="797">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8">
        <f t="shared" si="77"/>
        <v>0</v>
      </c>
      <c r="S472" s="797">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8">
        <f t="shared" si="77"/>
        <v>0</v>
      </c>
      <c r="S473" s="797">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8">
        <f t="shared" ref="R474:R524" si="88">IF(B474="",0,ROUND($R$24*C474*E474*G474*I474*K474*M474*O474*Q474,0))</f>
        <v>0</v>
      </c>
      <c r="S474" s="797">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8">
        <f t="shared" si="88"/>
        <v>0</v>
      </c>
      <c r="S475" s="797">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8">
        <f t="shared" si="88"/>
        <v>0</v>
      </c>
      <c r="S476" s="797">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8">
        <f t="shared" si="88"/>
        <v>0</v>
      </c>
      <c r="S477" s="797">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8">
        <f t="shared" si="88"/>
        <v>0</v>
      </c>
      <c r="S478" s="797">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8">
        <f t="shared" si="88"/>
        <v>0</v>
      </c>
      <c r="S479" s="797">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8">
        <f t="shared" si="88"/>
        <v>0</v>
      </c>
      <c r="S480" s="797">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8">
        <f t="shared" si="88"/>
        <v>0</v>
      </c>
      <c r="S481" s="797">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8">
        <f t="shared" si="88"/>
        <v>0</v>
      </c>
      <c r="S482" s="797">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8">
        <f t="shared" si="88"/>
        <v>0</v>
      </c>
      <c r="S483" s="797">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8">
        <f t="shared" si="88"/>
        <v>0</v>
      </c>
      <c r="S484" s="797">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8">
        <f t="shared" si="88"/>
        <v>0</v>
      </c>
      <c r="S485" s="797">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8">
        <f t="shared" si="88"/>
        <v>0</v>
      </c>
      <c r="S486" s="797">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8">
        <f t="shared" si="88"/>
        <v>0</v>
      </c>
      <c r="S487" s="797">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8">
        <f t="shared" si="88"/>
        <v>0</v>
      </c>
      <c r="S488" s="797">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8">
        <f t="shared" si="88"/>
        <v>0</v>
      </c>
      <c r="S489" s="797">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8">
        <f t="shared" si="88"/>
        <v>0</v>
      </c>
      <c r="S490" s="797">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8">
        <f t="shared" si="88"/>
        <v>0</v>
      </c>
      <c r="S491" s="797">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8">
        <f t="shared" si="88"/>
        <v>0</v>
      </c>
      <c r="S492" s="797">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8">
        <f t="shared" si="88"/>
        <v>0</v>
      </c>
      <c r="S493" s="797">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8">
        <f t="shared" si="88"/>
        <v>0</v>
      </c>
      <c r="S494" s="797">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8">
        <f t="shared" si="88"/>
        <v>0</v>
      </c>
      <c r="S495" s="797">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8">
        <f t="shared" si="88"/>
        <v>0</v>
      </c>
      <c r="S496" s="797">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8">
        <f t="shared" si="88"/>
        <v>0</v>
      </c>
      <c r="S497" s="797">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8">
        <f t="shared" si="88"/>
        <v>0</v>
      </c>
      <c r="S498" s="797">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8">
        <f t="shared" si="88"/>
        <v>0</v>
      </c>
      <c r="S499" s="797">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8">
        <f t="shared" si="88"/>
        <v>0</v>
      </c>
      <c r="S500" s="797">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8">
        <f t="shared" si="88"/>
        <v>0</v>
      </c>
      <c r="S501" s="797">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8">
        <f t="shared" si="88"/>
        <v>0</v>
      </c>
      <c r="S502" s="797">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8">
        <f t="shared" si="88"/>
        <v>0</v>
      </c>
      <c r="S503" s="797">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8">
        <f t="shared" si="88"/>
        <v>0</v>
      </c>
      <c r="S504" s="797">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8">
        <f t="shared" si="88"/>
        <v>0</v>
      </c>
      <c r="S505" s="797">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8">
        <f t="shared" si="88"/>
        <v>0</v>
      </c>
      <c r="S506" s="797">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8">
        <f t="shared" si="88"/>
        <v>0</v>
      </c>
      <c r="S507" s="797">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8">
        <f t="shared" si="88"/>
        <v>0</v>
      </c>
      <c r="S508" s="797">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8">
        <f t="shared" si="88"/>
        <v>0</v>
      </c>
      <c r="S509" s="797">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8">
        <f t="shared" si="88"/>
        <v>0</v>
      </c>
      <c r="S510" s="797">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8">
        <f t="shared" si="88"/>
        <v>0</v>
      </c>
      <c r="S511" s="797">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8">
        <f t="shared" si="88"/>
        <v>0</v>
      </c>
      <c r="S512" s="797">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8">
        <f t="shared" si="88"/>
        <v>0</v>
      </c>
      <c r="S513" s="797">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8">
        <f t="shared" si="88"/>
        <v>0</v>
      </c>
      <c r="S514" s="797">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8">
        <f t="shared" si="88"/>
        <v>0</v>
      </c>
      <c r="S515" s="797">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8">
        <f t="shared" si="88"/>
        <v>0</v>
      </c>
      <c r="S516" s="797">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8">
        <f t="shared" si="88"/>
        <v>0</v>
      </c>
      <c r="S517" s="797">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8">
        <f t="shared" si="88"/>
        <v>0</v>
      </c>
      <c r="S518" s="797">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8">
        <f t="shared" si="88"/>
        <v>0</v>
      </c>
      <c r="S519" s="797">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8">
        <f t="shared" si="88"/>
        <v>0</v>
      </c>
      <c r="S520" s="797">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8">
        <f t="shared" si="88"/>
        <v>0</v>
      </c>
      <c r="S521" s="797">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8">
        <f t="shared" si="88"/>
        <v>0</v>
      </c>
      <c r="S522" s="797">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8">
        <f t="shared" si="88"/>
        <v>0</v>
      </c>
      <c r="S523" s="797">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44036</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2998</v>
      </c>
      <c r="D1" s="3071" t="s">
        <v>952</v>
      </c>
      <c r="E1" s="2348" t="s">
        <v>870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t="e">
        <f ca="1">C40+J29+L46</f>
        <v>#N/A</v>
      </c>
      <c r="C2" s="2039"/>
      <c r="D2" s="2037"/>
      <c r="E2" s="2038"/>
      <c r="F2" s="2038"/>
      <c r="G2" s="1573"/>
      <c r="H2" s="2039"/>
      <c r="I2" s="2039"/>
      <c r="J2" s="2039"/>
      <c r="K2" s="2040"/>
      <c r="L2" s="2039"/>
      <c r="M2" s="2039"/>
    </row>
    <row r="3" spans="1:33" ht="18" customHeight="1" thickBot="1">
      <c r="A3" s="831" t="s">
        <v>519</v>
      </c>
      <c r="B3" s="832">
        <f ca="1">IF(ISERROR(B2*10000/F43),0,ROUND(B2*10000/F43,0))</f>
        <v>0</v>
      </c>
      <c r="C3" s="2039"/>
      <c r="D3" s="2037"/>
      <c r="E3" s="2038"/>
      <c r="F3" s="2038"/>
      <c r="G3" s="1573"/>
      <c r="H3" s="774" t="s">
        <v>695</v>
      </c>
      <c r="I3" s="1356"/>
      <c r="J3" s="1356"/>
      <c r="K3" s="1574"/>
      <c r="L3" s="1356"/>
      <c r="M3" s="1356"/>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69" t="s">
        <v>2460</v>
      </c>
      <c r="C6" s="781" t="e">
        <f ca="1">ROUND(F6*F8*F7*(1-F9)/10000,0)</f>
        <v>#N/A</v>
      </c>
      <c r="D6" s="2458" t="s">
        <v>2459</v>
      </c>
      <c r="E6" s="782" t="s">
        <v>637</v>
      </c>
      <c r="F6" s="783" t="e">
        <f ca="1">INDIRECT("'数据-取费表'!u"&amp;$G$1)</f>
        <v>#N/A</v>
      </c>
      <c r="G6" s="1575"/>
      <c r="H6" s="2465" t="s">
        <v>1823</v>
      </c>
      <c r="I6" s="3469" t="s">
        <v>2460</v>
      </c>
      <c r="J6" s="781" t="e">
        <f ca="1">ROUND(M6*M8*M7*(1-M9)/10000,0)</f>
        <v>#N/A</v>
      </c>
      <c r="K6" s="339" t="s">
        <v>1736</v>
      </c>
      <c r="L6" s="782" t="s">
        <v>637</v>
      </c>
      <c r="M6" s="783" t="e">
        <f ca="1">INDIRECT("'数据-取费表'!z"&amp;$G$1)</f>
        <v>#N/A</v>
      </c>
    </row>
    <row r="7" spans="1:33" ht="18" customHeight="1">
      <c r="A7" s="2461"/>
      <c r="B7" s="3470"/>
      <c r="C7" s="786"/>
      <c r="D7" s="787"/>
      <c r="E7" s="782" t="s">
        <v>638</v>
      </c>
      <c r="F7" s="783" t="e">
        <f ca="1">IF(INDIRECT("'数据-取费表'!ah"&amp;$G$1)="",INDIRECT("'数据-取费表'!k"&amp;$G$1),INDIRECT("'数据-取费表'!ah"&amp;$G$1))</f>
        <v>#N/A</v>
      </c>
      <c r="G7" s="1575"/>
      <c r="H7" s="2450"/>
      <c r="I7" s="3470"/>
      <c r="J7" s="786"/>
      <c r="K7" s="787"/>
      <c r="L7" s="782" t="s">
        <v>638</v>
      </c>
      <c r="M7" s="783" t="e">
        <f ca="1">F7</f>
        <v>#N/A</v>
      </c>
    </row>
    <row r="8" spans="1:33" ht="18" customHeight="1">
      <c r="A8" s="2454"/>
      <c r="B8" s="3471"/>
      <c r="C8" s="786"/>
      <c r="D8" s="787"/>
      <c r="E8" s="782" t="s">
        <v>639</v>
      </c>
      <c r="F8" s="783" t="e">
        <f ca="1">INDIRECT("'数据-取费表'!ai"&amp;$G$1)</f>
        <v>#N/A</v>
      </c>
      <c r="G8" s="1575"/>
      <c r="H8" s="2450"/>
      <c r="I8" s="3471"/>
      <c r="J8" s="786"/>
      <c r="K8" s="787"/>
      <c r="L8" s="782" t="s">
        <v>639</v>
      </c>
      <c r="M8" s="783" t="e">
        <f ca="1">INDIRECT("'数据-取费表'!ai"&amp;$G$1)</f>
        <v>#N/A</v>
      </c>
    </row>
    <row r="9" spans="1:33" ht="18" customHeight="1">
      <c r="A9" s="784"/>
      <c r="B9" s="3472"/>
      <c r="C9" s="786"/>
      <c r="D9" s="787"/>
      <c r="E9" s="782" t="s">
        <v>640</v>
      </c>
      <c r="F9" s="792" t="e">
        <f ca="1">INDIRECT("'数据-取费表'!w"&amp;$G$1)</f>
        <v>#N/A</v>
      </c>
      <c r="G9" s="1575"/>
      <c r="H9" s="2466"/>
      <c r="I9" s="3471"/>
      <c r="J9" s="786"/>
      <c r="K9" s="787"/>
      <c r="L9" s="793" t="s">
        <v>640</v>
      </c>
      <c r="M9" s="794" t="e">
        <f ca="1">INDIRECT("'数据-取费表'!ab"&amp;$G$1)</f>
        <v>#N/A</v>
      </c>
    </row>
    <row r="10" spans="1:33" ht="18" customHeight="1">
      <c r="A10" s="1812" t="s">
        <v>1824</v>
      </c>
      <c r="B10" s="2455" t="s">
        <v>2456</v>
      </c>
      <c r="C10" s="797">
        <f ca="1">ROUND(IF(F10="押一",C6/12*F11,IF(F10="押二",C6/12*2*F11,IF(F10="押三",C6/12*3*F11,C11*F11))),0)</f>
        <v>0</v>
      </c>
      <c r="D10" s="2462" t="s">
        <v>2971</v>
      </c>
      <c r="E10" s="2459" t="s">
        <v>2461</v>
      </c>
      <c r="F10" s="2582" t="s">
        <v>3099</v>
      </c>
      <c r="G10" s="1575"/>
      <c r="H10" s="2522" t="s">
        <v>1824</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t="e">
        <f ca="1">ROUND(C29*F13,0)</f>
        <v>#N/A</v>
      </c>
      <c r="D13" s="1816" t="s">
        <v>2294</v>
      </c>
      <c r="E13" s="1816" t="s">
        <v>643</v>
      </c>
      <c r="F13" s="2497" t="e">
        <f ca="1">INDIRECT("'数据-取费表'!y"&amp;$G$1)</f>
        <v>#N/A</v>
      </c>
      <c r="G13" s="1575"/>
      <c r="H13" s="1811">
        <v>2</v>
      </c>
      <c r="I13" s="1809" t="s">
        <v>644</v>
      </c>
      <c r="J13" s="1801" t="e">
        <f ca="1">ROUND(J14*J15,0)</f>
        <v>#N/A</v>
      </c>
      <c r="K13" s="1803" t="s">
        <v>1742</v>
      </c>
      <c r="L13" s="2513"/>
      <c r="M13" s="2514"/>
    </row>
    <row r="14" spans="1:33" ht="18" customHeight="1">
      <c r="A14" s="1630" t="s">
        <v>1830</v>
      </c>
      <c r="B14" s="782" t="s">
        <v>645</v>
      </c>
      <c r="C14" s="802" t="e">
        <f ca="1">INDIRECT("'数据-取费表'!m"&amp;$G$1)+INDIRECT("'数据-取费表'!t"&amp;$G$1)</f>
        <v>#N/A</v>
      </c>
      <c r="D14" s="3187" t="s">
        <v>1744</v>
      </c>
      <c r="E14" s="3188"/>
      <c r="F14" s="803"/>
      <c r="G14" s="1575"/>
      <c r="H14" s="1631" t="s">
        <v>1823</v>
      </c>
      <c r="I14" s="2213" t="s">
        <v>2821</v>
      </c>
      <c r="J14" s="53" t="e">
        <f ca="1">C29</f>
        <v>#N/A</v>
      </c>
      <c r="K14" s="26"/>
      <c r="L14" s="799"/>
      <c r="M14" s="800"/>
    </row>
    <row r="15" spans="1:33" s="2046" customFormat="1" ht="18" customHeight="1" thickBot="1">
      <c r="A15" s="1630" t="s">
        <v>1831</v>
      </c>
      <c r="B15" s="782" t="s">
        <v>647</v>
      </c>
      <c r="C15" s="53" t="e">
        <f ca="1">ROUND(C14*F15,0)</f>
        <v>#N/A</v>
      </c>
      <c r="D15" s="804" t="s">
        <v>648</v>
      </c>
      <c r="E15" s="804" t="s">
        <v>649</v>
      </c>
      <c r="F15" s="805">
        <f>'数据-取费表'!B33</f>
        <v>0.03</v>
      </c>
      <c r="G15" s="1576"/>
      <c r="H15" s="2512" t="s">
        <v>1888</v>
      </c>
      <c r="I15" s="2507" t="s">
        <v>643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t="e">
        <f ca="1">ROUND(INDIRECT("'数据-取费表'!m"&amp;$G$1)*F16,0)</f>
        <v>#N/A</v>
      </c>
      <c r="D16" s="782" t="s">
        <v>648</v>
      </c>
      <c r="E16" s="782" t="s">
        <v>649</v>
      </c>
      <c r="F16" s="807" t="e">
        <f ca="1">IF(INDIRECT("'数据-取费表'!c"&amp;$G$1)="住宅",'数据-取费表'!B34,0)</f>
        <v>#N/A</v>
      </c>
      <c r="G16" s="1575"/>
      <c r="H16" s="1811" t="s">
        <v>1747</v>
      </c>
      <c r="I16" s="1809" t="s">
        <v>1748</v>
      </c>
      <c r="J16" s="790" t="e">
        <f ca="1">ROUND(J17+J22+J23+J24,0)</f>
        <v>#N/A</v>
      </c>
      <c r="K16" s="1803" t="s">
        <v>652</v>
      </c>
      <c r="L16" s="3189"/>
      <c r="M16" s="2452"/>
    </row>
    <row r="17" spans="1:33" s="2046" customFormat="1" ht="18" customHeight="1">
      <c r="A17" s="1630" t="s">
        <v>1886</v>
      </c>
      <c r="B17" s="782" t="s">
        <v>653</v>
      </c>
      <c r="C17" s="53" t="e">
        <f ca="1">ROUND(F17*(F43+INDIRECT("'数据-取费表'!S"&amp;$G$1))/10000,0)</f>
        <v>#N/A</v>
      </c>
      <c r="D17" s="782" t="s">
        <v>654</v>
      </c>
      <c r="E17" s="782" t="s">
        <v>655</v>
      </c>
      <c r="F17" s="56">
        <f>'数据-取费表'!B35</f>
        <v>150</v>
      </c>
      <c r="G17" s="1576"/>
      <c r="H17" s="1631" t="s">
        <v>1823</v>
      </c>
      <c r="I17" s="782" t="s">
        <v>656</v>
      </c>
      <c r="J17" s="53" t="e">
        <f ca="1">ROUND(IF(项目基本情况!B11="自然人",J6*M17/(1+'数据-取费表'!C42),J18+J19+J20),0)</f>
        <v>#N/A</v>
      </c>
      <c r="K17" s="3187" t="s">
        <v>657</v>
      </c>
      <c r="L17" s="3186"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648</v>
      </c>
      <c r="E18" s="782" t="s">
        <v>649</v>
      </c>
      <c r="F18" s="807">
        <f>'数据-取费表'!B36</f>
        <v>1.4999999999999999E-2</v>
      </c>
      <c r="G18" s="1576"/>
      <c r="H18" s="1630" t="s">
        <v>1830</v>
      </c>
      <c r="I18" s="782" t="s">
        <v>1754</v>
      </c>
      <c r="J18" s="53" t="e">
        <f ca="1">ROUND(J6*M18/(1+'数据-取费表'!C42),1)</f>
        <v>#N/A</v>
      </c>
      <c r="K18" s="3186"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t="e">
        <f ca="1">SUM(C14:C18)</f>
        <v>#N/A</v>
      </c>
      <c r="D19" s="259" t="s">
        <v>663</v>
      </c>
      <c r="E19" s="3191"/>
      <c r="F19" s="56"/>
      <c r="G19" s="1575"/>
      <c r="H19" s="1630" t="s">
        <v>1831</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6" customFormat="1" ht="18" customHeight="1">
      <c r="A20" s="1631" t="s">
        <v>1888</v>
      </c>
      <c r="B20" s="782" t="s">
        <v>666</v>
      </c>
      <c r="C20" s="53" t="e">
        <f ca="1">ROUND(C19*F20,0)</f>
        <v>#N/A</v>
      </c>
      <c r="D20" s="810" t="s">
        <v>1758</v>
      </c>
      <c r="E20" s="782" t="s">
        <v>649</v>
      </c>
      <c r="F20" s="807">
        <f>'数据-取费表'!B37</f>
        <v>1.4999999999999999E-2</v>
      </c>
      <c r="G20" s="1576"/>
      <c r="H20" s="1633" t="s">
        <v>1832</v>
      </c>
      <c r="I20" s="339" t="s">
        <v>1759</v>
      </c>
      <c r="J20" s="54" t="e">
        <f ca="1">ROUND(M20*M21/10000,0)</f>
        <v>#N/A</v>
      </c>
      <c r="K20" s="812" t="s">
        <v>669</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1.4999999999999999E-2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91"/>
      <c r="F22" s="56"/>
      <c r="G22" s="1575"/>
      <c r="H22" s="1631" t="s">
        <v>1888</v>
      </c>
      <c r="I22" s="782" t="s">
        <v>676</v>
      </c>
      <c r="J22" s="53" t="e">
        <f ca="1">ROUND(J14*M22,0)</f>
        <v>#N/A</v>
      </c>
      <c r="K22" s="3186" t="s">
        <v>677</v>
      </c>
      <c r="L22" s="782" t="s">
        <v>649</v>
      </c>
      <c r="M22" s="815" t="e">
        <f ca="1">INDIRECT("'数据-取费表'!Ak"&amp;$G$1)</f>
        <v>#N/A</v>
      </c>
    </row>
    <row r="23" spans="1:33" s="2046" customFormat="1" ht="18" customHeight="1">
      <c r="A23" s="1630" t="s">
        <v>1830</v>
      </c>
      <c r="B23" s="782" t="s">
        <v>2434</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3186" t="s">
        <v>1770</v>
      </c>
      <c r="L23" s="782" t="s">
        <v>649</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6.9999999999999999E-4</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683</v>
      </c>
      <c r="L24" s="2507" t="s">
        <v>649</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91"/>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702</v>
      </c>
      <c r="F26" s="792" t="e">
        <f ca="1">INDIRECT("'数据-取费表'!q"&amp;$G$1)</f>
        <v>#N/A</v>
      </c>
      <c r="G26" s="1575"/>
      <c r="H26" s="2463" t="s">
        <v>1779</v>
      </c>
      <c r="I26" s="2214" t="s">
        <v>2823</v>
      </c>
      <c r="J26" s="781" t="e">
        <f ca="1">IF(J5&lt;&gt;0,ROUND(J25*(1-((1+M28)/(1+M26))^M27)/(M26-M28),0),0)</f>
        <v>#N/A</v>
      </c>
      <c r="K26" s="812" t="s">
        <v>704</v>
      </c>
      <c r="L26" s="782" t="s">
        <v>2416</v>
      </c>
      <c r="M26" s="792" t="e">
        <f ca="1">INDIRECT("'数据-取费表'!I"&amp;$G$1)</f>
        <v>#N/A</v>
      </c>
    </row>
    <row r="27" spans="1:33" ht="18" customHeight="1">
      <c r="A27" s="1630" t="s">
        <v>1831</v>
      </c>
      <c r="B27" s="782" t="s">
        <v>686</v>
      </c>
      <c r="C27" s="53" t="e">
        <f ca="1">ROUND(F21*F26,4)</f>
        <v>#N/A</v>
      </c>
      <c r="D27" s="810" t="s">
        <v>706</v>
      </c>
      <c r="E27" s="804"/>
      <c r="F27" s="805"/>
      <c r="G27" s="1575"/>
      <c r="H27" s="2464"/>
      <c r="I27" s="785"/>
      <c r="J27" s="786"/>
      <c r="K27" s="819" t="s">
        <v>707</v>
      </c>
      <c r="L27" s="782" t="s">
        <v>708</v>
      </c>
      <c r="M27" s="820" t="e">
        <f ca="1">INDIRECT("'数据-取费表'!ag"&amp;$G$1)</f>
        <v>#N/A</v>
      </c>
    </row>
    <row r="28" spans="1:33" s="2046" customFormat="1" ht="18" customHeight="1">
      <c r="A28" s="1632" t="s">
        <v>1840</v>
      </c>
      <c r="B28" s="782" t="s">
        <v>687</v>
      </c>
      <c r="C28" s="53">
        <f>ROUND(F28/(1+'数据-取费表'!C42),4)</f>
        <v>5.2400000000000002E-2</v>
      </c>
      <c r="D28" s="810" t="s">
        <v>2296</v>
      </c>
      <c r="E28" s="782" t="s">
        <v>649</v>
      </c>
      <c r="F28" s="807">
        <f>'数据-取费表'!B41</f>
        <v>5.5000000000000007E-2</v>
      </c>
      <c r="G28" s="1576"/>
      <c r="H28" s="1811"/>
      <c r="I28" s="789"/>
      <c r="J28" s="790"/>
      <c r="K28" s="814"/>
      <c r="L28" s="782" t="s">
        <v>710</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t="e">
        <f ca="1">ROUND(C31+C36+C37+C38,0)</f>
        <v>#N/A</v>
      </c>
      <c r="D30" s="1803" t="s">
        <v>652</v>
      </c>
      <c r="E30" s="3189"/>
      <c r="F30" s="2452"/>
      <c r="G30" s="2044"/>
      <c r="H30" s="2047"/>
      <c r="I30" s="2048"/>
      <c r="J30" s="2049"/>
      <c r="K30" s="2050"/>
      <c r="L30" s="2051"/>
      <c r="M30" s="2052"/>
    </row>
    <row r="31" spans="1:33" ht="18" customHeight="1">
      <c r="A31" s="1631" t="s">
        <v>1823</v>
      </c>
      <c r="B31" s="782" t="s">
        <v>656</v>
      </c>
      <c r="C31" s="53" t="e">
        <f ca="1">ROUND(IF(项目基本情况!B11="自然人",C6*F31/(1+'数据-取费表'!C42),C32+C33+C34),1)</f>
        <v>#N/A</v>
      </c>
      <c r="D31" s="3187" t="s">
        <v>657</v>
      </c>
      <c r="E31" s="3186"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1754</v>
      </c>
      <c r="C32" s="53" t="e">
        <f ca="1">ROUND(C6*F32/(1+'数据-取费表'!C42),1)</f>
        <v>#N/A</v>
      </c>
      <c r="D32" s="3186" t="s">
        <v>661</v>
      </c>
      <c r="E32" s="782" t="s">
        <v>649</v>
      </c>
      <c r="F32" s="807">
        <f>'数据-取费表'!B41</f>
        <v>5.5000000000000007E-2</v>
      </c>
      <c r="G32" s="2044"/>
      <c r="H32" s="2053"/>
      <c r="I32" s="2054"/>
      <c r="J32" s="2055"/>
      <c r="K32" s="2056"/>
      <c r="L32" s="2057"/>
      <c r="M32" s="2058"/>
    </row>
    <row r="33" spans="1:18" ht="18" customHeight="1">
      <c r="A33" s="1630" t="s">
        <v>1831</v>
      </c>
      <c r="B33" s="782" t="s">
        <v>664</v>
      </c>
      <c r="C33" s="53" t="e">
        <f ca="1">IF(D33="按租金收入计税",ROUND(C6*F33/(1+'数据-取费表'!C42),1),IF(D33="按房产原值计税",ROUND(C29*F33*0.7,1),INDIRECT("'数据-取费表'!Aj"&amp;$G$1)))</f>
        <v>#N/A</v>
      </c>
      <c r="D33" s="809" t="s">
        <v>3100</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t="e">
        <f ca="1">ROUND(F34*F35/10000,1)</f>
        <v>#N/A</v>
      </c>
      <c r="D34" s="812" t="s">
        <v>669</v>
      </c>
      <c r="E34" s="782" t="s">
        <v>1761</v>
      </c>
      <c r="F34" s="638">
        <f>'数据-取费表'!B52</f>
        <v>6</v>
      </c>
      <c r="G34" s="2044"/>
      <c r="H34" s="2047"/>
      <c r="I34" s="833" t="s">
        <v>1812</v>
      </c>
      <c r="J34" s="834"/>
      <c r="K34" s="2062"/>
      <c r="L34" s="2061"/>
      <c r="M34" s="2061"/>
    </row>
    <row r="35" spans="1:18" ht="18" customHeight="1">
      <c r="A35" s="813"/>
      <c r="B35" s="791"/>
      <c r="C35" s="69"/>
      <c r="D35" s="814"/>
      <c r="E35" s="782" t="s">
        <v>1765</v>
      </c>
      <c r="F35" s="783" t="e">
        <f ca="1">INDIRECT("'数据-取费表'!r"&amp;$G$1)</f>
        <v>#N/A</v>
      </c>
      <c r="G35" s="2044"/>
      <c r="H35" s="2047"/>
      <c r="I35" s="835" t="s">
        <v>1813</v>
      </c>
      <c r="J35" s="836" t="e">
        <f ca="1">ROUND(C13*J36,0)</f>
        <v>#N/A</v>
      </c>
      <c r="K35" s="2060"/>
      <c r="L35" s="2059"/>
      <c r="M35" s="2059"/>
    </row>
    <row r="36" spans="1:18" ht="18" customHeight="1">
      <c r="A36" s="1631" t="s">
        <v>1888</v>
      </c>
      <c r="B36" s="782" t="s">
        <v>676</v>
      </c>
      <c r="C36" s="53" t="e">
        <f ca="1">ROUND(C29*F36,1)</f>
        <v>#N/A</v>
      </c>
      <c r="D36" s="3186" t="s">
        <v>691</v>
      </c>
      <c r="E36" s="782" t="s">
        <v>649</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3186" t="s">
        <v>1770</v>
      </c>
      <c r="E37" s="782" t="s">
        <v>649</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683</v>
      </c>
      <c r="E38" s="2507" t="s">
        <v>649</v>
      </c>
      <c r="F38" s="2503" t="e">
        <f ca="1">INDIRECT("'数据-取费表'!Am"&amp;$G$1)</f>
        <v>#N/A</v>
      </c>
      <c r="G38" s="2044"/>
      <c r="H38" s="2059"/>
      <c r="I38" s="841" t="s">
        <v>1816</v>
      </c>
      <c r="J38" s="842"/>
      <c r="K38" s="2065"/>
      <c r="L38" s="2059"/>
      <c r="M38" s="2059"/>
    </row>
    <row r="39" spans="1:18" ht="24.6" customHeight="1" thickTop="1">
      <c r="A39" s="1811" t="s">
        <v>1775</v>
      </c>
      <c r="B39" s="2958" t="s">
        <v>2818</v>
      </c>
      <c r="C39" s="790" t="e">
        <f ca="1">C5-C30</f>
        <v>#N/A</v>
      </c>
      <c r="D39" s="2509" t="s">
        <v>1776</v>
      </c>
      <c r="E39" s="2510"/>
      <c r="F39" s="2511"/>
      <c r="G39" s="2044"/>
      <c r="H39" s="2059"/>
      <c r="I39" s="835" t="s">
        <v>1817</v>
      </c>
      <c r="J39" s="843" t="e">
        <f ca="1">ROUND(J35/C39,3)</f>
        <v>#N/A</v>
      </c>
      <c r="K39" s="2065"/>
      <c r="L39" s="2059"/>
      <c r="M39" s="2059"/>
    </row>
    <row r="40" spans="1:18" ht="18" customHeight="1">
      <c r="A40" s="779" t="s">
        <v>1779</v>
      </c>
      <c r="B40" s="2214" t="s">
        <v>2298</v>
      </c>
      <c r="C40" s="781" t="e">
        <f ca="1">ROUND(C39*(1-((1+F42)/(1+F40))^F41)/(F40-F42),0)</f>
        <v>#N/A</v>
      </c>
      <c r="D40" s="812" t="s">
        <v>704</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708</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710</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3101</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638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639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2971</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75" t="s">
        <v>2963</v>
      </c>
      <c r="L53" s="3476"/>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2297</v>
      </c>
      <c r="C56" s="53" t="e">
        <f ca="1">C29</f>
        <v>#N/A</v>
      </c>
      <c r="D56" s="3186"/>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652</v>
      </c>
      <c r="E57" s="3191"/>
      <c r="F57" s="56"/>
      <c r="I57" s="3110" t="s">
        <v>2355</v>
      </c>
      <c r="J57" s="3111" t="e">
        <f ca="1">IF(OR(M47="住宅",J51&lt;L48,J56="是"),"——",J51-L48)</f>
        <v>#N/A</v>
      </c>
      <c r="K57" s="3072" t="s">
        <v>2360</v>
      </c>
      <c r="L57" s="1890" t="e">
        <f ca="1">IF(L48&lt;J51,"——",IF(L55="比较法",L49,IF(L55="基准地价",L50,L51)))</f>
        <v>#N/A</v>
      </c>
      <c r="O57" s="2359" t="s">
        <v>2376</v>
      </c>
      <c r="P57" s="2360" t="s">
        <v>2402</v>
      </c>
      <c r="Q57" s="2361" t="e">
        <f ca="1">C40+J29</f>
        <v>#N/A</v>
      </c>
      <c r="R57" s="2360" t="s">
        <v>2377</v>
      </c>
    </row>
    <row r="58" spans="1:18" s="2041" customFormat="1" ht="28.5" customHeight="1" thickBot="1">
      <c r="A58" s="1631" t="s">
        <v>1823</v>
      </c>
      <c r="B58" s="782" t="s">
        <v>656</v>
      </c>
      <c r="C58" s="53" t="e">
        <f ca="1">ROUND(IF(项目基本情况!B11="自然人",C47*F58,C59+C60+C61),1)</f>
        <v>#N/A</v>
      </c>
      <c r="D58" s="3187" t="s">
        <v>657</v>
      </c>
      <c r="E58" s="3186"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3186" t="s">
        <v>661</v>
      </c>
      <c r="E59" s="782" t="s">
        <v>649</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664</v>
      </c>
      <c r="C60" s="53" t="e">
        <f ca="1">IF(D60="按租金收入计税",ROUND(C47*F60,1),IF(D60="按房产原值计税",ROUND(C56*F60*0.7,1),INDIRECT("'数据-取费表'!Aj"&amp;$G$1)))</f>
        <v>#N/A</v>
      </c>
      <c r="D60" s="3186" t="str">
        <f>D33</f>
        <v>按租金收入计税</v>
      </c>
      <c r="E60" s="782" t="s">
        <v>649</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3186" t="s">
        <v>691</v>
      </c>
      <c r="E63" s="782" t="s">
        <v>649</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3186" t="s">
        <v>680</v>
      </c>
      <c r="E64" s="782" t="s">
        <v>649</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3186" t="s">
        <v>683</v>
      </c>
      <c r="E65" s="782" t="s">
        <v>649</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3187" t="s">
        <v>700</v>
      </c>
      <c r="E66" s="3190"/>
      <c r="F66" s="818"/>
      <c r="K66" s="2068"/>
      <c r="O66" s="2359" t="s">
        <v>2376</v>
      </c>
      <c r="P66" s="2360" t="s">
        <v>2402</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708</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5"/>
  <sheetViews>
    <sheetView topLeftCell="B52" workbookViewId="0">
      <selection activeCell="L81" sqref="L81"/>
    </sheetView>
  </sheetViews>
  <sheetFormatPr defaultRowHeight="13.5"/>
  <sheetData>
    <row r="2" spans="13:16">
      <c r="N2" s="3176" t="s">
        <v>3104</v>
      </c>
      <c r="O2" s="3176" t="s">
        <v>3105</v>
      </c>
      <c r="P2" s="3176" t="s">
        <v>3106</v>
      </c>
    </row>
    <row r="3" spans="13:16">
      <c r="M3" s="3176" t="s">
        <v>3103</v>
      </c>
      <c r="N3">
        <v>2.4700000000000002</v>
      </c>
      <c r="O3">
        <v>640000</v>
      </c>
      <c r="P3">
        <v>4800</v>
      </c>
    </row>
    <row r="4" spans="13:16">
      <c r="M4" s="3176" t="s">
        <v>3107</v>
      </c>
      <c r="N4">
        <v>2.61</v>
      </c>
      <c r="O4">
        <v>500000</v>
      </c>
      <c r="P4">
        <v>5000</v>
      </c>
    </row>
    <row r="5" spans="13:16">
      <c r="M5" s="3176" t="s">
        <v>3108</v>
      </c>
      <c r="N5">
        <v>2.17</v>
      </c>
      <c r="O5">
        <v>304800</v>
      </c>
      <c r="P5">
        <v>5100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2035</v>
      </c>
      <c r="B1" s="3219"/>
      <c r="C1" s="3219"/>
      <c r="D1" s="3219"/>
      <c r="E1" s="3219"/>
      <c r="F1" s="3219"/>
      <c r="G1" s="3219"/>
      <c r="H1" s="3219"/>
      <c r="I1" s="3219"/>
      <c r="J1" s="3219"/>
      <c r="K1" s="3219"/>
      <c r="L1" s="3219"/>
      <c r="M1" s="3219"/>
      <c r="N1" s="3219"/>
      <c r="O1" s="3219"/>
      <c r="P1" s="3219"/>
      <c r="Q1" s="3219"/>
      <c r="R1" s="3219"/>
    </row>
    <row r="2" spans="1:18">
      <c r="A2" s="1789" t="s">
        <v>2037</v>
      </c>
      <c r="B2" s="1789"/>
      <c r="C2" s="1789"/>
      <c r="D2" s="1789"/>
      <c r="E2" s="1789"/>
      <c r="F2" s="1789"/>
      <c r="G2" s="1789"/>
      <c r="H2" s="1789"/>
      <c r="I2" s="1790"/>
      <c r="J2" s="1790"/>
      <c r="K2" s="1791" t="str">
        <f>"估价期日："&amp;TEXT(项目基本情况!D3,"yyyy年m月d日;;")</f>
        <v>估价期日：2020年7月24日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0" t="s">
        <v>2026</v>
      </c>
      <c r="B3" s="3220" t="s">
        <v>2727</v>
      </c>
      <c r="C3" s="3221" t="s">
        <v>2027</v>
      </c>
      <c r="D3" s="3220" t="s">
        <v>2731</v>
      </c>
      <c r="E3" s="3215" t="s">
        <v>2028</v>
      </c>
      <c r="F3" s="3215"/>
      <c r="G3" s="3215"/>
      <c r="H3" s="3215" t="s">
        <v>2029</v>
      </c>
      <c r="I3" s="3215"/>
      <c r="J3" s="3215"/>
      <c r="K3" s="3221" t="s">
        <v>2030</v>
      </c>
      <c r="L3" s="3221" t="s">
        <v>2031</v>
      </c>
      <c r="M3" s="3220" t="s">
        <v>2728</v>
      </c>
      <c r="N3" s="3222" t="str">
        <f>"（分摊）"&amp;项目基本情况!B16&amp;"国有建设用地使用权面积/㎡"</f>
        <v>（分摊）出让国有建设用地使用权面积/㎡</v>
      </c>
      <c r="O3" s="3220" t="s">
        <v>2060</v>
      </c>
      <c r="P3" s="3221" t="s">
        <v>2040</v>
      </c>
      <c r="Q3" s="3221" t="s">
        <v>2061</v>
      </c>
      <c r="R3" s="3221" t="s">
        <v>2032</v>
      </c>
    </row>
    <row r="4" spans="1:18" ht="36.75" customHeight="1">
      <c r="A4" s="3220"/>
      <c r="B4" s="3220"/>
      <c r="C4" s="3221"/>
      <c r="D4" s="3220"/>
      <c r="E4" s="2610" t="s">
        <v>2039</v>
      </c>
      <c r="F4" s="2610" t="s">
        <v>2740</v>
      </c>
      <c r="G4" s="2610" t="s">
        <v>2033</v>
      </c>
      <c r="H4" s="2610" t="s">
        <v>2034</v>
      </c>
      <c r="I4" s="2610" t="s">
        <v>2741</v>
      </c>
      <c r="J4" s="2610" t="s">
        <v>2033</v>
      </c>
      <c r="K4" s="3221"/>
      <c r="L4" s="3221"/>
      <c r="M4" s="3220"/>
      <c r="N4" s="3222"/>
      <c r="O4" s="3220"/>
      <c r="P4" s="3221"/>
      <c r="Q4" s="3221"/>
      <c r="R4" s="3221"/>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42071.89</v>
      </c>
      <c r="O5" s="1792">
        <f>项目基本情况!C21</f>
        <v>84143.78</v>
      </c>
      <c r="P5" s="1792">
        <f ca="1">结果表!E42</f>
        <v>2495</v>
      </c>
      <c r="Q5" s="1792">
        <f ca="1">结果表!D42</f>
        <v>1248</v>
      </c>
      <c r="R5" s="1793">
        <f ca="1">结果表!C42</f>
        <v>10499</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4">
        <f ca="1">结果表!O39</f>
        <v>10499</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4"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3" t="s">
        <v>2062</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2063</v>
      </c>
      <c r="B5" s="3226"/>
      <c r="C5" s="3226"/>
      <c r="D5" s="3226"/>
    </row>
    <row r="6" spans="1:4">
      <c r="A6" s="3223" t="s">
        <v>2041</v>
      </c>
      <c r="B6" s="3223"/>
      <c r="C6" s="3223"/>
      <c r="D6" s="3223"/>
    </row>
    <row r="7" spans="1:4" ht="33" customHeight="1">
      <c r="A7" s="3223" t="s">
        <v>2571</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6" t="s">
        <v>2065</v>
      </c>
      <c r="B12" s="3226"/>
      <c r="C12" s="3226"/>
      <c r="D12" s="3226"/>
    </row>
    <row r="13" spans="1:4">
      <c r="A13" s="3224" t="s">
        <v>2742</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2698</v>
      </c>
      <c r="B17" s="3223"/>
      <c r="C17" s="3223"/>
      <c r="D17" s="3223"/>
    </row>
    <row r="18" spans="1:4">
      <c r="A18" s="3223" t="s">
        <v>2690</v>
      </c>
      <c r="B18" s="3223"/>
      <c r="C18" s="3223"/>
      <c r="D18" s="3223"/>
    </row>
    <row r="19" spans="1:4">
      <c r="A19" s="2820" t="s">
        <v>2691</v>
      </c>
      <c r="B19" s="2820" t="s">
        <v>2692</v>
      </c>
      <c r="C19" s="2820" t="s">
        <v>2693</v>
      </c>
      <c r="D19" s="2820" t="s">
        <v>2694</v>
      </c>
    </row>
    <row r="20" spans="1:4">
      <c r="A20" s="2820" t="str">
        <f>项目基本情况!B4</f>
        <v>土地估价师</v>
      </c>
      <c r="B20" s="2820">
        <f>项目基本情况!C4</f>
        <v>0</v>
      </c>
      <c r="C20" s="2822"/>
      <c r="D20" s="1782" t="s">
        <v>2699</v>
      </c>
    </row>
    <row r="21" spans="1:4">
      <c r="A21" s="2820" t="str">
        <f>项目基本情况!D4</f>
        <v>土地估价师</v>
      </c>
      <c r="B21" s="2820">
        <f>项目基本情况!E4</f>
        <v>0</v>
      </c>
      <c r="C21" s="2822"/>
      <c r="D21" s="1782" t="s">
        <v>2700</v>
      </c>
    </row>
    <row r="23" spans="1:4">
      <c r="A23" s="3223" t="s">
        <v>2695</v>
      </c>
      <c r="B23" s="3223"/>
      <c r="C23" s="3223"/>
      <c r="D23" s="3223"/>
    </row>
    <row r="24" spans="1:4">
      <c r="A24" s="2820" t="s">
        <v>2691</v>
      </c>
      <c r="B24" s="2820" t="s">
        <v>2696</v>
      </c>
      <c r="C24" s="2820" t="s">
        <v>2693</v>
      </c>
      <c r="D24" s="2820" t="s">
        <v>2694</v>
      </c>
    </row>
    <row r="25" spans="1:4">
      <c r="A25" s="2823" t="s">
        <v>2697</v>
      </c>
      <c r="B25" s="2820" t="s">
        <v>952</v>
      </c>
      <c r="C25" s="2822"/>
      <c r="D25" s="1782" t="s">
        <v>2700</v>
      </c>
    </row>
    <row r="29" spans="1:4">
      <c r="D29" s="2821" t="s">
        <v>2036</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5" t="s">
        <v>53</v>
      </c>
      <c r="B15" s="3236" t="s">
        <v>846</v>
      </c>
      <c r="C15" s="3232"/>
    </row>
    <row r="16" spans="1:7" ht="14.25">
      <c r="A16" s="3235"/>
      <c r="B16" s="3233" t="s">
        <v>54</v>
      </c>
      <c r="C16" s="1165" t="s">
        <v>53</v>
      </c>
    </row>
    <row r="17" spans="1:3" ht="14.25">
      <c r="A17" s="3235"/>
      <c r="B17" s="3233"/>
      <c r="C17" s="1165" t="s">
        <v>55</v>
      </c>
    </row>
    <row r="18" spans="1:3" ht="14.25">
      <c r="A18" s="3235"/>
      <c r="B18" s="3233"/>
      <c r="C18" s="1165" t="s">
        <v>56</v>
      </c>
    </row>
    <row r="19" spans="1:3" ht="14.25">
      <c r="A19" s="3235"/>
      <c r="B19" s="3231" t="s">
        <v>57</v>
      </c>
      <c r="C19" s="3232"/>
    </row>
    <row r="20" spans="1:3" ht="14.25">
      <c r="A20" s="1166" t="s">
        <v>58</v>
      </c>
      <c r="B20" s="1167"/>
      <c r="C20" s="1168"/>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69" t="s">
        <v>837</v>
      </c>
    </row>
    <row r="25" spans="1:3" ht="14.25">
      <c r="A25" s="3234"/>
      <c r="B25" s="3238"/>
      <c r="C25" s="1169" t="s">
        <v>838</v>
      </c>
    </row>
    <row r="26" spans="1:3" ht="14.25">
      <c r="A26" s="3234"/>
      <c r="B26" s="3238"/>
      <c r="C26" s="1169" t="s">
        <v>839</v>
      </c>
    </row>
    <row r="27" spans="1:3" ht="14.25">
      <c r="A27" s="3234"/>
      <c r="B27" s="3238"/>
      <c r="C27" s="1169" t="s">
        <v>840</v>
      </c>
    </row>
    <row r="28" spans="1:3" ht="14.25">
      <c r="A28" s="3234"/>
      <c r="B28" s="3238"/>
      <c r="C28" s="1169" t="s">
        <v>841</v>
      </c>
    </row>
    <row r="29" spans="1:3" ht="14.25">
      <c r="A29" s="3234"/>
      <c r="B29" s="3238"/>
      <c r="C29" s="1169" t="s">
        <v>842</v>
      </c>
    </row>
    <row r="30" spans="1:3" ht="14.25">
      <c r="A30" s="3234"/>
      <c r="B30" s="3238"/>
      <c r="C30" s="1169" t="s">
        <v>843</v>
      </c>
    </row>
    <row r="31" spans="1:3" ht="14.25">
      <c r="A31" s="3234"/>
      <c r="B31" s="3238"/>
      <c r="C31" s="1169" t="s">
        <v>844</v>
      </c>
    </row>
    <row r="32" spans="1:3" ht="14.25">
      <c r="A32" s="3234"/>
      <c r="B32" s="3238"/>
      <c r="C32" s="1169" t="s">
        <v>1646</v>
      </c>
    </row>
    <row r="33" spans="1:3" ht="14.25">
      <c r="A33" s="3234"/>
      <c r="B33" s="3228" t="s">
        <v>1652</v>
      </c>
      <c r="C33" s="1169" t="s">
        <v>1647</v>
      </c>
    </row>
    <row r="34" spans="1:3" ht="14.25">
      <c r="A34" s="3234"/>
      <c r="B34" s="3229"/>
      <c r="C34" s="1174" t="s">
        <v>1648</v>
      </c>
    </row>
    <row r="35" spans="1:3" ht="14.25">
      <c r="A35" s="3234"/>
      <c r="B35" s="3229"/>
      <c r="C35" s="1175" t="s">
        <v>1649</v>
      </c>
    </row>
    <row r="36" spans="1:3" ht="14.25">
      <c r="A36" s="3234"/>
      <c r="B36" s="3229"/>
      <c r="C36" s="1175" t="s">
        <v>1650</v>
      </c>
    </row>
    <row r="37" spans="1:3" ht="14.25">
      <c r="A37" s="3234"/>
      <c r="B37" s="3230"/>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44047</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44876</v>
      </c>
      <c r="D4" s="3125" t="s">
        <v>1913</v>
      </c>
      <c r="E4" s="3125">
        <f ca="1">IF(F4&lt;B2,"已过期",96010014)</f>
        <v>96010014</v>
      </c>
      <c r="F4" s="3128">
        <v>47118</v>
      </c>
    </row>
    <row r="5" spans="1:6" ht="20.25" customHeight="1">
      <c r="A5" s="3125"/>
      <c r="B5" s="3125"/>
      <c r="C5" s="3127"/>
      <c r="D5" s="3125"/>
      <c r="E5" s="3125"/>
      <c r="F5" s="3128"/>
    </row>
    <row r="6" spans="1:6" ht="20.25" customHeight="1">
      <c r="A6" s="3125" t="s">
        <v>1914</v>
      </c>
      <c r="B6" s="3125">
        <f ca="1">IF(C6&lt;B2,"已过期",1119970111)</f>
        <v>1119970111</v>
      </c>
      <c r="C6" s="3127">
        <v>44876</v>
      </c>
      <c r="D6" s="3125" t="s">
        <v>1914</v>
      </c>
      <c r="E6" s="3125">
        <f ca="1">IF(F6&lt;B2,"已过期",94010078)</f>
        <v>94010078</v>
      </c>
      <c r="F6" s="3128">
        <v>46387</v>
      </c>
    </row>
    <row r="7" spans="1:6" ht="20.25" customHeight="1">
      <c r="A7" s="3125" t="s">
        <v>1915</v>
      </c>
      <c r="B7" s="3125">
        <f ca="1">IF(C7&lt;B2,"已过期",1120050019)</f>
        <v>1120050019</v>
      </c>
      <c r="C7" s="3127">
        <v>44395</v>
      </c>
      <c r="D7" s="3125" t="s">
        <v>1915</v>
      </c>
      <c r="E7" s="3125">
        <f ca="1">IF(F7&lt;B2,"已过期",2002110030)</f>
        <v>2002110030</v>
      </c>
      <c r="F7" s="3128">
        <v>46387</v>
      </c>
    </row>
    <row r="8" spans="1:6" ht="20.25" customHeight="1">
      <c r="A8" s="3125" t="s">
        <v>1916</v>
      </c>
      <c r="B8" s="3125">
        <f ca="1">IF(C8&lt;B2,"已过期",1120000080)</f>
        <v>1120000080</v>
      </c>
      <c r="C8" s="3127">
        <v>44876</v>
      </c>
      <c r="D8" s="3125" t="s">
        <v>1916</v>
      </c>
      <c r="E8" s="3125">
        <f ca="1">IF(F8&lt;B2,"已过期",2000110082)</f>
        <v>2000110082</v>
      </c>
      <c r="F8" s="3128">
        <v>46387</v>
      </c>
    </row>
    <row r="9" spans="1:6" ht="20.25" customHeight="1">
      <c r="A9" s="3125" t="s">
        <v>1917</v>
      </c>
      <c r="B9" s="3125">
        <f ca="1">IF(C9&lt;B2,"已过期",1419970001)</f>
        <v>1419970001</v>
      </c>
      <c r="C9" s="3127">
        <v>44899</v>
      </c>
      <c r="D9" s="3125" t="s">
        <v>1917</v>
      </c>
      <c r="E9" s="3125">
        <f ca="1">IF(F9&lt;B2,"已过期",2002110125)</f>
        <v>2002110125</v>
      </c>
      <c r="F9" s="3128">
        <v>47118</v>
      </c>
    </row>
    <row r="10" spans="1:6" ht="20.25" customHeight="1">
      <c r="A10" s="3125" t="s">
        <v>1918</v>
      </c>
      <c r="B10" s="3125">
        <f ca="1">IF(C10&lt;B2,"已过期",1120060040)</f>
        <v>1120060040</v>
      </c>
      <c r="C10" s="3127">
        <v>44554</v>
      </c>
      <c r="D10" s="3125" t="s">
        <v>1918</v>
      </c>
      <c r="E10" s="3125">
        <f ca="1">IF(F10&lt;B2,"已过期",2004110096)</f>
        <v>2004110096</v>
      </c>
      <c r="F10" s="3128">
        <v>47118</v>
      </c>
    </row>
    <row r="11" spans="1:6" ht="20.25" customHeight="1">
      <c r="A11" s="3125" t="s">
        <v>1919</v>
      </c>
      <c r="B11" s="3125">
        <f ca="1">IF(C11&lt;B2,"已过期",1120100036)</f>
        <v>1120100036</v>
      </c>
      <c r="C11" s="3127">
        <v>44675</v>
      </c>
      <c r="D11" s="3125" t="s">
        <v>1919</v>
      </c>
      <c r="E11" s="3125">
        <f ca="1">IF(F11&lt;B2,"已过期",2010110070)</f>
        <v>2010110070</v>
      </c>
      <c r="F11" s="3128">
        <v>47907</v>
      </c>
    </row>
    <row r="12" spans="1:6" ht="20.25" customHeight="1">
      <c r="A12" s="3125"/>
      <c r="B12" s="3125"/>
      <c r="C12" s="3127"/>
      <c r="D12" s="3125"/>
      <c r="E12" s="3125"/>
      <c r="F12" s="3128"/>
    </row>
    <row r="13" spans="1:6" ht="20.25" customHeight="1">
      <c r="A13" s="3125" t="s">
        <v>1920</v>
      </c>
      <c r="B13" s="3125">
        <f ca="1">IF(C13&lt;B2,"已过期",1120070131)</f>
        <v>1120070131</v>
      </c>
      <c r="C13" s="3127">
        <v>44849</v>
      </c>
      <c r="D13" s="3125" t="s">
        <v>1920</v>
      </c>
      <c r="E13" s="3125">
        <f ca="1">IF(F13&lt;B2,"已过期",2014110011)</f>
        <v>2014110011</v>
      </c>
      <c r="F13" s="3128">
        <v>49302</v>
      </c>
    </row>
    <row r="14" spans="1:6" ht="20.25" customHeight="1">
      <c r="A14" s="3125" t="s">
        <v>2978</v>
      </c>
      <c r="B14" s="3125">
        <f ca="1">IF(C14&lt;B2,"已过期",1120040230)</f>
        <v>1120040230</v>
      </c>
      <c r="C14" s="3129">
        <v>44864</v>
      </c>
      <c r="D14" s="3130" t="s">
        <v>2979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1921</v>
      </c>
      <c r="E21" s="3125">
        <f ca="1">IF(F21&lt;B2,"已过期",2011110090)</f>
        <v>2011110090</v>
      </c>
      <c r="F21" s="3128">
        <v>48302</v>
      </c>
    </row>
    <row r="22" spans="1:7" ht="20.25" customHeight="1">
      <c r="A22" s="3125" t="s">
        <v>1922</v>
      </c>
      <c r="B22" s="3125">
        <f ca="1">IF(C22&lt;B2,"已过期",1120020033)</f>
        <v>1120020033</v>
      </c>
      <c r="C22" s="3127">
        <v>44339</v>
      </c>
      <c r="D22" s="3125" t="s">
        <v>1922</v>
      </c>
      <c r="E22" s="3125">
        <f ca="1">IF(F22&lt;B2,"已过期",2000110137)</f>
        <v>2000110137</v>
      </c>
      <c r="F22" s="3128">
        <v>46387</v>
      </c>
    </row>
    <row r="23" spans="1:7" ht="20.25" customHeight="1">
      <c r="A23" s="3125" t="s">
        <v>2994</v>
      </c>
      <c r="B23" s="3125">
        <v>1119980106</v>
      </c>
      <c r="C23" s="3127">
        <v>44969</v>
      </c>
      <c r="D23" s="3125"/>
      <c r="E23" s="3125"/>
      <c r="F23" s="3125"/>
    </row>
    <row r="24" spans="1:7" s="3133" customFormat="1" ht="20.25" customHeight="1">
      <c r="A24" s="3124" t="s">
        <v>2050</v>
      </c>
      <c r="B24" s="3124" t="s">
        <v>2050</v>
      </c>
      <c r="C24" s="3127"/>
      <c r="D24" s="3132" t="s">
        <v>2050</v>
      </c>
      <c r="E24" s="3124" t="s">
        <v>2050</v>
      </c>
      <c r="F24" s="3131"/>
    </row>
    <row r="25" spans="1:7" ht="20.25" customHeight="1">
      <c r="A25" s="3239" t="s">
        <v>1923</v>
      </c>
      <c r="B25" s="3239"/>
      <c r="C25" s="3239"/>
      <c r="D25" s="3239"/>
      <c r="E25" s="3239"/>
      <c r="F25" s="3239"/>
      <c r="G25" s="3239"/>
    </row>
    <row r="26" spans="1:7" ht="20.25" customHeight="1">
      <c r="A26" s="3240" t="s">
        <v>1924</v>
      </c>
      <c r="B26" s="3240"/>
      <c r="C26" s="3240"/>
      <c r="D26" s="3240" t="s">
        <v>1925</v>
      </c>
      <c r="E26" s="3240"/>
      <c r="F26" s="3240"/>
    </row>
    <row r="27" spans="1:7" s="3120" customFormat="1" ht="20.25" customHeight="1">
      <c r="A27" s="3134" t="s">
        <v>1926</v>
      </c>
      <c r="B27" s="3135" t="s">
        <v>1927</v>
      </c>
      <c r="C27" s="3135" t="s">
        <v>1928</v>
      </c>
      <c r="D27" s="3125" t="s">
        <v>1926</v>
      </c>
      <c r="E27" s="3135" t="s">
        <v>1927</v>
      </c>
      <c r="F27" s="3135" t="s">
        <v>1928</v>
      </c>
    </row>
    <row r="28" spans="1:7" s="3120" customFormat="1" ht="20.25" customHeight="1">
      <c r="A28" s="3136" t="s">
        <v>1929</v>
      </c>
      <c r="B28" s="3136" t="s">
        <v>1930</v>
      </c>
      <c r="C28" s="3128">
        <v>44820</v>
      </c>
      <c r="D28" s="3136" t="s">
        <v>1931</v>
      </c>
      <c r="E28" s="3136" t="s">
        <v>1932</v>
      </c>
      <c r="F28" s="3137">
        <v>44377</v>
      </c>
    </row>
    <row r="29" spans="1:7" s="3120" customFormat="1" ht="20.25" customHeight="1">
      <c r="A29" s="3136"/>
      <c r="B29" s="3136"/>
      <c r="C29" s="3138"/>
      <c r="D29" s="3136" t="s">
        <v>1933</v>
      </c>
      <c r="E29" s="3136" t="s">
        <v>2993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1712</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8" t="s">
        <v>2952</v>
      </c>
      <c r="C18" s="1537"/>
    </row>
    <row r="19" spans="1:3">
      <c r="A19" s="8" t="s">
        <v>120</v>
      </c>
      <c r="B19" s="3058" t="s">
        <v>2960</v>
      </c>
      <c r="C19" s="1537"/>
    </row>
    <row r="20" spans="1:3">
      <c r="A20" s="8" t="s">
        <v>121</v>
      </c>
      <c r="B20" s="8" t="s">
        <v>3102</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41"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c r="D53" s="1749"/>
      <c r="E53" s="1749"/>
    </row>
    <row r="54" spans="1:5">
      <c r="A54" s="3241"/>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1"/>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1"/>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1"/>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(商)</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2020-08-04T05:57:39Z</dcterms:modified>
</cp:coreProperties>
</file>