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080" windowWidth="16395" windowHeight="10995"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69" r:id="rId19"/>
    <sheet name="停产停业损失补偿" sheetId="73" r:id="rId20"/>
    <sheet name="成本逼近法" sheetId="11" r:id="rId21"/>
    <sheet name="比较法-工业" sheetId="70" r:id="rId22"/>
    <sheet name="剩余法-现房" sheetId="43" r:id="rId23"/>
    <sheet name="比较法-住宅、综合" sheetId="39"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不动产收益法" sheetId="15" r:id="rId30"/>
    <sheet name="地价" sheetId="59" r:id="rId31"/>
    <sheet name="招拍挂成交" sheetId="71" r:id="rId32"/>
    <sheet name="Sheet1" sheetId="72" r:id="rId33"/>
    <sheet name="基准地价（汇总）" sheetId="67" state="hidden" r:id="rId34"/>
    <sheet name="收益还原法" sheetId="44" state="hidden" r:id="rId35"/>
    <sheet name="不动产收益法-酒店模型" sheetId="68" state="hidden" r:id="rId36"/>
    <sheet name="酒店收入计算" sheetId="57"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1"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21">'比较法-工业'!$A$1:$K$63,'比较法-工业'!$A$66:$N$123</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29">不动产收益法!$A$1:$F$43,不动产收益法!$H$3:$M$29,不动产收益法!$A$46:$F$70,不动产收益法!$I$46:$M$60</definedName>
    <definedName name="_xlnm.Print_Area" localSheetId="20">成本逼近法!$A$1:$G$23</definedName>
    <definedName name="_xlnm.Print_Area" localSheetId="14">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22">'剩余法-现房'!$A$1:$K$27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SSHF">#REF!</definedName>
    <definedName name="ZG">[2]分值!$AJ$3:$AK$28</definedName>
    <definedName name="八级">区片价!$P$1:$P$40</definedName>
    <definedName name="办公层高" localSheetId="21">'[3]不动产比较法-办公'!$B$119:$M$119</definedName>
    <definedName name="办公层高" localSheetId="18">'[4]不动产比较法-办公'!$B$119:$M$119</definedName>
    <definedName name="办公层高" localSheetId="19">'[5]不动产比较法-办公'!$B$119:$M$119</definedName>
    <definedName name="办公层高">'不动产比较法-办公'!$B$119:$M$119</definedName>
    <definedName name="办公朝向" localSheetId="21">'[3]不动产比较法-办公'!$B$91:$M$91</definedName>
    <definedName name="办公朝向" localSheetId="18">'[4]不动产比较法-办公'!$B$91:$M$91</definedName>
    <definedName name="办公朝向" localSheetId="19">'[5]不动产比较法-办公'!$B$91:$M$91</definedName>
    <definedName name="办公朝向">'不动产比较法-办公'!$B$91:$M$91</definedName>
    <definedName name="办公道路级别" localSheetId="21">'[3]不动产比较法-办公'!$B$87:$M$87</definedName>
    <definedName name="办公道路级别" localSheetId="18">'[4]不动产比较法-办公'!$B$87:$M$87</definedName>
    <definedName name="办公道路级别" localSheetId="19">'[5]不动产比较法-办公'!$B$87:$M$87</definedName>
    <definedName name="办公道路级别">'不动产比较法-办公'!$B$87:$M$87</definedName>
    <definedName name="办公公共部分装修" localSheetId="21">'[3]不动产比较法-办公'!$B$108:$M$108</definedName>
    <definedName name="办公公共部分装修" localSheetId="18">'[4]不动产比较法-办公'!$B$108:$M$108</definedName>
    <definedName name="办公公共部分装修" localSheetId="19">'[5]不动产比较法-办公'!$B$108:$M$108</definedName>
    <definedName name="办公公共部分装修">'不动产比较法-办公'!$B$108:$M$108</definedName>
    <definedName name="办公基础设施水平" localSheetId="21">'[3]不动产比较法-办公'!$B$117:$M$117</definedName>
    <definedName name="办公基础设施水平" localSheetId="18">'[4]不动产比较法-办公'!$B$117:$M$117</definedName>
    <definedName name="办公基础设施水平" localSheetId="19">'[5]不动产比较法-办公'!$B$117:$M$117</definedName>
    <definedName name="办公基础设施水平">'不动产比较法-办公'!$B$117:$M$117</definedName>
    <definedName name="办公集聚程度" localSheetId="21">[3]定义!$M$1:$M$6</definedName>
    <definedName name="办公集聚程度" localSheetId="18">[4]定义!$M$1:$M$6</definedName>
    <definedName name="办公集聚程度" localSheetId="19">[5]定义!$M$1:$M$6</definedName>
    <definedName name="办公集聚程度">定义!$M$1:$M$6</definedName>
    <definedName name="办公建筑结构" localSheetId="21">'[3]不动产比较法-办公'!$B$106:$M$106</definedName>
    <definedName name="办公建筑结构" localSheetId="18">'[4]不动产比较法-办公'!$B$106:$M$106</definedName>
    <definedName name="办公建筑结构" localSheetId="19">'[5]不动产比较法-办公'!$B$106:$M$106</definedName>
    <definedName name="办公建筑结构">'不动产比较法-办公'!$B$106:$M$106</definedName>
    <definedName name="办公建筑类型" localSheetId="21">'[3]不动产比较法-办公'!$B$101:$M$101</definedName>
    <definedName name="办公建筑类型" localSheetId="18">'[4]不动产比较法-办公'!$B$101:$M$101</definedName>
    <definedName name="办公建筑类型" localSheetId="19">'[5]不动产比较法-办公'!$B$101:$M$101</definedName>
    <definedName name="办公建筑类型">'不动产比较法-办公'!$B$101:$M$101</definedName>
    <definedName name="办公交易情况" localSheetId="21">'[3]不动产比较法-办公'!$A$62:$M$62</definedName>
    <definedName name="办公交易情况" localSheetId="18">'[4]不动产比较法-办公'!$A$62:$M$62</definedName>
    <definedName name="办公交易情况" localSheetId="19">'[5]不动产比较法-办公'!$A$62:$M$62</definedName>
    <definedName name="办公交易情况">'不动产比较法-办公'!$A$62:$M$62</definedName>
    <definedName name="办公楼层" localSheetId="21">'[3]不动产比较法-办公'!$B$89:$M$89</definedName>
    <definedName name="办公楼层" localSheetId="18">'[4]不动产比较法-办公'!$B$89:$M$89</definedName>
    <definedName name="办公楼层" localSheetId="19">'[5]不动产比较法-办公'!$B$89:$M$89</definedName>
    <definedName name="办公楼层">'不动产比较法-办公'!$B$89:$M$89</definedName>
    <definedName name="办公内部装修" localSheetId="21">'[3]不动产比较法-办公'!$B$123:$M$123</definedName>
    <definedName name="办公内部装修" localSheetId="18">'[4]不动产比较法-办公'!$B$123:$M$123</definedName>
    <definedName name="办公内部装修" localSheetId="19">'[5]不动产比较法-办公'!$B$123:$M$123</definedName>
    <definedName name="办公内部装修">'不动产比较法-办公'!$B$123:$M$123</definedName>
    <definedName name="办公物业管理" localSheetId="21">'[3]不动产比较法-办公'!$B$115:$M$115</definedName>
    <definedName name="办公物业管理" localSheetId="18">'[4]不动产比较法-办公'!$B$115:$M$115</definedName>
    <definedName name="办公物业管理" localSheetId="19">'[5]不动产比较法-办公'!$B$115:$M$115</definedName>
    <definedName name="办公物业管理">'不动产比较法-办公'!$B$115:$M$115</definedName>
    <definedName name="办公用途" localSheetId="21">'[3]不动产比较法-办公'!$B$64:$M$64</definedName>
    <definedName name="办公用途" localSheetId="18">'[4]不动产比较法-办公'!$B$64:$M$64</definedName>
    <definedName name="办公用途" localSheetId="19">'[5]不动产比较法-办公'!$B$64:$M$64</definedName>
    <definedName name="办公用途">'不动产比较法-办公'!$B$64:$M$64</definedName>
    <definedName name="仓储公共部分装修" localSheetId="21">'[3]不动产比较法-仓储'!$B$77:$M$77</definedName>
    <definedName name="仓储公共部分装修" localSheetId="18">'[4]不动产比较法-仓储'!$B$77:$M$77</definedName>
    <definedName name="仓储公共部分装修" localSheetId="19">'[5]不动产比较法-仓储'!$B$77:$M$77</definedName>
    <definedName name="仓储公共部分装修">'不动产比较法-仓储'!$B$77:$M$77</definedName>
    <definedName name="仓储交易情况" localSheetId="21">'[3]不动产比较法-仓储'!$A$49:$M$49</definedName>
    <definedName name="仓储交易情况" localSheetId="18">'[4]不动产比较法-仓储'!$A$49:$M$49</definedName>
    <definedName name="仓储交易情况" localSheetId="19">'[5]不动产比较法-仓储'!$A$49:$M$49</definedName>
    <definedName name="仓储交易情况">'不动产比较法-仓储'!$A$49:$M$49</definedName>
    <definedName name="仓储楼层" localSheetId="21">'[3]不动产比较法-仓储'!$B$69:$M$69</definedName>
    <definedName name="仓储楼层" localSheetId="18">'[4]不动产比较法-仓储'!$B$69:$M$69</definedName>
    <definedName name="仓储楼层" localSheetId="19">'[5]不动产比较法-仓储'!$B$69:$M$69</definedName>
    <definedName name="仓储楼层">'不动产比较法-仓储'!$B$69:$M$69</definedName>
    <definedName name="仓储物业等级" localSheetId="21">'[3]不动产比较法-仓储'!$B$82:$M$82</definedName>
    <definedName name="仓储物业等级" localSheetId="18">'[4]不动产比较法-仓储'!$B$82:$M$82</definedName>
    <definedName name="仓储物业等级" localSheetId="19">'[5]不动产比较法-仓储'!$B$82:$M$82</definedName>
    <definedName name="仓储物业等级">'不动产比较法-仓储'!$B$82:$M$82</definedName>
    <definedName name="仓储用途" localSheetId="21">'[3]不动产比较法-仓储'!$B$51:$M$51</definedName>
    <definedName name="仓储用途" localSheetId="18">'[4]不动产比较法-仓储'!$B$51:$M$51</definedName>
    <definedName name="仓储用途" localSheetId="19">'[5]不动产比较法-仓储'!$B$51:$M$51</definedName>
    <definedName name="仓储用途">'不动产比较法-仓储'!$B$51:$M$51</definedName>
    <definedName name="产业集聚程度" localSheetId="21">[3]定义!$N$1:$N$6</definedName>
    <definedName name="产业集聚程度" localSheetId="18">[4]定义!$N$1:$N$6</definedName>
    <definedName name="产业集聚程度" localSheetId="19">[5]定义!$N$1:$N$6</definedName>
    <definedName name="产业集聚程度">定义!$N$1:$N$6</definedName>
    <definedName name="车位公共部分装修" localSheetId="21">'[3]不动产比较法-车位'!$B$83:$M$83</definedName>
    <definedName name="车位公共部分装修" localSheetId="18">'[4]不动产比较法-车位'!$B$83:$M$83</definedName>
    <definedName name="车位公共部分装修" localSheetId="19">'[5]不动产比较法-车位'!$B$83:$M$83</definedName>
    <definedName name="车位公共部分装修">'不动产比较法-车位'!$B$83:$M$83</definedName>
    <definedName name="车位交易情况" localSheetId="21">'[3]不动产比较法-车位'!$A$51:$M$51</definedName>
    <definedName name="车位交易情况" localSheetId="18">'[4]不动产比较法-车位'!$A$51:$M$51</definedName>
    <definedName name="车位交易情况" localSheetId="19">'[5]不动产比较法-车位'!$A$51:$M$51</definedName>
    <definedName name="车位交易情况">'不动产比较法-车位'!$A$51:$M$51</definedName>
    <definedName name="车位类型" localSheetId="21">'[3]不动产比较法-车位'!$B$93:$M$93</definedName>
    <definedName name="车位类型" localSheetId="18">'[4]不动产比较法-车位'!$B$93:$M$93</definedName>
    <definedName name="车位类型" localSheetId="19">'[5]不动产比较法-车位'!$B$93:$M$93</definedName>
    <definedName name="车位类型">'不动产比较法-车位'!$B$93:$M$93</definedName>
    <definedName name="车位楼层" localSheetId="21">'[3]不动产比较法-车位'!$B$71:$M$71</definedName>
    <definedName name="车位楼层" localSheetId="18">'[4]不动产比较法-车位'!$B$71:$M$71</definedName>
    <definedName name="车位楼层" localSheetId="19">'[5]不动产比较法-车位'!$B$71:$M$71</definedName>
    <definedName name="车位楼层">'不动产比较法-车位'!$B$71:$M$71</definedName>
    <definedName name="车位配套类型" localSheetId="21">'[3]不动产比较法-车位'!$B$79:$M$79</definedName>
    <definedName name="车位配套类型" localSheetId="18">'[4]不动产比较法-车位'!$B$79:$M$79</definedName>
    <definedName name="车位配套类型" localSheetId="19">'[5]不动产比较法-车位'!$B$79:$M$79</definedName>
    <definedName name="车位配套类型">'不动产比较法-车位'!$B$79:$M$79</definedName>
    <definedName name="车位物业等级" localSheetId="21">'[3]不动产比较法-车位'!$B$88:$M$88</definedName>
    <definedName name="车位物业等级" localSheetId="18">'[4]不动产比较法-车位'!$B$88:$M$88</definedName>
    <definedName name="车位物业等级" localSheetId="19">'[5]不动产比较法-车位'!$B$88:$M$88</definedName>
    <definedName name="车位物业等级">'不动产比较法-车位'!$B$88:$M$88</definedName>
    <definedName name="车位用途" localSheetId="21">'[3]不动产比较法-车位'!$B$53:$M$53</definedName>
    <definedName name="车位用途" localSheetId="18">'[4]不动产比较法-车位'!$B$53:$M$53</definedName>
    <definedName name="车位用途" localSheetId="19">'[5]不动产比较法-车位'!$B$53:$M$53</definedName>
    <definedName name="车位用途">'不动产比较法-车位'!$B$53:$M$53</definedName>
    <definedName name="城镇土地纳税等级分级范围" localSheetId="21">'[3]数据-取费表'!$A$53:$A$63</definedName>
    <definedName name="城镇土地纳税等级分级范围" localSheetId="18">'[4]数据-取费表'!$A$53:$A$63</definedName>
    <definedName name="城镇土地纳税等级分级范围" localSheetId="19">'[5]数据-取费表'!$A$53:$A$63</definedName>
    <definedName name="城镇土地纳税等级分级范围">'数据-取费表'!$A$53:$A$63</definedName>
    <definedName name="单价内涵" localSheetId="21">[3]定义!$V$1:$V$3</definedName>
    <definedName name="单价内涵" localSheetId="18">[4]定义!$V$1:$V$3</definedName>
    <definedName name="单价内涵" localSheetId="19">[5]定义!$V$1:$V$3</definedName>
    <definedName name="单价内涵">定义!$V$1:$V$3</definedName>
    <definedName name="地类判定" localSheetId="21">[3]定义!$H$1:$H$9</definedName>
    <definedName name="地类判定" localSheetId="18">[4]定义!$H$1:$H$9</definedName>
    <definedName name="地类判定" localSheetId="19">[5]定义!$H$1:$H$9</definedName>
    <definedName name="地类判定">定义!$H$1:$H$9</definedName>
    <definedName name="二级">区片价!$J$1:$J$20</definedName>
    <definedName name="二级分类" localSheetId="21">[3]修正!$C$17:$C$39</definedName>
    <definedName name="二级分类" localSheetId="18">[4]修正!$C$17:$C$39</definedName>
    <definedName name="二级分类" localSheetId="19">[5]修正!$C$17:$C$39</definedName>
    <definedName name="二级分类">修正!$C$19:$C$51</definedName>
    <definedName name="法定最高年限" localSheetId="21">[3]定义!$G$2:$G$4</definedName>
    <definedName name="法定最高年限" localSheetId="18">[4]定义!$G$2:$G$4</definedName>
    <definedName name="法定最高年限" localSheetId="19">[5]定义!$G$2:$G$4</definedName>
    <definedName name="法定最高年限">定义!$G$2:$G$4</definedName>
    <definedName name="工业公共部分装修" localSheetId="21">'[3]不动产比较法-工业'!$B$95:$M$95</definedName>
    <definedName name="工业公共部分装修" localSheetId="18">'[4]不动产比较法-工业'!$B$95:$M$95</definedName>
    <definedName name="工业公共部分装修" localSheetId="19">'[5]不动产比较法-工业'!$B$95:$M$95</definedName>
    <definedName name="工业公共部分装修">'不动产比较法-工业'!$B$95:$M$95</definedName>
    <definedName name="工业基础设施水平" localSheetId="21">'[3]不动产比较法-工业'!$B$102:$M$102</definedName>
    <definedName name="工业基础设施水平" localSheetId="18">'[4]不动产比较法-工业'!$B$102:$M$102</definedName>
    <definedName name="工业基础设施水平" localSheetId="19">'[5]不动产比较法-工业'!$B$102:$M$102</definedName>
    <definedName name="工业基础设施水平">'不动产比较法-工业'!$B$102:$M$102</definedName>
    <definedName name="工业建筑结构" localSheetId="21">'[3]不动产比较法-工业'!$B$93:$M$93</definedName>
    <definedName name="工业建筑结构" localSheetId="18">'[4]不动产比较法-工业'!$B$93:$M$93</definedName>
    <definedName name="工业建筑结构" localSheetId="19">'[5]不动产比较法-工业'!$B$93:$M$93</definedName>
    <definedName name="工业建筑结构">'不动产比较法-工业'!$B$93:$M$93</definedName>
    <definedName name="工业建筑类型" localSheetId="21">'[3]不动产比较法-工业'!$B$88:$M$88</definedName>
    <definedName name="工业建筑类型" localSheetId="18">'[4]不动产比较法-工业'!$B$88:$M$88</definedName>
    <definedName name="工业建筑类型" localSheetId="19">'[5]不动产比较法-工业'!$B$88:$M$88</definedName>
    <definedName name="工业建筑类型">'不动产比较法-工业'!$B$88:$M$88</definedName>
    <definedName name="工业交易情况" localSheetId="21">'[3]不动产比较法-工业'!$A$55:$M$55</definedName>
    <definedName name="工业交易情况" localSheetId="18">'[4]不动产比较法-工业'!$A$55:$M$55</definedName>
    <definedName name="工业交易情况" localSheetId="19">'[5]不动产比较法-工业'!$A$55:$M$55</definedName>
    <definedName name="工业交易情况">'不动产比较法-工业'!$A$55:$M$55</definedName>
    <definedName name="工业内部装修" localSheetId="21">'[3]不动产比较法-工业'!$B$104:$M$104</definedName>
    <definedName name="工业内部装修" localSheetId="18">'[4]不动产比较法-工业'!$B$104:$M$104</definedName>
    <definedName name="工业内部装修" localSheetId="19">'[5]不动产比较法-工业'!$B$104:$M$104</definedName>
    <definedName name="工业内部装修">'不动产比较法-工业'!$B$104:$M$104</definedName>
    <definedName name="工业物业管理" localSheetId="21">'[3]不动产比较法-工业'!$B$100:$M$100</definedName>
    <definedName name="工业物业管理" localSheetId="18">'[4]不动产比较法-工业'!$B$100:$M$100</definedName>
    <definedName name="工业物业管理" localSheetId="19">'[5]不动产比较法-工业'!$B$100:$M$100</definedName>
    <definedName name="工业物业管理">'不动产比较法-工业'!$B$100:$M$100</definedName>
    <definedName name="工业用途" localSheetId="21">'[3]不动产比较法-工业'!$B$57:$M$57</definedName>
    <definedName name="工业用途" localSheetId="18">'[4]不动产比较法-工业'!$B$57:$M$57</definedName>
    <definedName name="工业用途" localSheetId="19">'[5]不动产比较法-工业'!$B$57:$M$57</definedName>
    <definedName name="工业用途">'不动产比较法-工业'!$B$57:$M$57</definedName>
    <definedName name="公共配套设施" localSheetId="21">[3]定义!$Q$1:$Q$6</definedName>
    <definedName name="公共配套设施" localSheetId="18">[4]定义!$Q$1:$Q$6</definedName>
    <definedName name="公共配套设施" localSheetId="19">[5]定义!$Q$1:$Q$6</definedName>
    <definedName name="公共配套设施">定义!$Q$1:$Q$6</definedName>
    <definedName name="公用设施及基础设施水平">[1]定义!$Q$1:$Q$6</definedName>
    <definedName name="估价方法" localSheetId="21">[3]定义!$B$1:$B$50</definedName>
    <definedName name="估价方法" localSheetId="18">[4]定义!$B$1:$B$50</definedName>
    <definedName name="估价方法" localSheetId="19">[5]定义!$B$1:$B$50</definedName>
    <definedName name="估价方法">定义!$B$1:$B$50</definedName>
    <definedName name="环境" localSheetId="21">[3]定义!$S$1:$S$6</definedName>
    <definedName name="环境" localSheetId="18">[4]定义!$S$1:$S$6</definedName>
    <definedName name="环境" localSheetId="19">[5]定义!$S$1:$S$6</definedName>
    <definedName name="环境">定义!$S$1:$S$6</definedName>
    <definedName name="基础设施水平" localSheetId="21">[3]定义!$R$1:$R$6</definedName>
    <definedName name="基础设施水平" localSheetId="18">[4]定义!$R$1:$R$6</definedName>
    <definedName name="基础设施水平" localSheetId="19">[5]定义!$R$1:$R$6</definedName>
    <definedName name="基础设施水平">定义!$R$1:$R$6</definedName>
    <definedName name="季度">基准地价!$N$19:$AB$19</definedName>
    <definedName name="季度2014">地价!$A$2:$A$41</definedName>
    <definedName name="价值类型2" localSheetId="21">[3]定义!$B$54:$B$56</definedName>
    <definedName name="价值类型2" localSheetId="18">[4]定义!$B$54:$B$56</definedName>
    <definedName name="价值类型2" localSheetId="19">[5]定义!$B$54:$B$56</definedName>
    <definedName name="价值类型2">定义!$B$54:$B$56</definedName>
    <definedName name="交通便捷度" localSheetId="21">[3]定义!$O$1:$O$6</definedName>
    <definedName name="交通便捷度" localSheetId="18">[4]定义!$O$1:$O$6</definedName>
    <definedName name="交通便捷度" localSheetId="19">[5]定义!$O$1:$O$6</definedName>
    <definedName name="交通便捷度">定义!$O$1:$O$6</definedName>
    <definedName name="九级">区片价!$Q$1:$Q$46</definedName>
    <definedName name="居住社区成熟度" localSheetId="21">[3]定义!$K$1:$K$6</definedName>
    <definedName name="居住社区成熟度" localSheetId="18">[4]定义!$K$1:$K$6</definedName>
    <definedName name="居住社区成熟度" localSheetId="19">[5]定义!$K$1:$K$6</definedName>
    <definedName name="居住社区成熟度">定义!$K$1:$K$6</definedName>
    <definedName name="类别" localSheetId="21">[3]定义!$J$1:$J$3</definedName>
    <definedName name="类别" localSheetId="18">[4]定义!$J$1:$J$3</definedName>
    <definedName name="类别" localSheetId="19">[5]定义!$J$1:$J$3</definedName>
    <definedName name="类别">定义!$J$1:$J$3</definedName>
    <definedName name="临街状况" localSheetId="21">[3]定义!$T$1:$T$5</definedName>
    <definedName name="临街状况" localSheetId="18">[4]定义!$T$1:$T$5</definedName>
    <definedName name="临街状况" localSheetId="19">[5]定义!$T$1:$T$5</definedName>
    <definedName name="临街状况">定义!$T$1:$T$5</definedName>
    <definedName name="六级">区片价!$N$1:$N$49</definedName>
    <definedName name="内部装修维护情况" localSheetId="21">[3]定义!$U$1:$U$6</definedName>
    <definedName name="内部装修维护情况" localSheetId="18">[4]定义!$U$1:$U$6</definedName>
    <definedName name="内部装修维护情况" localSheetId="19">[5]定义!$U$1:$U$6</definedName>
    <definedName name="内部装修维护情况">定义!$U$1:$U$6</definedName>
    <definedName name="判定" localSheetId="21">[3]定义!$D$1:$D$4</definedName>
    <definedName name="判定" localSheetId="35">[6]定义!$D$1:$D$4</definedName>
    <definedName name="判定" localSheetId="18">[4]定义!$D$1:$D$4</definedName>
    <definedName name="判定" localSheetId="19">[5]定义!$D$1:$D$4</definedName>
    <definedName name="判定">定义!$D$1:$D$4</definedName>
    <definedName name="七级">区片价!$O$1:$O$49</definedName>
    <definedName name="七通一平" localSheetId="21">[3]修正!$A$6:$A$14</definedName>
    <definedName name="七通一平" localSheetId="18">[4]修正!$A$6:$A$14</definedName>
    <definedName name="七通一平" localSheetId="19">[5]修正!$A$6:$A$14</definedName>
    <definedName name="七通一平">修正!$A$8:$A$16</definedName>
    <definedName name="区域土地利用方向" localSheetId="21">[3]定义!$P$1:$P$6</definedName>
    <definedName name="区域土地利用方向" localSheetId="18">[4]定义!$P$1:$P$6</definedName>
    <definedName name="区域土地利用方向" localSheetId="19">[5]定义!$P$1:$P$6</definedName>
    <definedName name="区域土地利用方向">定义!$P$1:$P$6</definedName>
    <definedName name="三级">区片价!$K$1:$K$21</definedName>
    <definedName name="商业层高" localSheetId="21">'[3]不动产比较法-商业'!$B$116:$M$116</definedName>
    <definedName name="商业层高" localSheetId="18">'[4]不动产比较法-商业'!$B$116:$M$116</definedName>
    <definedName name="商业层高" localSheetId="19">'[5]不动产比较法-商业'!$B$116:$M$116</definedName>
    <definedName name="商业层高">'不动产比较法-商业'!$B$116:$M$116</definedName>
    <definedName name="商业成新度">'不动产比较法-商业'!$B$109:$M$109</definedName>
    <definedName name="商业繁华度" localSheetId="21">[3]定义!$L$1:$L$6</definedName>
    <definedName name="商业繁华度" localSheetId="18">[4]定义!$L$1:$L$6</definedName>
    <definedName name="商业繁华度" localSheetId="19">[5]定义!$L$1:$L$6</definedName>
    <definedName name="商业繁华度">定义!$L$1:$L$6</definedName>
    <definedName name="商业公共部分装修" localSheetId="21">'[3]不动产比较法-商业'!$B$107:$M$107</definedName>
    <definedName name="商业公共部分装修" localSheetId="18">'[4]不动产比较法-商业'!$B$107:$M$107</definedName>
    <definedName name="商业公共部分装修" localSheetId="19">'[5]不动产比较法-商业'!$B$107:$M$107</definedName>
    <definedName name="商业公共部分装修">'不动产比较法-商业'!$B$107:$M$107</definedName>
    <definedName name="商业基础设施水平" localSheetId="21">'[3]不动产比较法-商业'!$B$112:$M$112</definedName>
    <definedName name="商业基础设施水平" localSheetId="18">'[4]不动产比较法-商业'!$B$112:$M$112</definedName>
    <definedName name="商业基础设施水平" localSheetId="19">'[5]不动产比较法-商业'!$B$112:$M$112</definedName>
    <definedName name="商业基础设施水平">'不动产比较法-商业'!$B$112:$M$112</definedName>
    <definedName name="商业建筑结构" localSheetId="21">'[3]不动产比较法-商业'!$B$105:$M$105</definedName>
    <definedName name="商业建筑结构" localSheetId="18">'[4]不动产比较法-商业'!$B$105:$M$105</definedName>
    <definedName name="商业建筑结构" localSheetId="19">'[5]不动产比较法-商业'!$B$105:$M$105</definedName>
    <definedName name="商业建筑结构">'不动产比较法-商业'!$B$105:$M$105</definedName>
    <definedName name="商业交易情况" localSheetId="21">'[3]不动产比较法-商业'!$A$61:$M$61</definedName>
    <definedName name="商业交易情况" localSheetId="18">'[4]不动产比较法-商业'!$A$61:$M$61</definedName>
    <definedName name="商业交易情况" localSheetId="19">'[5]不动产比较法-商业'!$A$61:$M$61</definedName>
    <definedName name="商业交易情况">'不动产比较法-商业'!$A$61:$M$61</definedName>
    <definedName name="商业街名称" localSheetId="21">[3]修正!$C$59:$C$119</definedName>
    <definedName name="商业街名称" localSheetId="18">[4]修正!$C$59:$C$119</definedName>
    <definedName name="商业街名称" localSheetId="19">[5]修正!$C$59:$C$119</definedName>
    <definedName name="商业街名称">修正!$C$71:$C$139</definedName>
    <definedName name="商业进深比" localSheetId="21">'[3]不动产比较法-商业'!$B$120:$M$120</definedName>
    <definedName name="商业进深比" localSheetId="18">'[4]不动产比较法-商业'!$B$120:$M$120</definedName>
    <definedName name="商业进深比" localSheetId="19">'[5]不动产比较法-商业'!$B$120:$M$120</definedName>
    <definedName name="商业进深比">'不动产比较法-商业'!$B$120:$M$120</definedName>
    <definedName name="商业类型" localSheetId="21">'[3]不动产比较法-商业'!$B$100:$M$100</definedName>
    <definedName name="商业类型" localSheetId="18">'[4]不动产比较法-商业'!$B$100:$M$100</definedName>
    <definedName name="商业类型" localSheetId="19">'[5]不动产比较法-商业'!$B$100:$M$100</definedName>
    <definedName name="商业类型">'不动产比较法-商业'!$B$100:$M$100</definedName>
    <definedName name="商业临街状况" localSheetId="21">'[3]不动产比较法-商业'!$B$86:$M$86</definedName>
    <definedName name="商业临街状况" localSheetId="18">'[4]不动产比较法-商业'!$B$86:$M$86</definedName>
    <definedName name="商业临街状况" localSheetId="19">'[5]不动产比较法-商业'!$B$86:$M$86</definedName>
    <definedName name="商业临街状况">'不动产比较法-商业'!$B$86:$M$86</definedName>
    <definedName name="商业楼层" localSheetId="21">'[3]不动产比较法-商业'!$B$92:$M$92</definedName>
    <definedName name="商业楼层" localSheetId="18">'[4]不动产比较法-商业'!$B$92:$M$92</definedName>
    <definedName name="商业楼层" localSheetId="19">'[5]不动产比较法-商业'!$B$92:$M$92</definedName>
    <definedName name="商业楼层">'不动产比较法-商业'!$B$92:$M$92</definedName>
    <definedName name="商业内部装修" localSheetId="21">'[3]不动产比较法-商业'!$B$122:$M$122</definedName>
    <definedName name="商业内部装修" localSheetId="18">'[4]不动产比较法-商业'!$B$122:$M$122</definedName>
    <definedName name="商业内部装修" localSheetId="19">'[5]不动产比较法-商业'!$B$122:$M$122</definedName>
    <definedName name="商业内部装修">'不动产比较法-商业'!$B$122:$M$122</definedName>
    <definedName name="商业人流量" localSheetId="21">'[3]不动产比较法-商业'!$B$90:$M$90</definedName>
    <definedName name="商业人流量" localSheetId="18">'[4]不动产比较法-商业'!$B$90:$M$90</definedName>
    <definedName name="商业人流量" localSheetId="19">'[5]不动产比较法-商业'!$B$90:$M$90</definedName>
    <definedName name="商业人流量">'不动产比较法-商业'!$B$90:$M$90</definedName>
    <definedName name="商业业态" localSheetId="21">'[3]不动产比较法-商业'!$B$114:$M$114</definedName>
    <definedName name="商业业态" localSheetId="18">'[4]不动产比较法-商业'!$B$114:$M$114</definedName>
    <definedName name="商业业态" localSheetId="19">'[5]不动产比较法-商业'!$B$114:$M$114</definedName>
    <definedName name="商业业态">'不动产比较法-商业'!$B$114:$M$114</definedName>
    <definedName name="商业用途" localSheetId="21">'[3]不动产比较法-商业'!$B$63:$M$63</definedName>
    <definedName name="商业用途" localSheetId="18">'[4]不动产比较法-商业'!$B$63:$M$63</definedName>
    <definedName name="商业用途" localSheetId="19">'[5]不动产比较法-商业'!$B$63:$M$63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1">'[3]不动产比较法-仓储'!$B$89:$M$89</definedName>
    <definedName name="是否封闭" localSheetId="18">'[4]不动产比较法-仓储'!$B$89:$M$89</definedName>
    <definedName name="是否封闭" localSheetId="19">'[5]不动产比较法-仓储'!$B$89:$M$89</definedName>
    <definedName name="是否封闭">'不动产比较法-仓储'!$B$89:$M$89</definedName>
    <definedName name="是否直接入户" localSheetId="21">'[3]不动产比较法-车位'!$B$95:$M$95</definedName>
    <definedName name="是否直接入户" localSheetId="18">'[4]不动产比较法-车位'!$B$95:$M$95</definedName>
    <definedName name="是否直接入户" localSheetId="19">'[5]不动产比较法-车位'!$B$95:$M$95</definedName>
    <definedName name="是否直接入户">'不动产比较法-车位'!$B$95:$M$95</definedName>
    <definedName name="四级">区片价!$L$1:$L$28</definedName>
    <definedName name="套工工程地质条件" localSheetId="21">'比较法-工业'!$B$116:$M$116</definedName>
    <definedName name="套工工程地质条件" localSheetId="18">'[4]比较法-工业'!$B$116:$M$116</definedName>
    <definedName name="套工工程地质条件" localSheetId="19">'[5]比较法-工业'!$B$116:$M$116</definedName>
    <definedName name="套工工程地质条件">#REF!</definedName>
    <definedName name="套工交易情况" localSheetId="21">'[3]比较法-住宅、综合'!$A$75:$M$75</definedName>
    <definedName name="套工交易情况" localSheetId="18">'[4]比较法-住宅、综合'!$A$75:$M$75</definedName>
    <definedName name="套工交易情况" localSheetId="19">'[5]比较法-住宅、综合'!$A$75:$M$75</definedName>
    <definedName name="套工交易情况">'比较法-住宅、综合'!$A$74:$M$74</definedName>
    <definedName name="套工开发程度" localSheetId="21">'比较法-工业'!$B$114:$M$114</definedName>
    <definedName name="套工开发程度" localSheetId="18">'[4]比较法-工业'!$B$114:$M$114</definedName>
    <definedName name="套工开发程度" localSheetId="19">'[5]比较法-工业'!$B$114:$M$114</definedName>
    <definedName name="套工开发程度">#REF!</definedName>
    <definedName name="套工临街等级" localSheetId="21">'比较法-工业'!$B$99:$M$99</definedName>
    <definedName name="套工临街等级" localSheetId="18">'[4]比较法-工业'!$B$99:$M$99</definedName>
    <definedName name="套工临街等级" localSheetId="19">'[5]比较法-工业'!$B$99:$M$99</definedName>
    <definedName name="套工临街等级">#REF!</definedName>
    <definedName name="套工土地级别" localSheetId="21">'比较法-工业'!$B$101:$M$101</definedName>
    <definedName name="套工土地级别" localSheetId="18">'[4]比较法-工业'!$B$101:$M$101</definedName>
    <definedName name="套工土地级别" localSheetId="19">'[5]比较法-工业'!$B$101:$M$101</definedName>
    <definedName name="套工土地级别">#REF!</definedName>
    <definedName name="套工用途" localSheetId="21">'比较法-工业'!$B$72:$M$72</definedName>
    <definedName name="套工用途" localSheetId="18">'[4]比较法-工业'!$B$72:$M$72</definedName>
    <definedName name="套工用途" localSheetId="19">'[5]比较法-工业'!$B$72:$M$72</definedName>
    <definedName name="套工用途">#REF!</definedName>
    <definedName name="套工宗地形状" localSheetId="21">'比较法-工业'!$B$112:$M$112</definedName>
    <definedName name="套工宗地形状" localSheetId="18">'[4]比较法-工业'!$B$112:$M$112</definedName>
    <definedName name="套工宗地形状" localSheetId="19">'[5]比较法-工业'!$B$112:$M$112</definedName>
    <definedName name="套工宗地形状">#REF!</definedName>
    <definedName name="套综道路等级" localSheetId="21">'[3]比较法-住宅、综合'!$B$108:$M$108</definedName>
    <definedName name="套综道路等级" localSheetId="18">'[4]比较法-住宅、综合'!$B$108:$M$108</definedName>
    <definedName name="套综道路等级" localSheetId="19">'[5]比较法-住宅、综合'!$B$108:$M$108</definedName>
    <definedName name="套综道路等级">'比较法-住宅、综合'!$B$107:$M$107</definedName>
    <definedName name="套综工程地质条件" localSheetId="21">'[3]比较法-住宅、综合'!$B$127:$M$127</definedName>
    <definedName name="套综工程地质条件" localSheetId="18">'[4]比较法-住宅、综合'!$B$127:$M$127</definedName>
    <definedName name="套综工程地质条件" localSheetId="19">'[5]比较法-住宅、综合'!$B$127:$M$127</definedName>
    <definedName name="套综工程地质条件">'比较法-住宅、综合'!$B$126:$M$126</definedName>
    <definedName name="套综交易情况" localSheetId="21">'[3]比较法-住宅、综合'!$A$75:$M$75</definedName>
    <definedName name="套综交易情况" localSheetId="18">'[4]比较法-住宅、综合'!$A$75:$M$75</definedName>
    <definedName name="套综交易情况" localSheetId="19">'[5]比较法-住宅、综合'!$A$75:$M$75</definedName>
    <definedName name="套综交易情况">'比较法-住宅、综合'!$A$74:$M$74</definedName>
    <definedName name="套综临街宽度及深度" localSheetId="21">'[3]比较法-住宅、综合'!$B$123:$M$123</definedName>
    <definedName name="套综临街宽度及深度" localSheetId="18">'[4]比较法-住宅、综合'!$B$123:$M$123</definedName>
    <definedName name="套综临街宽度及深度" localSheetId="19">'[5]比较法-住宅、综合'!$B$123:$M$123</definedName>
    <definedName name="套综临街宽度及深度">'比较法-住宅、综合'!$B$122:$M$122</definedName>
    <definedName name="套综土地级别" localSheetId="21">'[3]比较法-住宅、综合'!$B$110:$M$110</definedName>
    <definedName name="套综土地级别" localSheetId="18">'[4]比较法-住宅、综合'!$B$110:$M$110</definedName>
    <definedName name="套综土地级别" localSheetId="19">'[5]比较法-住宅、综合'!$B$110:$M$110</definedName>
    <definedName name="套综土地级别">'比较法-住宅、综合'!$B$109:$M$109</definedName>
    <definedName name="套综用途" localSheetId="21">'[3]比较法-住宅、综合'!$B$77:$M$77</definedName>
    <definedName name="套综用途" localSheetId="18">'[4]比较法-住宅、综合'!$B$77:$M$77</definedName>
    <definedName name="套综用途" localSheetId="19">'[5]比较法-住宅、综合'!$B$77:$M$77</definedName>
    <definedName name="套综用途">'比较法-住宅、综合'!$B$76:$M$76</definedName>
    <definedName name="套综宗地内开发程度" localSheetId="21">'[3]比较法-住宅、综合'!$B$125:$M$125</definedName>
    <definedName name="套综宗地内开发程度" localSheetId="18">'[4]比较法-住宅、综合'!$B$125:$M$125</definedName>
    <definedName name="套综宗地内开发程度" localSheetId="19">'[5]比较法-住宅、综合'!$B$125:$M$125</definedName>
    <definedName name="套综宗地内开发程度">'比较法-住宅、综合'!$B$124:$M$124</definedName>
    <definedName name="套综宗地形状" localSheetId="21">'[3]比较法-住宅、综合'!$B$121:$M$121</definedName>
    <definedName name="套综宗地形状" localSheetId="18">'[4]比较法-住宅、综合'!$B$121:$M$121</definedName>
    <definedName name="套综宗地形状" localSheetId="19">'[5]比较法-住宅、综合'!$B$121:$M$121</definedName>
    <definedName name="套综宗地形状">'比较法-住宅、综合'!$B$120:$M$120</definedName>
    <definedName name="土地估价师" localSheetId="21">[3]估价师及机构信息!$D$3:$D$16</definedName>
    <definedName name="土地估价师" localSheetId="18">[4]估价师及机构信息!$D$3:$D$16</definedName>
    <definedName name="土地估价师" localSheetId="19">[5]估价师及机构信息!$D$3:$D$24</definedName>
    <definedName name="土地估价师">估价师及机构信息!$D$3:$D$17</definedName>
    <definedName name="土地级别" localSheetId="21">[3]定义!$C$1:$C$14</definedName>
    <definedName name="土地级别" localSheetId="18">[4]定义!$C$1:$C$14</definedName>
    <definedName name="土地级别" localSheetId="19">[5]定义!$C$1:$C$14</definedName>
    <definedName name="土地级别">定义!$C$1:$C$14</definedName>
    <definedName name="土地利用方向">定义!$P$1:$P$6</definedName>
    <definedName name="土地年限区间" localSheetId="21">[3]定义!$I$1:$I$8</definedName>
    <definedName name="土地年限区间" localSheetId="18">[4]定义!$I$1:$I$8</definedName>
    <definedName name="土地年限区间" localSheetId="19">[5]定义!$I$1:$I$8</definedName>
    <definedName name="土地年限区间">定义!$I$1:$I$8</definedName>
    <definedName name="位置" localSheetId="21">[3]定义!$E$2:$E$4</definedName>
    <definedName name="位置" localSheetId="18">[4]定义!$E$2:$E$4</definedName>
    <definedName name="位置" localSheetId="19">[5]定义!$E$2:$E$4</definedName>
    <definedName name="位置">定义!$E$2:$E$4</definedName>
    <definedName name="五等判定" localSheetId="21">[3]定义!$W$1:$W$6</definedName>
    <definedName name="五等判定" localSheetId="18">[4]定义!$W$1:$W$6</definedName>
    <definedName name="五等判定" localSheetId="19">[5]定义!$W$1:$W$6</definedName>
    <definedName name="五等判定">定义!$W$1:$W$6</definedName>
    <definedName name="五级">区片价!$M$1:$M$35</definedName>
    <definedName name="项目类型" localSheetId="21">'[3]数据-汇总表'!$C$17:$C$26</definedName>
    <definedName name="项目类型" localSheetId="35">'[6]数据-汇总表'!$C$17:$C$26</definedName>
    <definedName name="项目类型" localSheetId="18">'[4]数据-汇总表'!$C$17:$C$26</definedName>
    <definedName name="项目类型" localSheetId="19">'[5]数据-汇总表'!$C$17:$C$26</definedName>
    <definedName name="项目类型">'数据-汇总表'!$C$17:$C$26</definedName>
    <definedName name="写字楼等级" localSheetId="21">'[3]不动产比较法-办公'!$B$113:$M$113</definedName>
    <definedName name="写字楼等级" localSheetId="18">'[4]不动产比较法-办公'!$B$113:$M$113</definedName>
    <definedName name="写字楼等级" localSheetId="19">'[5]不动产比较法-办公'!$B$113:$M$113</definedName>
    <definedName name="写字楼等级">'不动产比较法-办公'!$B$113:$M$113</definedName>
    <definedName name="一级">区片价!$I$1:$I$6</definedName>
    <definedName name="一修多修正项2" localSheetId="21">[3]典型户型修正!$5:$5</definedName>
    <definedName name="一修多修正项2" localSheetId="18">[4]典型户型修正!$5:$5</definedName>
    <definedName name="一修多修正项2" localSheetId="19">[5]典型户型修正!$5:$5</definedName>
    <definedName name="一修多修正项2">典型户型修正!$5:$5</definedName>
    <definedName name="一修多修正项3" localSheetId="21">[3]典型户型修正!$7:$7</definedName>
    <definedName name="一修多修正项3" localSheetId="18">[4]典型户型修正!$7:$7</definedName>
    <definedName name="一修多修正项3" localSheetId="19">[5]典型户型修正!$7:$7</definedName>
    <definedName name="一修多修正项3">典型户型修正!$7:$7</definedName>
    <definedName name="一修多修正项4" localSheetId="21">[3]典型户型修正!$9:$9</definedName>
    <definedName name="一修多修正项4" localSheetId="18">[4]典型户型修正!$9:$9</definedName>
    <definedName name="一修多修正项4" localSheetId="19">[5]典型户型修正!$9:$9</definedName>
    <definedName name="一修多修正项4">典型户型修正!$9:$9</definedName>
    <definedName name="一修多修正项5" localSheetId="21">[3]典型户型修正!$11:$11</definedName>
    <definedName name="一修多修正项5" localSheetId="18">[4]典型户型修正!$11:$11</definedName>
    <definedName name="一修多修正项5" localSheetId="19">[5]典型户型修正!$11:$11</definedName>
    <definedName name="一修多修正项5">典型户型修正!$11:$11</definedName>
    <definedName name="一修多修正项6" localSheetId="21">[3]典型户型修正!$13:$13</definedName>
    <definedName name="一修多修正项6" localSheetId="18">[4]典型户型修正!$13:$13</definedName>
    <definedName name="一修多修正项6" localSheetId="19">[5]典型户型修正!$13:$13</definedName>
    <definedName name="一修多修正项6">典型户型修正!$13:$13</definedName>
    <definedName name="一修多修正项7" localSheetId="21">[3]典型户型修正!$15:$15</definedName>
    <definedName name="一修多修正项7" localSheetId="18">[4]典型户型修正!$15:$15</definedName>
    <definedName name="一修多修正项7" localSheetId="19">[5]典型户型修正!$15:$15</definedName>
    <definedName name="一修多修正项7">典型户型修正!$15:$15</definedName>
    <definedName name="一修多修正项8" localSheetId="21">[3]典型户型修正!$17:$17</definedName>
    <definedName name="一修多修正项8" localSheetId="18">[4]典型户型修正!$17:$17</definedName>
    <definedName name="一修多修正项8" localSheetId="19">[5]典型户型修正!$17:$17</definedName>
    <definedName name="一修多修正项8">典型户型修正!$17:$17</definedName>
    <definedName name="用途类型" localSheetId="21">[3]定义!$A$1:$A$50</definedName>
    <definedName name="用途类型" localSheetId="18">[4]定义!$A$1:$A$50</definedName>
    <definedName name="用途类型" localSheetId="19">[5]定义!$A$1:$A$50</definedName>
    <definedName name="用途类型">定义!$A$1:$A$50</definedName>
    <definedName name="有无电梯" localSheetId="21">'[3]不动产比较法-仓储'!$B$84:$M$84</definedName>
    <definedName name="有无电梯" localSheetId="18">'[4]不动产比较法-仓储'!$B$84:$M$84</definedName>
    <definedName name="有无电梯" localSheetId="19">'[5]不动产比较法-仓储'!$B$84:$M$84</definedName>
    <definedName name="有无电梯">'不动产比较法-仓储'!$B$84:$M$84</definedName>
    <definedName name="主用途" localSheetId="21">[3]定义!$F$1:$F$10</definedName>
    <definedName name="主用途" localSheetId="18">[4]定义!$F$1:$F$10</definedName>
    <definedName name="主用途" localSheetId="19">[5]定义!$F$1:$F$10</definedName>
    <definedName name="主用途">定义!$F$1:$F$10</definedName>
    <definedName name="住宅朝向" localSheetId="21">'[3]不动产比较法-住宅'!$B$88:$M$88</definedName>
    <definedName name="住宅朝向" localSheetId="18">'[4]不动产比较法-住宅'!$B$88:$M$88</definedName>
    <definedName name="住宅朝向" localSheetId="19">'[5]不动产比较法-住宅'!$B$88:$M$88</definedName>
    <definedName name="住宅朝向">'不动产比较法-住宅'!$B$88:$M$88</definedName>
    <definedName name="住宅房型" localSheetId="21">'[3]不动产比较法-住宅'!$B$118:$M$118</definedName>
    <definedName name="住宅房型" localSheetId="18">'[4]不动产比较法-住宅'!$B$118:$M$118</definedName>
    <definedName name="住宅房型" localSheetId="19">'[5]不动产比较法-住宅'!$B$118:$M$118</definedName>
    <definedName name="住宅房型">'不动产比较法-住宅'!$B$118:$M$118</definedName>
    <definedName name="住宅公共部分装修" localSheetId="21">'[3]不动产比较法-住宅'!$B$109:$M$109</definedName>
    <definedName name="住宅公共部分装修" localSheetId="18">'[4]不动产比较法-住宅'!$B$109:$M$109</definedName>
    <definedName name="住宅公共部分装修" localSheetId="19">'[5]不动产比较法-住宅'!$B$109:$M$109</definedName>
    <definedName name="住宅公共部分装修">'不动产比较法-住宅'!$B$109:$M$109</definedName>
    <definedName name="住宅基础设施水平" localSheetId="21">'[3]不动产比较法-住宅'!$B$116:$M$116</definedName>
    <definedName name="住宅基础设施水平" localSheetId="18">'[4]不动产比较法-住宅'!$B$116:$M$116</definedName>
    <definedName name="住宅基础设施水平" localSheetId="19">'[5]不动产比较法-住宅'!$B$116:$M$116</definedName>
    <definedName name="住宅基础设施水平">'不动产比较法-住宅'!$B$116:$M$116</definedName>
    <definedName name="住宅建筑结构" localSheetId="21">'[3]不动产比较法-住宅'!$B$105:$M$105</definedName>
    <definedName name="住宅建筑结构" localSheetId="18">'[4]不动产比较法-住宅'!$B$105:$M$105</definedName>
    <definedName name="住宅建筑结构" localSheetId="19">'[5]不动产比较法-住宅'!$B$105:$M$105</definedName>
    <definedName name="住宅建筑结构">'不动产比较法-住宅'!$B$105:$M$105</definedName>
    <definedName name="住宅建筑类型" localSheetId="21">'[3]不动产比较法-住宅'!$B$100:$M$100</definedName>
    <definedName name="住宅建筑类型" localSheetId="18">'[4]不动产比较法-住宅'!$B$100:$M$100</definedName>
    <definedName name="住宅建筑类型" localSheetId="19">'[5]不动产比较法-住宅'!$B$100:$M$100</definedName>
    <definedName name="住宅建筑类型">'不动产比较法-住宅'!$B$100:$M$100</definedName>
    <definedName name="住宅建筑品质" localSheetId="21">'[3]不动产比较法-住宅'!$B$107:$M$107</definedName>
    <definedName name="住宅建筑品质" localSheetId="18">'[4]不动产比较法-住宅'!$B$107:$M$107</definedName>
    <definedName name="住宅建筑品质" localSheetId="19">'[5]不动产比较法-住宅'!$B$107:$M$107</definedName>
    <definedName name="住宅建筑品质">'不动产比较法-住宅'!$B$107:$M$107</definedName>
    <definedName name="住宅交易情况" localSheetId="21">'[3]不动产比较法-住宅'!$A$61:$M$61</definedName>
    <definedName name="住宅交易情况" localSheetId="18">'[4]不动产比较法-住宅'!$A$61:$M$61</definedName>
    <definedName name="住宅交易情况" localSheetId="19">'[5]不动产比较法-住宅'!$A$61:$M$61</definedName>
    <definedName name="住宅交易情况">'不动产比较法-住宅'!$A$61:$M$61</definedName>
    <definedName name="住宅楼层" localSheetId="21">'[3]不动产比较法-住宅'!$B$86:$M$86</definedName>
    <definedName name="住宅楼层" localSheetId="18">'[4]不动产比较法-住宅'!$B$86:$M$86</definedName>
    <definedName name="住宅楼层" localSheetId="19">'[5]不动产比较法-住宅'!$B$86:$M$86</definedName>
    <definedName name="住宅楼层">'不动产比较法-住宅'!$B$86:$M$86</definedName>
    <definedName name="住宅内部装修" localSheetId="21">'[3]不动产比较法-住宅'!$B$122:$M$122</definedName>
    <definedName name="住宅内部装修" localSheetId="18">'[4]不动产比较法-住宅'!$B$122:$M$122</definedName>
    <definedName name="住宅内部装修" localSheetId="19">'[5]不动产比较法-住宅'!$B$122:$M$122</definedName>
    <definedName name="住宅内部装修">'不动产比较法-住宅'!$B$122:$M$122</definedName>
    <definedName name="住宅物业管理" localSheetId="21">'[3]不动产比较法-住宅'!$B$114:$M$114</definedName>
    <definedName name="住宅物业管理" localSheetId="18">'[4]不动产比较法-住宅'!$B$114:$M$114</definedName>
    <definedName name="住宅物业管理" localSheetId="19">'[5]不动产比较法-住宅'!$B$114:$M$114</definedName>
    <definedName name="住宅物业管理">'不动产比较法-住宅'!$B$114:$M$114</definedName>
    <definedName name="住宅用途" localSheetId="21">'[3]不动产比较法-住宅'!$B$63:$M$63</definedName>
    <definedName name="住宅用途" localSheetId="18">'[4]不动产比较法-住宅'!$B$63:$M$63</definedName>
    <definedName name="住宅用途" localSheetId="19">'[5]不动产比较法-住宅'!$B$63:$M$63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9" i="1" l="1"/>
  <c r="D11" i="73" l="1"/>
  <c r="E11" i="73" s="1"/>
  <c r="C10" i="73"/>
  <c r="E10" i="73" s="1"/>
  <c r="C12" i="73" s="1"/>
  <c r="C14" i="73" s="1"/>
  <c r="D5" i="73" l="1"/>
  <c r="D6" i="73" s="1"/>
  <c r="D24" i="73"/>
  <c r="D19" i="73"/>
  <c r="G9" i="73" l="1"/>
  <c r="D14" i="69" s="1"/>
  <c r="F17" i="43" l="1"/>
  <c r="C27" i="69" l="1"/>
  <c r="D27" i="69" s="1"/>
  <c r="E5" i="72" l="1"/>
  <c r="D4" i="72"/>
  <c r="E4" i="72"/>
  <c r="B4" i="72"/>
  <c r="A4" i="72"/>
  <c r="A3" i="72"/>
  <c r="D3" i="72"/>
  <c r="E3" i="72"/>
  <c r="B3" i="72"/>
  <c r="E2" i="72"/>
  <c r="D2" i="72"/>
  <c r="B2" i="72"/>
  <c r="A2" i="72"/>
  <c r="D16" i="69" l="1"/>
  <c r="B28" i="69"/>
  <c r="AH6" i="1"/>
  <c r="D11" i="69" l="1"/>
  <c r="Y6" i="1"/>
  <c r="D13" i="11"/>
  <c r="D8" i="11"/>
  <c r="C36" i="70"/>
  <c r="C27" i="70"/>
  <c r="C25" i="70"/>
  <c r="C23" i="70"/>
  <c r="C19" i="70"/>
  <c r="C17" i="70"/>
  <c r="G5" i="20"/>
  <c r="C9" i="70"/>
  <c r="B122" i="70"/>
  <c r="B120" i="70"/>
  <c r="B118" i="70"/>
  <c r="E117" i="70"/>
  <c r="F117" i="70" s="1"/>
  <c r="G117" i="70" s="1"/>
  <c r="H117" i="70" s="1"/>
  <c r="I117" i="70" s="1"/>
  <c r="J117" i="70" s="1"/>
  <c r="K117" i="70" s="1"/>
  <c r="L117" i="70" s="1"/>
  <c r="M117" i="70" s="1"/>
  <c r="D117" i="70"/>
  <c r="D115" i="70"/>
  <c r="E115" i="70" s="1"/>
  <c r="E113" i="70"/>
  <c r="F113" i="70" s="1"/>
  <c r="G113" i="70" s="1"/>
  <c r="H113" i="70" s="1"/>
  <c r="I113" i="70" s="1"/>
  <c r="J113" i="70" s="1"/>
  <c r="K113" i="70" s="1"/>
  <c r="L113" i="70" s="1"/>
  <c r="M113" i="70" s="1"/>
  <c r="D113" i="70"/>
  <c r="M109" i="70"/>
  <c r="L109" i="70"/>
  <c r="K109" i="70"/>
  <c r="J109" i="70"/>
  <c r="I109" i="70"/>
  <c r="H109" i="70"/>
  <c r="G109" i="70"/>
  <c r="F109" i="70"/>
  <c r="E109" i="70"/>
  <c r="D109" i="70"/>
  <c r="C109" i="70"/>
  <c r="B107" i="70"/>
  <c r="B105" i="70"/>
  <c r="B103" i="70"/>
  <c r="D102" i="70"/>
  <c r="E102" i="70" s="1"/>
  <c r="F102" i="70" s="1"/>
  <c r="G102" i="70" s="1"/>
  <c r="H102" i="70" s="1"/>
  <c r="I102" i="70" s="1"/>
  <c r="J102" i="70" s="1"/>
  <c r="K102" i="70" s="1"/>
  <c r="L102" i="70" s="1"/>
  <c r="M102" i="70" s="1"/>
  <c r="E100" i="70"/>
  <c r="F100" i="70" s="1"/>
  <c r="G100" i="70" s="1"/>
  <c r="H100" i="70" s="1"/>
  <c r="I100" i="70" s="1"/>
  <c r="J100" i="70" s="1"/>
  <c r="K100" i="70" s="1"/>
  <c r="L100" i="70" s="1"/>
  <c r="M100" i="70" s="1"/>
  <c r="D100" i="70"/>
  <c r="E98" i="70"/>
  <c r="F98" i="70" s="1"/>
  <c r="G98" i="70" s="1"/>
  <c r="H98" i="70" s="1"/>
  <c r="I98" i="70" s="1"/>
  <c r="J98" i="70" s="1"/>
  <c r="K98" i="70" s="1"/>
  <c r="L98" i="70" s="1"/>
  <c r="M98" i="70" s="1"/>
  <c r="D98" i="70"/>
  <c r="B97" i="70"/>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B81" i="70"/>
  <c r="B79" i="70"/>
  <c r="E78" i="70"/>
  <c r="F78" i="70" s="1"/>
  <c r="G78" i="70" s="1"/>
  <c r="H78" i="70" s="1"/>
  <c r="I78" i="70" s="1"/>
  <c r="J78" i="70" s="1"/>
  <c r="K78" i="70" s="1"/>
  <c r="L78" i="70" s="1"/>
  <c r="M78" i="70" s="1"/>
  <c r="D78" i="70"/>
  <c r="M76" i="70"/>
  <c r="L76" i="70"/>
  <c r="K76" i="70"/>
  <c r="J76" i="70"/>
  <c r="I76" i="70"/>
  <c r="H76" i="70"/>
  <c r="G76" i="70"/>
  <c r="F76" i="70"/>
  <c r="E76" i="70"/>
  <c r="D76" i="70"/>
  <c r="C76" i="70"/>
  <c r="S68" i="70"/>
  <c r="R68" i="70"/>
  <c r="Q68" i="70"/>
  <c r="P68"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P43" i="70"/>
  <c r="G43" i="70"/>
  <c r="E43" i="70"/>
  <c r="I50" i="70" s="1"/>
  <c r="J50" i="70" s="1"/>
  <c r="AC42" i="70"/>
  <c r="W42" i="70"/>
  <c r="Q42" i="70"/>
  <c r="Z42" i="70" s="1"/>
  <c r="J42" i="70"/>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C32" i="70"/>
  <c r="Q30" i="70"/>
  <c r="Z30" i="70" s="1"/>
  <c r="J30" i="70"/>
  <c r="AC30" i="70" s="1"/>
  <c r="H30" i="70"/>
  <c r="AB30" i="70" s="1"/>
  <c r="F30" i="70"/>
  <c r="AA30" i="70" s="1"/>
  <c r="C30" i="70"/>
  <c r="Q29" i="70"/>
  <c r="Z29" i="70" s="1"/>
  <c r="J29" i="70"/>
  <c r="AC29" i="70" s="1"/>
  <c r="H29" i="70"/>
  <c r="AB29" i="70" s="1"/>
  <c r="F29" i="70"/>
  <c r="AA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H21" i="70"/>
  <c r="AB21" i="70" s="1"/>
  <c r="F21" i="70"/>
  <c r="AA21" i="70" s="1"/>
  <c r="C21" i="70"/>
  <c r="Q19" i="70"/>
  <c r="Z19" i="70" s="1"/>
  <c r="J19" i="70"/>
  <c r="AC19" i="70" s="1"/>
  <c r="H19" i="70"/>
  <c r="AB19" i="70" s="1"/>
  <c r="F19" i="70"/>
  <c r="AA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W10" i="70"/>
  <c r="S10" i="70"/>
  <c r="J10" i="70"/>
  <c r="AC10" i="70" s="1"/>
  <c r="H10" i="70"/>
  <c r="U10" i="70" s="1"/>
  <c r="F10" i="70"/>
  <c r="AA10" i="70" s="1"/>
  <c r="C65" i="70"/>
  <c r="G7" i="70"/>
  <c r="E7" i="70"/>
  <c r="A3" i="69"/>
  <c r="D5" i="69"/>
  <c r="B4" i="69"/>
  <c r="H32" i="70" l="1"/>
  <c r="U32" i="70" s="1"/>
  <c r="R43" i="70"/>
  <c r="A6" i="69"/>
  <c r="B6" i="69" s="1"/>
  <c r="F115" i="70"/>
  <c r="G115" i="70" s="1"/>
  <c r="H115" i="70" s="1"/>
  <c r="I115" i="70" s="1"/>
  <c r="J115" i="70" s="1"/>
  <c r="K115" i="70" s="1"/>
  <c r="L115" i="70" s="1"/>
  <c r="M115" i="70" s="1"/>
  <c r="J38" i="70"/>
  <c r="AC38" i="70" s="1"/>
  <c r="F38" i="70"/>
  <c r="AA38" i="70" s="1"/>
  <c r="AB13" i="70"/>
  <c r="U13" i="70"/>
  <c r="AA13" i="70"/>
  <c r="S13" i="70"/>
  <c r="AC13" i="70"/>
  <c r="W13" i="70"/>
  <c r="S17" i="70"/>
  <c r="W17" i="70"/>
  <c r="S19" i="70"/>
  <c r="W19" i="70"/>
  <c r="S21" i="70"/>
  <c r="W21" i="70"/>
  <c r="S23" i="70"/>
  <c r="W23" i="70"/>
  <c r="S25" i="70"/>
  <c r="W25" i="70"/>
  <c r="S27" i="70"/>
  <c r="W27" i="70"/>
  <c r="AB36" i="70"/>
  <c r="U36" i="70"/>
  <c r="AB10" i="70"/>
  <c r="S11" i="70"/>
  <c r="W11" i="70"/>
  <c r="U12" i="70"/>
  <c r="S14" i="70"/>
  <c r="W14" i="70"/>
  <c r="U15" i="70"/>
  <c r="S16" i="70"/>
  <c r="W16" i="70"/>
  <c r="C67" i="70"/>
  <c r="D65" i="70"/>
  <c r="U11" i="70"/>
  <c r="S12" i="70"/>
  <c r="W12" i="70"/>
  <c r="U14" i="70"/>
  <c r="S15" i="70"/>
  <c r="W15" i="70"/>
  <c r="U16" i="70"/>
  <c r="U17" i="70"/>
  <c r="U19" i="70"/>
  <c r="U21" i="70"/>
  <c r="U23" i="70"/>
  <c r="U25" i="70"/>
  <c r="U27" i="70"/>
  <c r="AA36" i="70"/>
  <c r="S36" i="70"/>
  <c r="S29" i="70"/>
  <c r="W29" i="70"/>
  <c r="S30" i="70"/>
  <c r="W30" i="70"/>
  <c r="F32" i="70"/>
  <c r="J32" i="70"/>
  <c r="U33" i="70"/>
  <c r="S34" i="70"/>
  <c r="W34" i="70"/>
  <c r="U35" i="70"/>
  <c r="S37" i="70"/>
  <c r="W37" i="70"/>
  <c r="U38" i="70"/>
  <c r="S39" i="70"/>
  <c r="W39" i="70"/>
  <c r="U40" i="70"/>
  <c r="AC41" i="70"/>
  <c r="W41" i="70"/>
  <c r="S41" i="70"/>
  <c r="S42" i="70"/>
  <c r="U29" i="70"/>
  <c r="U30" i="70"/>
  <c r="S33" i="70"/>
  <c r="W33" i="70"/>
  <c r="U34" i="70"/>
  <c r="S35" i="70"/>
  <c r="W35" i="70"/>
  <c r="W36" i="70"/>
  <c r="U37" i="70"/>
  <c r="W38" i="70"/>
  <c r="U39" i="70"/>
  <c r="S40" i="70"/>
  <c r="W40" i="70"/>
  <c r="U41" i="70"/>
  <c r="G50" i="70"/>
  <c r="H50" i="70" s="1"/>
  <c r="T43" i="70"/>
  <c r="U42" i="70"/>
  <c r="E50" i="70"/>
  <c r="F50" i="70" s="1"/>
  <c r="S38" i="70" l="1"/>
  <c r="AB32" i="70"/>
  <c r="C3" i="69"/>
  <c r="AC32" i="70"/>
  <c r="W32" i="70"/>
  <c r="AA32" i="70"/>
  <c r="S32" i="70"/>
  <c r="E65" i="70"/>
  <c r="D67" i="70"/>
  <c r="E67" i="70" l="1"/>
  <c r="F65" i="70"/>
  <c r="G65" i="70" l="1"/>
  <c r="F67" i="70"/>
  <c r="G67" i="70" l="1"/>
  <c r="H65" i="70"/>
  <c r="I65" i="70" l="1"/>
  <c r="H67" i="70"/>
  <c r="I67" i="70" l="1"/>
  <c r="J65" i="70"/>
  <c r="K65" i="70" l="1"/>
  <c r="J67" i="70"/>
  <c r="K67" i="70" l="1"/>
  <c r="L65" i="70"/>
  <c r="M65" i="70" l="1"/>
  <c r="L67" i="70"/>
  <c r="M67" i="70" l="1"/>
  <c r="N65" i="70"/>
  <c r="N67" i="70" s="1"/>
  <c r="F9" i="70" l="1"/>
  <c r="H9" i="70"/>
  <c r="J9" i="70"/>
  <c r="AB9" i="70" l="1"/>
  <c r="T44" i="70" s="1"/>
  <c r="G44" i="70" s="1"/>
  <c r="U9" i="70"/>
  <c r="W9" i="70"/>
  <c r="AC9" i="70"/>
  <c r="V44" i="70" s="1"/>
  <c r="I44" i="70" s="1"/>
  <c r="S9" i="70"/>
  <c r="AA9" i="70"/>
  <c r="R44" i="70" s="1"/>
  <c r="E44" i="70" l="1"/>
  <c r="R45" i="70"/>
  <c r="I49" i="70"/>
  <c r="J49" i="70" s="1"/>
  <c r="I48" i="70"/>
  <c r="J48" i="70" s="1"/>
  <c r="G49" i="70"/>
  <c r="H49" i="70" s="1"/>
  <c r="G48" i="70"/>
  <c r="H48" i="70" s="1"/>
  <c r="C44" i="70" l="1"/>
  <c r="E8" i="11" s="1"/>
  <c r="C45" i="70"/>
  <c r="E49" i="70"/>
  <c r="F49" i="70" s="1"/>
  <c r="E48" i="70"/>
  <c r="F48" i="70" s="1"/>
  <c r="B62" i="70" l="1"/>
  <c r="F62" i="70" s="1"/>
  <c r="B61" i="70"/>
  <c r="F61" i="70" s="1"/>
  <c r="B60" i="70"/>
  <c r="F60" i="70" s="1"/>
  <c r="B59" i="70"/>
  <c r="F59" i="70" s="1"/>
  <c r="B58" i="70"/>
  <c r="F58" i="70" s="1"/>
  <c r="B56" i="70"/>
  <c r="F56" i="70" s="1"/>
  <c r="B54" i="70"/>
  <c r="F54" i="70" s="1"/>
  <c r="B53" i="70"/>
  <c r="F53" i="70" s="1"/>
  <c r="F63" i="70"/>
  <c r="B2" i="70" s="1"/>
  <c r="B57" i="70"/>
  <c r="F57" i="70" s="1"/>
  <c r="B55" i="70"/>
  <c r="F55" i="70" s="1"/>
  <c r="B4" i="70" l="1"/>
  <c r="B5" i="70"/>
  <c r="B3" i="70"/>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R25" i="68"/>
  <c r="R5" i="68" s="1"/>
  <c r="U5" i="68" s="1"/>
  <c r="D7" i="68"/>
  <c r="C26" i="68" s="1"/>
  <c r="E11" i="68"/>
  <c r="E7" i="68" s="1"/>
  <c r="C27" i="68" s="1"/>
  <c r="D23" i="68"/>
  <c r="C29" i="68"/>
  <c r="F26" i="43"/>
  <c r="F19" i="43"/>
  <c r="E16" i="43"/>
  <c r="F15" i="43"/>
  <c r="F14"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21" i="63"/>
  <c r="B67"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31" i="39"/>
  <c r="Z31" i="39" s="1"/>
  <c r="D104" i="39"/>
  <c r="E104" i="39" s="1"/>
  <c r="F104" i="39" s="1"/>
  <c r="F31" i="39"/>
  <c r="AA31" i="39" s="1"/>
  <c r="G20" i="20"/>
  <c r="B85" i="46"/>
  <c r="C22" i="20"/>
  <c r="B65" i="46"/>
  <c r="S18" i="36"/>
  <c r="S18" i="35"/>
  <c r="S21" i="37"/>
  <c r="S21" i="34"/>
  <c r="S31" i="39"/>
  <c r="C31" i="39"/>
  <c r="B54" i="46"/>
  <c r="B74" i="46"/>
  <c r="E66" i="36"/>
  <c r="H18" i="35"/>
  <c r="J18" i="35"/>
  <c r="H21" i="37"/>
  <c r="J21" i="37"/>
  <c r="E84" i="34"/>
  <c r="F84" i="34" s="1"/>
  <c r="G84" i="34" s="1"/>
  <c r="J21" i="34"/>
  <c r="H21" i="34"/>
  <c r="F21" i="33"/>
  <c r="H21" i="33"/>
  <c r="J21" i="33"/>
  <c r="F83" i="21"/>
  <c r="H21" i="21"/>
  <c r="G83" i="21"/>
  <c r="J21" i="21"/>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G17" i="3" s="1"/>
  <c r="H18" i="3"/>
  <c r="AC18" i="3"/>
  <c r="G18" i="3" s="1"/>
  <c r="BB18" i="3"/>
  <c r="BC18" i="3"/>
  <c r="BA18" i="3" s="1"/>
  <c r="AZ18" i="3" s="1"/>
  <c r="BD18" i="3"/>
  <c r="BE18" i="3"/>
  <c r="BF18" i="3"/>
  <c r="BG18" i="3"/>
  <c r="BH18" i="3"/>
  <c r="BI18" i="3"/>
  <c r="BJ18" i="3"/>
  <c r="BK18" i="3"/>
  <c r="BM18" i="3"/>
  <c r="BN18" i="3"/>
  <c r="BN5" i="3" s="1"/>
  <c r="G29" i="6" s="1"/>
  <c r="BO18" i="3"/>
  <c r="BP18" i="3"/>
  <c r="BR18" i="3"/>
  <c r="BS18" i="3"/>
  <c r="BS5" i="3"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O5" i="3" s="1"/>
  <c r="F29" i="6"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c r="C26" i="35"/>
  <c r="C79" i="35"/>
  <c r="J26"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AA15" i="37" s="1"/>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S30" i="37" s="1"/>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G18" i="20"/>
  <c r="B87" i="46" s="1"/>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G13" i="3" s="1"/>
  <c r="BB11" i="3"/>
  <c r="BB10" i="3"/>
  <c r="E8" i="6" s="1"/>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26" i="21"/>
  <c r="W26" i="21" s="1"/>
  <c r="F26" i="21"/>
  <c r="AA26" i="21" s="1"/>
  <c r="AB41" i="21"/>
  <c r="S41" i="21"/>
  <c r="AA41" i="21"/>
  <c r="S10" i="39"/>
  <c r="E103" i="37"/>
  <c r="F103" i="37" s="1"/>
  <c r="F39" i="37"/>
  <c r="W39" i="37"/>
  <c r="F29" i="36"/>
  <c r="AA29" i="36"/>
  <c r="F16" i="36"/>
  <c r="AA16" i="36"/>
  <c r="U22" i="36"/>
  <c r="W23" i="36"/>
  <c r="W22" i="36"/>
  <c r="U26" i="36"/>
  <c r="AC27" i="35"/>
  <c r="W24" i="35"/>
  <c r="S31" i="35"/>
  <c r="W31" i="35"/>
  <c r="F36" i="34"/>
  <c r="S36" i="34" s="1"/>
  <c r="W9" i="34"/>
  <c r="S34" i="34"/>
  <c r="W39" i="34"/>
  <c r="H39" i="33"/>
  <c r="AB39" i="33"/>
  <c r="U33" i="33"/>
  <c r="W38" i="33"/>
  <c r="S40" i="33"/>
  <c r="S33" i="33"/>
  <c r="W33" i="33"/>
  <c r="U38" i="33"/>
  <c r="S8" i="21"/>
  <c r="H39" i="37"/>
  <c r="AB27" i="35"/>
  <c r="S40" i="39"/>
  <c r="S36" i="39"/>
  <c r="F11" i="21"/>
  <c r="S11" i="21"/>
  <c r="AB36" i="21"/>
  <c r="C29" i="39"/>
  <c r="C23" i="39"/>
  <c r="U36" i="39"/>
  <c r="S42" i="39"/>
  <c r="H32" i="33"/>
  <c r="AB32" i="33"/>
  <c r="H11" i="21"/>
  <c r="U11" i="21"/>
  <c r="J11" i="21"/>
  <c r="W11" i="21"/>
  <c r="AA12" i="33"/>
  <c r="U9" i="21"/>
  <c r="J27" i="36"/>
  <c r="W27" i="36"/>
  <c r="J30" i="35"/>
  <c r="W30" i="35"/>
  <c r="F22" i="35"/>
  <c r="AA22" i="35"/>
  <c r="H10" i="35"/>
  <c r="U10" i="35"/>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E114" i="34"/>
  <c r="F114" i="34" s="1"/>
  <c r="G114" i="34" s="1"/>
  <c r="H114" i="34" s="1"/>
  <c r="I114" i="34" s="1"/>
  <c r="J114" i="34" s="1"/>
  <c r="K114" i="34" s="1"/>
  <c r="L114" i="34" s="1"/>
  <c r="M114" i="34" s="1"/>
  <c r="H36" i="34"/>
  <c r="U36" i="34"/>
  <c r="F37" i="34"/>
  <c r="AA37" i="34"/>
  <c r="F33" i="34"/>
  <c r="S33" i="34"/>
  <c r="F19" i="34"/>
  <c r="AA19" i="34" s="1"/>
  <c r="J10" i="34"/>
  <c r="AC10" i="34" s="1"/>
  <c r="J28" i="34"/>
  <c r="W28" i="34" s="1"/>
  <c r="S38" i="33"/>
  <c r="E113" i="33"/>
  <c r="F36" i="33"/>
  <c r="S36" i="33" s="1"/>
  <c r="F19" i="33"/>
  <c r="S19" i="33" s="1"/>
  <c r="J19" i="33"/>
  <c r="W40" i="33"/>
  <c r="G125" i="21"/>
  <c r="S22" i="35"/>
  <c r="H29" i="35"/>
  <c r="AB29" i="35" s="1"/>
  <c r="S34" i="37"/>
  <c r="AA34" i="37"/>
  <c r="AC43" i="34"/>
  <c r="AB40" i="34"/>
  <c r="W36" i="34"/>
  <c r="J19" i="34"/>
  <c r="AC19" i="34" s="1"/>
  <c r="F113" i="33"/>
  <c r="G113" i="33" s="1"/>
  <c r="H113" i="33"/>
  <c r="I113" i="33" s="1"/>
  <c r="J113" i="33" s="1"/>
  <c r="K113" i="33" s="1"/>
  <c r="L113" i="33" s="1"/>
  <c r="M113" i="33" s="1"/>
  <c r="H37" i="33"/>
  <c r="AB37" i="33" s="1"/>
  <c r="S37" i="33"/>
  <c r="AC42" i="34"/>
  <c r="W42" i="34"/>
  <c r="AA42" i="34"/>
  <c r="AC38" i="34"/>
  <c r="W38" i="34"/>
  <c r="AA38" i="34"/>
  <c r="S38" i="34"/>
  <c r="J37" i="33"/>
  <c r="W37" i="33" s="1"/>
  <c r="J42" i="21"/>
  <c r="J44" i="34"/>
  <c r="AC44" i="34" s="1"/>
  <c r="F44" i="34"/>
  <c r="S44" i="34" s="1"/>
  <c r="J10" i="35"/>
  <c r="W10" i="35" s="1"/>
  <c r="AL5" i="3"/>
  <c r="BQ13" i="3"/>
  <c r="J14" i="21"/>
  <c r="W14" i="21" s="1"/>
  <c r="J28" i="21"/>
  <c r="AC28" i="21" s="1"/>
  <c r="F30" i="21"/>
  <c r="S30" i="21" s="1"/>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W45" i="33" s="1"/>
  <c r="F45" i="33"/>
  <c r="S45" i="33" s="1"/>
  <c r="F11" i="35"/>
  <c r="S11" i="35" s="1"/>
  <c r="H28" i="36"/>
  <c r="U28" i="36" s="1"/>
  <c r="H32" i="36"/>
  <c r="AB32" i="36" s="1"/>
  <c r="J32" i="36"/>
  <c r="AC32" i="36" s="1"/>
  <c r="J11" i="36"/>
  <c r="W11" i="36"/>
  <c r="E89" i="37"/>
  <c r="F89" i="37"/>
  <c r="G89" i="37" s="1"/>
  <c r="H89" i="37"/>
  <c r="I89" i="37" s="1"/>
  <c r="J89" i="37" s="1"/>
  <c r="K89" i="37" s="1"/>
  <c r="L89" i="37" s="1"/>
  <c r="M89" i="37" s="1"/>
  <c r="J29" i="37"/>
  <c r="W29" i="37" s="1"/>
  <c r="F29" i="37"/>
  <c r="AA29" i="37" s="1"/>
  <c r="AB36" i="37"/>
  <c r="J37" i="37"/>
  <c r="AC37" i="37"/>
  <c r="H37" i="37"/>
  <c r="U37" i="37"/>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AB31" i="21"/>
  <c r="AB13" i="21"/>
  <c r="W31" i="34"/>
  <c r="S46" i="33"/>
  <c r="U36" i="37"/>
  <c r="AB45" i="33"/>
  <c r="AA27" i="33"/>
  <c r="S45" i="21"/>
  <c r="S19"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BA550" i="3"/>
  <c r="BA540" i="3"/>
  <c r="BA536" i="3"/>
  <c r="BA532" i="3"/>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U43" i="33" s="1"/>
  <c r="H17" i="37"/>
  <c r="U17" i="37" s="1"/>
  <c r="F23" i="37"/>
  <c r="F79" i="37"/>
  <c r="G79" i="37" s="1"/>
  <c r="F39" i="33"/>
  <c r="AA39" i="33" s="1"/>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12" i="35"/>
  <c r="W23" i="35"/>
  <c r="S27" i="37"/>
  <c r="AC8" i="37"/>
  <c r="AC36" i="34"/>
  <c r="AC37" i="33"/>
  <c r="AC45" i="33"/>
  <c r="U19" i="21"/>
  <c r="AC33" i="21"/>
  <c r="S39" i="33"/>
  <c r="F43" i="33"/>
  <c r="AA43" i="33"/>
  <c r="S10" i="35"/>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S31" i="37"/>
  <c r="H31" i="37"/>
  <c r="AB31" i="37"/>
  <c r="J15" i="37"/>
  <c r="W15" i="37"/>
  <c r="J11" i="37"/>
  <c r="W11" i="37"/>
  <c r="U31" i="37"/>
  <c r="U40" i="39"/>
  <c r="S27" i="31"/>
  <c r="AZ560" i="3"/>
  <c r="G483" i="3"/>
  <c r="G515" i="3"/>
  <c r="G507" i="3"/>
  <c r="G501" i="3"/>
  <c r="BA15" i="3"/>
  <c r="BL17" i="3"/>
  <c r="BL15" i="3"/>
  <c r="BA14" i="3"/>
  <c r="AZ14" i="3" s="1"/>
  <c r="J57" i="39"/>
  <c r="I4" i="4"/>
  <c r="K141" i="21"/>
  <c r="K143" i="21"/>
  <c r="K144" i="2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R16" i="4"/>
  <c r="P16" i="4"/>
  <c r="D3" i="35"/>
  <c r="G4" i="4"/>
  <c r="S37" i="34"/>
  <c r="J16" i="35"/>
  <c r="W16" i="35" s="1"/>
  <c r="U42" i="21"/>
  <c r="AC26" i="36"/>
  <c r="AZ354" i="3"/>
  <c r="H13" i="39"/>
  <c r="AB13" i="39"/>
  <c r="F13" i="39"/>
  <c r="J13" i="39"/>
  <c r="AC13" i="39" s="1"/>
  <c r="AA36" i="35"/>
  <c r="H11" i="37"/>
  <c r="AB11" i="37" s="1"/>
  <c r="W37" i="37"/>
  <c r="AA36" i="37"/>
  <c r="S42" i="33"/>
  <c r="U32" i="33"/>
  <c r="AZ516" i="3"/>
  <c r="AZ524" i="3"/>
  <c r="AZ532" i="3"/>
  <c r="AC29" i="33"/>
  <c r="AC11" i="36"/>
  <c r="AB45" i="34"/>
  <c r="W44" i="33"/>
  <c r="AC30" i="33"/>
  <c r="W30" i="33"/>
  <c r="AC29" i="37"/>
  <c r="W32" i="36"/>
  <c r="U28" i="33"/>
  <c r="AB28" i="33"/>
  <c r="J33" i="34"/>
  <c r="AC33" i="34" s="1"/>
  <c r="AB36" i="34"/>
  <c r="J40" i="34"/>
  <c r="W40" i="34"/>
  <c r="F16" i="35"/>
  <c r="AA16" i="35"/>
  <c r="W42" i="33"/>
  <c r="J35" i="34"/>
  <c r="W35" i="34"/>
  <c r="S30" i="36"/>
  <c r="H16" i="36"/>
  <c r="AB16" i="36" s="1"/>
  <c r="G103" i="37"/>
  <c r="H103" i="37" s="1"/>
  <c r="I103" i="37" s="1"/>
  <c r="J103" i="37" s="1"/>
  <c r="K103" i="37" s="1"/>
  <c r="L103" i="37" s="1"/>
  <c r="M103" i="37" s="1"/>
  <c r="H35" i="37"/>
  <c r="AB35" i="37"/>
  <c r="S26"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H32" i="37"/>
  <c r="AB32" i="37" s="1"/>
  <c r="F19" i="39"/>
  <c r="S19" i="39" s="1"/>
  <c r="H19" i="39"/>
  <c r="J19" i="39"/>
  <c r="W19" i="39" s="1"/>
  <c r="F43" i="39"/>
  <c r="AA43" i="39" s="1"/>
  <c r="H43" i="39"/>
  <c r="U43" i="39" s="1"/>
  <c r="J43" i="39"/>
  <c r="AC43" i="39" s="1"/>
  <c r="AC27" i="37"/>
  <c r="S45" i="34"/>
  <c r="U31" i="34"/>
  <c r="W27" i="33"/>
  <c r="AC45" i="21"/>
  <c r="S28" i="33"/>
  <c r="AA44" i="34"/>
  <c r="U29" i="35"/>
  <c r="AC19" i="33"/>
  <c r="W19" i="33"/>
  <c r="U43" i="34"/>
  <c r="AB43" i="34"/>
  <c r="AC34" i="37"/>
  <c r="S35" i="37"/>
  <c r="AA35" i="37"/>
  <c r="AB10" i="35"/>
  <c r="AA32" i="21"/>
  <c r="S32" i="21"/>
  <c r="U38" i="21"/>
  <c r="AB34" i="21"/>
  <c r="BA571" i="3"/>
  <c r="BL570" i="3"/>
  <c r="BE5" i="3"/>
  <c r="F42" i="21"/>
  <c r="AA42" i="21"/>
  <c r="AB40" i="33"/>
  <c r="U40" i="33"/>
  <c r="AA35" i="34"/>
  <c r="S35" i="34"/>
  <c r="E90" i="34"/>
  <c r="H27" i="34"/>
  <c r="AB27" i="34" s="1"/>
  <c r="AB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27" i="36"/>
  <c r="AB27" i="36"/>
  <c r="AA31" i="36"/>
  <c r="AC25" i="37"/>
  <c r="AC26" i="37"/>
  <c r="W26" i="37"/>
  <c r="AB29" i="37"/>
  <c r="AA30" i="37"/>
  <c r="AC30" i="37"/>
  <c r="AC31" i="37"/>
  <c r="W31" i="37"/>
  <c r="F17" i="39"/>
  <c r="AA17" i="39" s="1"/>
  <c r="H17" i="39"/>
  <c r="U17" i="39" s="1"/>
  <c r="J17" i="39"/>
  <c r="W17" i="39" s="1"/>
  <c r="F21" i="39"/>
  <c r="S21" i="39" s="1"/>
  <c r="H21" i="39"/>
  <c r="U21" i="39" s="1"/>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BB5" i="3"/>
  <c r="F36" i="44"/>
  <c r="H38" i="34"/>
  <c r="U38" i="34"/>
  <c r="AA36" i="34"/>
  <c r="AB33" i="21"/>
  <c r="S35" i="21"/>
  <c r="AB10" i="21"/>
  <c r="U8" i="21"/>
  <c r="AB8" i="21"/>
  <c r="S34" i="21"/>
  <c r="AC36" i="21"/>
  <c r="AB8" i="33"/>
  <c r="U8"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U31" i="36"/>
  <c r="S8" i="37"/>
  <c r="AA8" i="37"/>
  <c r="F23" i="39"/>
  <c r="AA23" i="39"/>
  <c r="F27" i="39"/>
  <c r="AA27" i="39" s="1"/>
  <c r="H27" i="39"/>
  <c r="AB27" i="39" s="1"/>
  <c r="J27" i="39"/>
  <c r="AC27" i="39"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AZ391" i="3"/>
  <c r="AZ399" i="3"/>
  <c r="AZ403" i="3"/>
  <c r="AZ407" i="3"/>
  <c r="AZ415" i="3"/>
  <c r="AZ423" i="3"/>
  <c r="AZ431" i="3"/>
  <c r="AZ439" i="3"/>
  <c r="AZ454" i="3"/>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AC47" i="39"/>
  <c r="AB25" i="39"/>
  <c r="U37" i="34"/>
  <c r="AB37" i="34"/>
  <c r="W27" i="39"/>
  <c r="S23" i="39"/>
  <c r="U23" i="35"/>
  <c r="AB23" i="35"/>
  <c r="H20" i="35"/>
  <c r="AB20" i="35" s="1"/>
  <c r="F20" i="35"/>
  <c r="S20" i="35"/>
  <c r="H15" i="34"/>
  <c r="AB15" i="34"/>
  <c r="J15" i="34"/>
  <c r="H41" i="33"/>
  <c r="U41" i="33" s="1"/>
  <c r="F121" i="33"/>
  <c r="G121" i="33" s="1"/>
  <c r="H121" i="33" s="1"/>
  <c r="I121" i="33" s="1"/>
  <c r="J121" i="33" s="1"/>
  <c r="K121" i="33" s="1"/>
  <c r="L121" i="33" s="1"/>
  <c r="M121" i="33" s="1"/>
  <c r="AB38" i="34"/>
  <c r="AZ537" i="3"/>
  <c r="AB37" i="39"/>
  <c r="U39" i="39"/>
  <c r="J29" i="39"/>
  <c r="AC29" i="39" s="1"/>
  <c r="AB21" i="39"/>
  <c r="AB17" i="39"/>
  <c r="AA11" i="36"/>
  <c r="AA14" i="35"/>
  <c r="S14" i="35"/>
  <c r="F33" i="37"/>
  <c r="S33" i="37" s="1"/>
  <c r="AB19" i="39"/>
  <c r="U19" i="39"/>
  <c r="AC30" i="34"/>
  <c r="W12" i="34"/>
  <c r="AC13" i="33"/>
  <c r="U17" i="34"/>
  <c r="AA11" i="34"/>
  <c r="H15" i="33"/>
  <c r="U15" i="33" s="1"/>
  <c r="AA11" i="33"/>
  <c r="AA40" i="21"/>
  <c r="U17" i="21"/>
  <c r="S13" i="39"/>
  <c r="AA13" i="39"/>
  <c r="W15" i="39"/>
  <c r="J37" i="34"/>
  <c r="AC37" i="34"/>
  <c r="J36" i="33"/>
  <c r="W36" i="33"/>
  <c r="U27" i="39"/>
  <c r="H23" i="39"/>
  <c r="AB23" i="39" s="1"/>
  <c r="J23" i="39"/>
  <c r="AC23" i="39" s="1"/>
  <c r="S15" i="34"/>
  <c r="AA15" i="34"/>
  <c r="AA41" i="33"/>
  <c r="AA34" i="33"/>
  <c r="J34" i="33"/>
  <c r="AC34" i="33"/>
  <c r="AA37" i="39"/>
  <c r="AC39" i="39"/>
  <c r="W39" i="39"/>
  <c r="AA39" i="39"/>
  <c r="S39" i="39"/>
  <c r="U34" i="39"/>
  <c r="AB29" i="39"/>
  <c r="AB46" i="39"/>
  <c r="AC33" i="39"/>
  <c r="W33" i="39"/>
  <c r="AA33" i="39"/>
  <c r="S33" i="39"/>
  <c r="S17" i="39"/>
  <c r="F80" i="35"/>
  <c r="G80" i="35" s="1"/>
  <c r="H80" i="35" s="1"/>
  <c r="I80" i="35" s="1"/>
  <c r="J80" i="35" s="1"/>
  <c r="K80" i="35" s="1"/>
  <c r="L80" i="35" s="1"/>
  <c r="M80" i="35" s="1"/>
  <c r="W14" i="35"/>
  <c r="F90" i="34"/>
  <c r="G90" i="34"/>
  <c r="H90" i="34" s="1"/>
  <c r="I90" i="34" s="1"/>
  <c r="J90" i="34" s="1"/>
  <c r="K90" i="34" s="1"/>
  <c r="L90" i="34" s="1"/>
  <c r="M90" i="34" s="1"/>
  <c r="F27" i="34"/>
  <c r="S27" i="34"/>
  <c r="W43" i="39"/>
  <c r="S43" i="39"/>
  <c r="F32" i="37"/>
  <c r="S32" i="37"/>
  <c r="AB11" i="35"/>
  <c r="U32" i="34"/>
  <c r="AC14" i="34"/>
  <c r="AB13" i="33"/>
  <c r="F17" i="34"/>
  <c r="AA17" i="34" s="1"/>
  <c r="J17" i="34"/>
  <c r="AC17" i="34" s="1"/>
  <c r="H11" i="34"/>
  <c r="AB11" i="34" s="1"/>
  <c r="J35" i="33"/>
  <c r="W35" i="33" s="1"/>
  <c r="S32" i="33"/>
  <c r="H11" i="33"/>
  <c r="U11" i="33" s="1"/>
  <c r="H10" i="33"/>
  <c r="U10" i="33" s="1"/>
  <c r="I66" i="33"/>
  <c r="J10" i="33"/>
  <c r="AC10" i="33"/>
  <c r="U40" i="21"/>
  <c r="U11" i="37"/>
  <c r="U13" i="39"/>
  <c r="AC16" i="35"/>
  <c r="J11" i="34"/>
  <c r="W11" i="34" s="1"/>
  <c r="S17" i="34"/>
  <c r="AC36" i="33"/>
  <c r="J11" i="33"/>
  <c r="W11" i="33" s="1"/>
  <c r="H33" i="37"/>
  <c r="AB33" i="37" s="1"/>
  <c r="W15" i="34"/>
  <c r="AC15" i="34"/>
  <c r="U20" i="35"/>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J20" i="36"/>
  <c r="AC20" i="36"/>
  <c r="F20" i="36"/>
  <c r="S20" i="36"/>
  <c r="F62" i="36"/>
  <c r="G62" i="36"/>
  <c r="J14" i="36"/>
  <c r="H14" i="36"/>
  <c r="AB14" i="36" s="1"/>
  <c r="F14" i="36"/>
  <c r="AA14" i="36"/>
  <c r="W20" i="36"/>
  <c r="U27" i="36"/>
  <c r="U32" i="36"/>
  <c r="AB12" i="36"/>
  <c r="AA27" i="36"/>
  <c r="S16" i="36"/>
  <c r="S29" i="36"/>
  <c r="AC33" i="35"/>
  <c r="U22" i="35"/>
  <c r="AC9" i="35"/>
  <c r="S8" i="35"/>
  <c r="U33" i="35"/>
  <c r="AA20" i="35"/>
  <c r="S23" i="35"/>
  <c r="S16" i="35"/>
  <c r="AB14" i="35"/>
  <c r="U9" i="35"/>
  <c r="AC18" i="35"/>
  <c r="W18" i="35"/>
  <c r="U18" i="35"/>
  <c r="AB18" i="35"/>
  <c r="S30" i="35"/>
  <c r="AB30" i="35"/>
  <c r="S27" i="35"/>
  <c r="S28" i="35"/>
  <c r="F26" i="35"/>
  <c r="S26" i="35" s="1"/>
  <c r="AB9" i="37"/>
  <c r="AA9" i="37"/>
  <c r="S17" i="37"/>
  <c r="AB37" i="37"/>
  <c r="AA31" i="37"/>
  <c r="AA33" i="37"/>
  <c r="AA32" i="37"/>
  <c r="J33" i="37"/>
  <c r="W33" i="37"/>
  <c r="J19" i="37"/>
  <c r="AC19" i="37" s="1"/>
  <c r="G75" i="37"/>
  <c r="F19" i="37"/>
  <c r="AA19" i="37"/>
  <c r="H19" i="37"/>
  <c r="J17" i="37"/>
  <c r="W17" i="37" s="1"/>
  <c r="AC10" i="37"/>
  <c r="AC21" i="37"/>
  <c r="W21" i="37"/>
  <c r="AC11" i="37"/>
  <c r="AC9" i="37"/>
  <c r="W32" i="37"/>
  <c r="U35" i="37"/>
  <c r="AB25" i="37"/>
  <c r="AB21" i="37"/>
  <c r="U21" i="37"/>
  <c r="S37" i="37"/>
  <c r="AA11" i="37"/>
  <c r="S10" i="37"/>
  <c r="AC45" i="34"/>
  <c r="AA40" i="34"/>
  <c r="W33" i="34"/>
  <c r="S32" i="34"/>
  <c r="AA12" i="34"/>
  <c r="AC35" i="34"/>
  <c r="AA30" i="34"/>
  <c r="AA33" i="34"/>
  <c r="U44" i="34"/>
  <c r="U34" i="34"/>
  <c r="AA27" i="34"/>
  <c r="J25" i="34"/>
  <c r="H25" i="34"/>
  <c r="AB25" i="34" s="1"/>
  <c r="F25" i="34"/>
  <c r="J23" i="34"/>
  <c r="W23" i="34" s="1"/>
  <c r="F86" i="34"/>
  <c r="G86" i="34"/>
  <c r="F23" i="34"/>
  <c r="H23" i="34"/>
  <c r="AB23" i="34" s="1"/>
  <c r="AC11" i="34"/>
  <c r="W10" i="34"/>
  <c r="U10" i="34"/>
  <c r="W37" i="34"/>
  <c r="AC40" i="34"/>
  <c r="W44" i="34"/>
  <c r="W29" i="34"/>
  <c r="AC21" i="34"/>
  <c r="W21" i="34"/>
  <c r="U15" i="34"/>
  <c r="AB21" i="34"/>
  <c r="U21" i="34"/>
  <c r="U27" i="34"/>
  <c r="U19" i="34"/>
  <c r="AB41" i="34"/>
  <c r="S13" i="34"/>
  <c r="AA41" i="34"/>
  <c r="S10" i="34"/>
  <c r="U39" i="33"/>
  <c r="U37" i="33"/>
  <c r="W34" i="33"/>
  <c r="AC12" i="33"/>
  <c r="AB11" i="33"/>
  <c r="U36" i="33"/>
  <c r="S29" i="33"/>
  <c r="W43" i="33"/>
  <c r="U46" i="33"/>
  <c r="W39" i="33"/>
  <c r="U35" i="33"/>
  <c r="AB34" i="33"/>
  <c r="H25" i="33"/>
  <c r="AB25" i="33"/>
  <c r="J25" i="33"/>
  <c r="W25" i="33"/>
  <c r="F25" i="33"/>
  <c r="F85" i="33"/>
  <c r="G85" i="33" s="1"/>
  <c r="J23" i="33"/>
  <c r="AC23" i="33" s="1"/>
  <c r="F23" i="33"/>
  <c r="H23" i="33"/>
  <c r="AB23" i="33" s="1"/>
  <c r="F79" i="33"/>
  <c r="G79" i="33" s="1"/>
  <c r="F17" i="33"/>
  <c r="S17" i="33" s="1"/>
  <c r="H17" i="33"/>
  <c r="J17" i="33"/>
  <c r="AC17" i="33" s="1"/>
  <c r="AC11" i="33"/>
  <c r="S14" i="33"/>
  <c r="W10" i="33"/>
  <c r="AC21" i="33"/>
  <c r="W21" i="33"/>
  <c r="W14" i="33"/>
  <c r="U25" i="33"/>
  <c r="AB21" i="33"/>
  <c r="U21" i="33"/>
  <c r="AA21" i="33"/>
  <c r="S21" i="33"/>
  <c r="AA44" i="33"/>
  <c r="AA36" i="33"/>
  <c r="W39" i="21"/>
  <c r="AC34" i="21"/>
  <c r="W32" i="21"/>
  <c r="W43" i="21"/>
  <c r="AA37" i="21"/>
  <c r="S42" i="21"/>
  <c r="AB37" i="21"/>
  <c r="AB32"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AC19" i="21"/>
  <c r="W10" i="21"/>
  <c r="AC38" i="21"/>
  <c r="AB21" i="21"/>
  <c r="U21" i="21"/>
  <c r="AB29" i="21"/>
  <c r="AA30" i="21"/>
  <c r="AA31" i="21"/>
  <c r="W13" i="39"/>
  <c r="S11" i="39"/>
  <c r="AB45" i="39"/>
  <c r="AA21" i="39"/>
  <c r="AC19" i="39"/>
  <c r="W29" i="39"/>
  <c r="S29" i="39"/>
  <c r="AC21" i="39"/>
  <c r="AC17" i="39"/>
  <c r="AB15" i="39"/>
  <c r="U11" i="39"/>
  <c r="U41" i="39"/>
  <c r="U31" i="39"/>
  <c r="AB31" i="39"/>
  <c r="S25" i="39"/>
  <c r="S22" i="31"/>
  <c r="B20" i="31" s="1"/>
  <c r="M20" i="15"/>
  <c r="A18" i="64"/>
  <c r="B74" i="63" s="1"/>
  <c r="C53" i="10"/>
  <c r="A25" i="64" s="1"/>
  <c r="A18" i="51"/>
  <c r="B14" i="63"/>
  <c r="BA16" i="3"/>
  <c r="BA17" i="3"/>
  <c r="AZ17" i="3" s="1"/>
  <c r="F3" i="35"/>
  <c r="K1" i="43"/>
  <c r="K1" i="12"/>
  <c r="G1" i="44"/>
  <c r="I4" i="6"/>
  <c r="G3" i="46" s="1"/>
  <c r="AZ15" i="3"/>
  <c r="BK5" i="3"/>
  <c r="BP5" i="3"/>
  <c r="BL18" i="3"/>
  <c r="BC5" i="3"/>
  <c r="BR5" i="3"/>
  <c r="BQ5" i="3"/>
  <c r="F28" i="6" s="1"/>
  <c r="BL16" i="3"/>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C51" i="10"/>
  <c r="I100" i="46"/>
  <c r="C24" i="46"/>
  <c r="N100" i="46"/>
  <c r="H100" i="46"/>
  <c r="F108" i="46"/>
  <c r="H80" i="46"/>
  <c r="B45" i="46"/>
  <c r="E100" i="46"/>
  <c r="G100" i="46"/>
  <c r="H84" i="46"/>
  <c r="C100" i="46"/>
  <c r="J100" i="46"/>
  <c r="M100" i="46"/>
  <c r="AA12" i="36"/>
  <c r="U12" i="35"/>
  <c r="AB12" i="35"/>
  <c r="W11" i="35"/>
  <c r="AA11" i="35"/>
  <c r="U13" i="37"/>
  <c r="S13" i="21"/>
  <c r="C24" i="9"/>
  <c r="C25" i="9"/>
  <c r="L5" i="54"/>
  <c r="B39" i="63"/>
  <c r="K5" i="54"/>
  <c r="B38" i="63"/>
  <c r="T41" i="4"/>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22" i="36"/>
  <c r="U10" i="36"/>
  <c r="W29" i="36"/>
  <c r="W8" i="36"/>
  <c r="AC30" i="35"/>
  <c r="U24" i="35"/>
  <c r="W32" i="35"/>
  <c r="S24" i="35"/>
  <c r="AA33" i="35"/>
  <c r="U32" i="35"/>
  <c r="W22" i="35"/>
  <c r="S32" i="35"/>
  <c r="W35" i="37"/>
  <c r="AC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5" i="21"/>
  <c r="AC37" i="21"/>
  <c r="AA29" i="21"/>
  <c r="U27" i="21"/>
  <c r="W31" i="21"/>
  <c r="S27" i="21"/>
  <c r="AC27" i="21"/>
  <c r="W29" i="21"/>
  <c r="G104" i="39"/>
  <c r="J31" i="39"/>
  <c r="S45" i="39"/>
  <c r="AB43" i="39"/>
  <c r="AC46" i="39"/>
  <c r="S34" i="39"/>
  <c r="W42" i="39"/>
  <c r="W36" i="39"/>
  <c r="W23" i="39"/>
  <c r="S15" i="39"/>
  <c r="W45" i="39"/>
  <c r="AA44" i="39"/>
  <c r="W34" i="39"/>
  <c r="W10" i="39"/>
  <c r="W11" i="39"/>
  <c r="U42" i="39"/>
  <c r="W40" i="39"/>
  <c r="C27" i="39"/>
  <c r="C17" i="39"/>
  <c r="C19" i="39"/>
  <c r="C21" i="39"/>
  <c r="B48" i="46"/>
  <c r="B51" i="46"/>
  <c r="B55" i="46"/>
  <c r="B59" i="46"/>
  <c r="B62" i="46"/>
  <c r="B66" i="46"/>
  <c r="B53" i="46"/>
  <c r="B64" i="46"/>
  <c r="D24" i="15"/>
  <c r="S14" i="36"/>
  <c r="AB20" i="36"/>
  <c r="AA20" i="36"/>
  <c r="AC14" i="36"/>
  <c r="W14" i="36"/>
  <c r="U14" i="36"/>
  <c r="U18" i="36"/>
  <c r="AA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W31" i="39"/>
  <c r="AC31" i="39"/>
  <c r="R22" i="31"/>
  <c r="B21" i="31" s="1"/>
  <c r="A17" i="51"/>
  <c r="B13" i="63"/>
  <c r="AT6" i="3"/>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H58" i="46"/>
  <c r="J17" i="46"/>
  <c r="C17" i="46"/>
  <c r="F34" i="46"/>
  <c r="F38" i="46"/>
  <c r="F37" i="46"/>
  <c r="H113" i="46"/>
  <c r="H53" i="46"/>
  <c r="D24" i="59"/>
  <c r="C23" i="59"/>
  <c r="D23" i="59" s="1"/>
  <c r="U21" i="59"/>
  <c r="F24" i="59"/>
  <c r="F23" i="59"/>
  <c r="F22" i="59" s="1"/>
  <c r="F21" i="59" s="1"/>
  <c r="H1" i="65"/>
  <c r="X7" i="46"/>
  <c r="E17" i="46"/>
  <c r="N17" i="46"/>
  <c r="O17" i="46"/>
  <c r="M17" i="46"/>
  <c r="L17" i="46"/>
  <c r="P13" i="1"/>
  <c r="P12" i="1"/>
  <c r="H50" i="46"/>
  <c r="F35" i="46"/>
  <c r="I17" i="46"/>
  <c r="H63" i="46"/>
  <c r="H64" i="46"/>
  <c r="H66" i="46"/>
  <c r="D100" i="46"/>
  <c r="H62" i="46"/>
  <c r="AF12" i="46"/>
  <c r="K100" i="46"/>
  <c r="AB12" i="46"/>
  <c r="AJ12" i="46"/>
  <c r="H60" i="46"/>
  <c r="H59" i="46"/>
  <c r="H65" i="46"/>
  <c r="H55" i="46"/>
  <c r="H52" i="46"/>
  <c r="AD12" i="46"/>
  <c r="AH12" i="46"/>
  <c r="C22" i="59"/>
  <c r="C21" i="59" s="1"/>
  <c r="B22" i="59"/>
  <c r="B21" i="59" s="1"/>
  <c r="D22" i="59"/>
  <c r="B11" i="67"/>
  <c r="B8" i="67"/>
  <c r="F38" i="44"/>
  <c r="F14" i="67"/>
  <c r="L47" i="15"/>
  <c r="J5" i="65"/>
  <c r="F10" i="44"/>
  <c r="E13" i="67"/>
  <c r="M30" i="44"/>
  <c r="J17" i="44"/>
  <c r="F43" i="44"/>
  <c r="B12" i="67"/>
  <c r="F16" i="15"/>
  <c r="F8" i="67"/>
  <c r="J4" i="65"/>
  <c r="E12" i="67"/>
  <c r="M25" i="44"/>
  <c r="F9" i="44"/>
  <c r="N4" i="65"/>
  <c r="M9" i="15"/>
  <c r="B14" i="67"/>
  <c r="F11" i="44"/>
  <c r="E8" i="67"/>
  <c r="F12" i="67"/>
  <c r="L48" i="15"/>
  <c r="F13" i="15"/>
  <c r="N7" i="65"/>
  <c r="M24" i="44"/>
  <c r="F15" i="44"/>
  <c r="N5" i="65"/>
  <c r="F39" i="44"/>
  <c r="J3" i="65"/>
  <c r="I4" i="65"/>
  <c r="M28" i="44"/>
  <c r="F28" i="44"/>
  <c r="E11" i="67"/>
  <c r="F45" i="44"/>
  <c r="I5" i="65"/>
  <c r="M28" i="15"/>
  <c r="I6" i="65"/>
  <c r="F9" i="67"/>
  <c r="M31" i="44"/>
  <c r="L48" i="44"/>
  <c r="M29" i="44"/>
  <c r="F8" i="44"/>
  <c r="B13" i="67"/>
  <c r="J15" i="15"/>
  <c r="F46" i="44"/>
  <c r="F18" i="44"/>
  <c r="F40" i="44"/>
  <c r="M23" i="15"/>
  <c r="M8" i="44"/>
  <c r="E10" i="67"/>
  <c r="I7" i="65"/>
  <c r="F13" i="67"/>
  <c r="N3" i="65"/>
  <c r="F38" i="15"/>
  <c r="B9" i="67"/>
  <c r="N6" i="65"/>
  <c r="J6" i="65"/>
  <c r="M29" i="15"/>
  <c r="L49" i="44"/>
  <c r="E9" i="67"/>
  <c r="F10" i="67"/>
  <c r="J36" i="15"/>
  <c r="E14" i="67"/>
  <c r="M11" i="44"/>
  <c r="M8" i="15"/>
  <c r="B10" i="67"/>
  <c r="M10" i="44"/>
  <c r="M26" i="44"/>
  <c r="F7" i="15"/>
  <c r="F11" i="67"/>
  <c r="F37" i="15"/>
  <c r="D24" i="44" l="1"/>
  <c r="M43" i="9"/>
  <c r="D18" i="9"/>
  <c r="M44" i="9" s="1"/>
  <c r="G11" i="1"/>
  <c r="A4" i="51"/>
  <c r="B6" i="63" s="1"/>
  <c r="U30" i="21"/>
  <c r="AB30" i="21"/>
  <c r="S14" i="39"/>
  <c r="AA14" i="39"/>
  <c r="AA16" i="39"/>
  <c r="S16" i="39"/>
  <c r="AC26" i="35"/>
  <c r="W26" i="35"/>
  <c r="AZ556" i="3"/>
  <c r="AZ535" i="3"/>
  <c r="AZ531" i="3"/>
  <c r="AZ19" i="3"/>
  <c r="E29" i="6"/>
  <c r="K15" i="1" s="1"/>
  <c r="F30" i="6"/>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W28" i="33"/>
  <c r="AC28" i="33"/>
  <c r="BA572" i="3"/>
  <c r="AZ572" i="3" s="1"/>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BL534" i="3"/>
  <c r="AZ534" i="3" s="1"/>
  <c r="BA528" i="3"/>
  <c r="AZ528" i="3" s="1"/>
  <c r="BL527" i="3"/>
  <c r="AZ527" i="3" s="1"/>
  <c r="BA521" i="3"/>
  <c r="AZ521" i="3" s="1"/>
  <c r="BA520" i="3"/>
  <c r="AZ520" i="3" s="1"/>
  <c r="BL511" i="3"/>
  <c r="AZ511" i="3" s="1"/>
  <c r="BL503" i="3"/>
  <c r="AZ503" i="3" s="1"/>
  <c r="BA488" i="3"/>
  <c r="AZ488" i="3" s="1"/>
  <c r="BA487" i="3"/>
  <c r="AZ487" i="3" s="1"/>
  <c r="BL20" i="3"/>
  <c r="AZ20" i="3" s="1"/>
  <c r="H47" i="46"/>
  <c r="H54" i="46"/>
  <c r="H48" i="46"/>
  <c r="H51" i="46"/>
  <c r="I14" i="66"/>
  <c r="B8" i="66" s="1"/>
  <c r="R7" i="54"/>
  <c r="B52" i="63" s="1"/>
  <c r="W19" i="37"/>
  <c r="AA46" i="39"/>
  <c r="S41" i="39"/>
  <c r="W25" i="39"/>
  <c r="AC37" i="39"/>
  <c r="AB33" i="39"/>
  <c r="W41" i="39"/>
  <c r="AA15" i="21"/>
  <c r="S39" i="21"/>
  <c r="U33" i="37"/>
  <c r="W34" i="35"/>
  <c r="AA32" i="36"/>
  <c r="U16" i="36"/>
  <c r="S38" i="39"/>
  <c r="U23"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U29"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4" i="35"/>
  <c r="S39" i="37"/>
  <c r="AA39" i="37"/>
  <c r="H12" i="21"/>
  <c r="AC8" i="21"/>
  <c r="W8" i="21"/>
  <c r="W40" i="21"/>
  <c r="AC40" i="21"/>
  <c r="S36" i="21"/>
  <c r="AA36" i="21"/>
  <c r="BA570" i="3"/>
  <c r="AZ570" i="3" s="1"/>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408" i="3"/>
  <c r="AZ235" i="3"/>
  <c r="AZ251" i="3"/>
  <c r="H5" i="3"/>
  <c r="BH5" i="3"/>
  <c r="BF5" i="3"/>
  <c r="G553" i="3"/>
  <c r="G548" i="3"/>
  <c r="G527" i="3"/>
  <c r="G519" i="3"/>
  <c r="G503" i="3"/>
  <c r="G495" i="3"/>
  <c r="G486" i="3"/>
  <c r="AZ318" i="3"/>
  <c r="AZ350" i="3"/>
  <c r="AZ208" i="3"/>
  <c r="AZ211" i="3"/>
  <c r="AZ224" i="3"/>
  <c r="AZ227" i="3"/>
  <c r="AZ243" i="3"/>
  <c r="AZ256" i="3"/>
  <c r="AZ259" i="3"/>
  <c r="AZ275" i="3"/>
  <c r="AZ279" i="3"/>
  <c r="AZ296" i="3"/>
  <c r="AZ125" i="3"/>
  <c r="AZ128" i="3"/>
  <c r="AZ141" i="3"/>
  <c r="AZ144" i="3"/>
  <c r="A30" i="64"/>
  <c r="A30" i="51"/>
  <c r="B22" i="63" s="1"/>
  <c r="AZ149" i="3"/>
  <c r="AZ160" i="3"/>
  <c r="AZ163" i="3"/>
  <c r="AZ176" i="3"/>
  <c r="AZ182" i="3"/>
  <c r="AZ190" i="3"/>
  <c r="AZ198" i="3"/>
  <c r="AZ204" i="3"/>
  <c r="AZ26" i="3"/>
  <c r="AZ29" i="3"/>
  <c r="AZ65" i="3"/>
  <c r="AZ68" i="3"/>
  <c r="AZ37" i="3"/>
  <c r="AZ41" i="3"/>
  <c r="AZ44" i="3"/>
  <c r="AZ50" i="3"/>
  <c r="AZ53" i="3"/>
  <c r="AZ60" i="3"/>
  <c r="AZ76" i="3"/>
  <c r="AZ80" i="3"/>
  <c r="AZ83" i="3"/>
  <c r="AZ96" i="3"/>
  <c r="AZ100" i="3"/>
  <c r="AZ103" i="3"/>
  <c r="AZ105" i="3"/>
  <c r="D1" i="57"/>
  <c r="E10" i="57" s="1"/>
  <c r="O67" i="59"/>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F31" i="6" s="1"/>
  <c r="AP7" i="1"/>
  <c r="G9" i="1"/>
  <c r="G10" i="1"/>
  <c r="K17" i="4"/>
  <c r="A22" i="51" s="1"/>
  <c r="B16" i="63" s="1"/>
  <c r="Q16" i="1"/>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J109" i="46"/>
  <c r="J105" i="46"/>
  <c r="J104" i="46"/>
  <c r="M104" i="46"/>
  <c r="D21" i="12"/>
  <c r="C21" i="12" s="1"/>
  <c r="O8" i="1"/>
  <c r="P8" i="1" s="1"/>
  <c r="O6" i="1"/>
  <c r="BL5" i="3"/>
  <c r="AZ13" i="3"/>
  <c r="E14" i="6"/>
  <c r="E13" i="6"/>
  <c r="E10" i="6"/>
  <c r="M105" i="46"/>
  <c r="M102" i="46"/>
  <c r="M106" i="46"/>
  <c r="M109" i="46"/>
  <c r="M103" i="46"/>
  <c r="C5" i="46"/>
  <c r="AP16" i="1"/>
  <c r="F22" i="11" s="1"/>
  <c r="K77" i="9"/>
  <c r="K79" i="9" s="1"/>
  <c r="K81" i="9" s="1"/>
  <c r="E12" i="52"/>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E20" i="46"/>
  <c r="Q73" i="44"/>
  <c r="F65" i="15"/>
  <c r="C29" i="44"/>
  <c r="C8" i="44"/>
  <c r="J1" i="65"/>
  <c r="C27" i="15"/>
  <c r="F64"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C4" i="65"/>
  <c r="B39" i="1" s="1"/>
  <c r="C16" i="15"/>
  <c r="I3" i="65"/>
  <c r="M22" i="15"/>
  <c r="E3" i="65"/>
  <c r="F9" i="15"/>
  <c r="F42" i="15"/>
  <c r="F8" i="15"/>
  <c r="M26" i="15"/>
  <c r="F36" i="15"/>
  <c r="F43" i="15"/>
  <c r="M27" i="15"/>
  <c r="C18" i="44"/>
  <c r="M6" i="15"/>
  <c r="C15" i="43"/>
  <c r="M24" i="15"/>
  <c r="F6" i="15"/>
  <c r="J7" i="65"/>
  <c r="C102" i="46" l="1"/>
  <c r="F31" i="15"/>
  <c r="C6" i="15"/>
  <c r="F70" i="15"/>
  <c r="I1" i="65"/>
  <c r="F50" i="15"/>
  <c r="C48" i="15" s="1"/>
  <c r="F67" i="15"/>
  <c r="F63" i="15"/>
  <c r="E28" i="6"/>
  <c r="G30" i="6"/>
  <c r="G31" i="6" s="1"/>
  <c r="M17" i="15"/>
  <c r="AZ5" i="3"/>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E27" i="6" s="1"/>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E50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F33" i="12"/>
  <c r="C34" i="12" s="1"/>
  <c r="D33" i="12" s="1"/>
  <c r="C107" i="46"/>
  <c r="F7" i="37"/>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S2" i="46" s="1"/>
  <c r="D109" i="46"/>
  <c r="D107" i="46"/>
  <c r="D103" i="46"/>
  <c r="D105" i="46"/>
  <c r="D104" i="46"/>
  <c r="H102" i="46"/>
  <c r="H103" i="46"/>
  <c r="H107" i="46"/>
  <c r="H109" i="46"/>
  <c r="H106" i="46"/>
  <c r="H105" i="46"/>
  <c r="H104" i="46"/>
  <c r="C109" i="46"/>
  <c r="C104" i="46"/>
  <c r="C106" i="46"/>
  <c r="C103" i="46"/>
  <c r="F106" i="46"/>
  <c r="F109" i="46"/>
  <c r="F102" i="46"/>
  <c r="F107" i="46"/>
  <c r="F103" i="46"/>
  <c r="E16" i="6"/>
  <c r="E66" i="39"/>
  <c r="E62" i="39"/>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4" i="39"/>
  <c r="E3" i="6"/>
  <c r="AY6" i="3"/>
  <c r="P6" i="1"/>
  <c r="E65" i="39"/>
  <c r="M19" i="44"/>
  <c r="C19" i="46"/>
  <c r="F17" i="11"/>
  <c r="L47" i="44"/>
  <c r="Q62" i="15"/>
  <c r="Q75" i="15"/>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J6" i="15"/>
  <c r="E2" i="65"/>
  <c r="D16" i="43"/>
  <c r="AE6" i="1"/>
  <c r="C32" i="15" l="1"/>
  <c r="S5" i="46"/>
  <c r="S7" i="46"/>
  <c r="C23" i="46"/>
  <c r="C21" i="46" s="1"/>
  <c r="S6" i="46"/>
  <c r="S4" i="46"/>
  <c r="S3" i="46"/>
  <c r="B40" i="1"/>
  <c r="D20" i="43" s="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H6" i="3" s="1"/>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E31" i="6" s="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U12" i="39"/>
  <c r="J12" i="39"/>
  <c r="AC12" i="39" s="1"/>
  <c r="F12" i="39"/>
  <c r="S12" i="39" s="1"/>
  <c r="AB7" i="37"/>
  <c r="T42" i="37" s="1"/>
  <c r="G42" i="37" s="1"/>
  <c r="E71" i="39"/>
  <c r="F69" i="39"/>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F41" i="15"/>
  <c r="F68" i="15" l="1"/>
  <c r="F26" i="12"/>
  <c r="W12" i="39"/>
  <c r="AA12" i="39"/>
  <c r="AC6" i="3"/>
  <c r="F26" i="44"/>
  <c r="C26" i="44" s="1"/>
  <c r="C24" i="15"/>
  <c r="M14" i="1"/>
  <c r="K16" i="1"/>
  <c r="C11" i="11" s="1"/>
  <c r="C10" i="11" s="1"/>
  <c r="S6" i="1"/>
  <c r="K27" i="6"/>
  <c r="M19" i="6"/>
  <c r="E6" i="3"/>
  <c r="E8" i="59"/>
  <c r="E7" i="59" s="1"/>
  <c r="E6" i="59" s="1"/>
  <c r="E5" i="59" s="1"/>
  <c r="U9" i="59"/>
  <c r="B8" i="59"/>
  <c r="B7" i="59" s="1"/>
  <c r="B6" i="59" s="1"/>
  <c r="B5" i="59" s="1"/>
  <c r="S9" i="59"/>
  <c r="F8" i="59"/>
  <c r="F7" i="59" s="1"/>
  <c r="F6" i="59" s="1"/>
  <c r="F5" i="59" s="1"/>
  <c r="V9" i="59"/>
  <c r="T37" i="59"/>
  <c r="D37" i="59"/>
  <c r="D18" i="59"/>
  <c r="C1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D22" i="12"/>
  <c r="C22" i="12" s="1"/>
  <c r="C20" i="12" s="1"/>
  <c r="D19" i="12"/>
  <c r="C19" i="12" s="1"/>
  <c r="C16" i="12"/>
  <c r="C65" i="15"/>
  <c r="C59" i="15"/>
  <c r="C27" i="12"/>
  <c r="D26" i="12" s="1"/>
  <c r="C32" i="12" s="1"/>
  <c r="D30" i="12" s="1"/>
  <c r="J26" i="15"/>
  <c r="J29" i="15" s="1"/>
  <c r="J24" i="15"/>
  <c r="C38" i="15"/>
  <c r="Q58" i="44"/>
  <c r="Q67" i="44"/>
  <c r="Q49" i="44"/>
  <c r="Q55" i="44" s="1"/>
  <c r="C17" i="15"/>
  <c r="F7" i="67"/>
  <c r="C19" i="44"/>
  <c r="I19" i="6" l="1"/>
  <c r="M27" i="6"/>
  <c r="S16" i="1"/>
  <c r="T8" i="1" s="1"/>
  <c r="C18" i="11"/>
  <c r="C17" i="11"/>
  <c r="O14" i="1"/>
  <c r="O16" i="1" s="1"/>
  <c r="M16" i="1"/>
  <c r="T9" i="1"/>
  <c r="T11" i="1"/>
  <c r="T7" i="1"/>
  <c r="T12" i="1"/>
  <c r="T13" i="1"/>
  <c r="T10" i="1"/>
  <c r="T6" i="1"/>
  <c r="C16" i="59"/>
  <c r="T17" i="59"/>
  <c r="D17" i="59"/>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C14" i="15"/>
  <c r="C16" i="44"/>
  <c r="B7" i="67"/>
  <c r="E7" i="67"/>
  <c r="C19" i="11" l="1"/>
  <c r="C20" i="11" s="1"/>
  <c r="C21" i="11" s="1"/>
  <c r="C22" i="11" s="1"/>
  <c r="C23" i="11" s="1"/>
  <c r="B2" i="11" s="1"/>
  <c r="B5" i="11" s="1"/>
  <c r="P14" i="1"/>
  <c r="P16" i="1" s="1"/>
  <c r="C13" i="12" s="1"/>
  <c r="C14" i="12" s="1"/>
  <c r="C17" i="44"/>
  <c r="C20" i="44"/>
  <c r="C18" i="15"/>
  <c r="C15" i="15"/>
  <c r="AA7" i="34"/>
  <c r="R49" i="34" s="1"/>
  <c r="L16" i="1"/>
  <c r="N16" i="1"/>
  <c r="T16" i="1"/>
  <c r="I27" i="6"/>
  <c r="H19" i="6"/>
  <c r="S19" i="6"/>
  <c r="S27" i="6" s="1"/>
  <c r="C15" i="59"/>
  <c r="D16" i="59"/>
  <c r="AB7" i="34"/>
  <c r="T49" i="34" s="1"/>
  <c r="G49" i="34" s="1"/>
  <c r="I69" i="39"/>
  <c r="H71" i="39"/>
  <c r="G52" i="33"/>
  <c r="H52" i="33" s="1"/>
  <c r="G53" i="33"/>
  <c r="H53" i="33" s="1"/>
  <c r="R50" i="34"/>
  <c r="E49" i="34"/>
  <c r="R49" i="33"/>
  <c r="E48" i="33"/>
  <c r="R49" i="21"/>
  <c r="E48" i="21"/>
  <c r="W7" i="34"/>
  <c r="AC7" i="34"/>
  <c r="V49" i="34" s="1"/>
  <c r="I49" i="34" s="1"/>
  <c r="G53" i="34"/>
  <c r="H53" i="34" s="1"/>
  <c r="D31" i="6"/>
  <c r="E3" i="67"/>
  <c r="B2" i="67"/>
  <c r="D4" i="46"/>
  <c r="B3" i="46"/>
  <c r="B4" i="46"/>
  <c r="M23" i="44"/>
  <c r="F35" i="15"/>
  <c r="M21" i="15"/>
  <c r="F37" i="44"/>
  <c r="C13" i="43"/>
  <c r="F22" i="43"/>
  <c r="B3" i="11" l="1"/>
  <c r="B4" i="11"/>
  <c r="C5" i="69" s="1"/>
  <c r="E4" i="69" s="1"/>
  <c r="D10" i="69" s="1"/>
  <c r="F10" i="69" s="1"/>
  <c r="C17" i="12"/>
  <c r="C18" i="12" s="1"/>
  <c r="C21" i="44"/>
  <c r="C22" i="44" s="1"/>
  <c r="C28" i="44" s="1"/>
  <c r="C19" i="15"/>
  <c r="C20" i="15" s="1"/>
  <c r="C23" i="15" s="1"/>
  <c r="R19" i="6"/>
  <c r="H27" i="6"/>
  <c r="C14" i="43"/>
  <c r="C17" i="43"/>
  <c r="D15" i="59"/>
  <c r="C14" i="59"/>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F4" i="69" l="1"/>
  <c r="D17" i="69"/>
  <c r="D23" i="69" s="1"/>
  <c r="R27" i="6"/>
  <c r="R6" i="1"/>
  <c r="R16" i="1" s="1"/>
  <c r="C18" i="43"/>
  <c r="C19" i="43" s="1"/>
  <c r="C21" i="43" s="1"/>
  <c r="C26" i="15"/>
  <c r="C29" i="15" s="1"/>
  <c r="Q50" i="15" s="1"/>
  <c r="C25" i="44"/>
  <c r="C31" i="44" s="1"/>
  <c r="C35" i="44" s="1"/>
  <c r="C33" i="44" s="1"/>
  <c r="C23" i="12"/>
  <c r="C35" i="12" s="1"/>
  <c r="C33" i="12" s="1"/>
  <c r="C13" i="59"/>
  <c r="D14" i="59"/>
  <c r="C33" i="15"/>
  <c r="C31" i="15" s="1"/>
  <c r="K69" i="39"/>
  <c r="J71" i="39"/>
  <c r="D18" i="69" l="1"/>
  <c r="D19" i="69" s="1"/>
  <c r="J19" i="15"/>
  <c r="J17" i="15" s="1"/>
  <c r="C56" i="15"/>
  <c r="C63" i="15" s="1"/>
  <c r="C36" i="15"/>
  <c r="J14" i="15"/>
  <c r="J22" i="15" s="1"/>
  <c r="J59" i="15"/>
  <c r="J60" i="15" s="1"/>
  <c r="Q49" i="15" s="1"/>
  <c r="Q51" i="44"/>
  <c r="C13" i="15"/>
  <c r="C37" i="15" s="1"/>
  <c r="C30" i="15" s="1"/>
  <c r="C39" i="15" s="1"/>
  <c r="Q70" i="15" s="1"/>
  <c r="C15" i="44"/>
  <c r="C38" i="44"/>
  <c r="J16" i="44"/>
  <c r="J21" i="44"/>
  <c r="J19" i="44" s="1"/>
  <c r="C20" i="43"/>
  <c r="C23" i="43" s="1"/>
  <c r="C28" i="12"/>
  <c r="C26" i="12" s="1"/>
  <c r="C31" i="12" s="1"/>
  <c r="C30" i="12" s="1"/>
  <c r="C36" i="12" s="1"/>
  <c r="B2" i="12" s="1"/>
  <c r="B3" i="12" s="1"/>
  <c r="C12" i="59"/>
  <c r="T13" i="59"/>
  <c r="D13" i="59"/>
  <c r="K71" i="39"/>
  <c r="L69" i="39"/>
  <c r="C60" i="15"/>
  <c r="C58" i="15" s="1"/>
  <c r="C19" i="9"/>
  <c r="L51" i="15"/>
  <c r="D19" i="9"/>
  <c r="J13" i="15" l="1"/>
  <c r="J23" i="15" s="1"/>
  <c r="J16" i="15" s="1"/>
  <c r="J25" i="15" s="1"/>
  <c r="L44" i="9"/>
  <c r="G19" i="9"/>
  <c r="L43" i="9"/>
  <c r="D22" i="9"/>
  <c r="C55" i="15"/>
  <c r="C64" i="15" s="1"/>
  <c r="C57" i="15" s="1"/>
  <c r="C66" i="15" s="1"/>
  <c r="C67" i="15" s="1"/>
  <c r="C70" i="15" s="1"/>
  <c r="J35" i="15"/>
  <c r="J39" i="15" s="1"/>
  <c r="J40" i="15" s="1"/>
  <c r="Q71" i="15"/>
  <c r="Q69" i="15" s="1"/>
  <c r="J24" i="44"/>
  <c r="J15" i="44"/>
  <c r="J25" i="44" s="1"/>
  <c r="Q72" i="44"/>
  <c r="C43" i="44"/>
  <c r="C39" i="44"/>
  <c r="C32" i="44" s="1"/>
  <c r="C42" i="44" s="1"/>
  <c r="B4" i="12"/>
  <c r="B5" i="12"/>
  <c r="D12" i="59"/>
  <c r="C11" i="59"/>
  <c r="C40" i="15"/>
  <c r="M69" i="39"/>
  <c r="L71" i="39"/>
  <c r="L57" i="15"/>
  <c r="L60" i="15" s="1"/>
  <c r="Q68" i="15"/>
  <c r="C20" i="9"/>
  <c r="C21" i="9"/>
  <c r="D21" i="9"/>
  <c r="D20" i="9"/>
  <c r="Q57" i="15" l="1"/>
  <c r="C10" i="43"/>
  <c r="C6" i="43" s="1"/>
  <c r="Q67" i="15"/>
  <c r="L46" i="15"/>
  <c r="B2" i="15" s="1"/>
  <c r="B3" i="15" s="1"/>
  <c r="G20" i="9"/>
  <c r="G21" i="9"/>
  <c r="N43" i="9"/>
  <c r="C32" i="9"/>
  <c r="G22" i="9"/>
  <c r="J18" i="44"/>
  <c r="J27" i="44" s="1"/>
  <c r="Q71" i="44"/>
  <c r="Q70" i="44" s="1"/>
  <c r="C44" i="44"/>
  <c r="C45" i="44" s="1"/>
  <c r="D11" i="59"/>
  <c r="C10" i="59"/>
  <c r="C9" i="59" s="1"/>
  <c r="T9" i="59" s="1"/>
  <c r="Q66" i="15"/>
  <c r="Q76" i="15" s="1"/>
  <c r="Q48" i="15"/>
  <c r="Q54" i="15" s="1"/>
  <c r="C43" i="15"/>
  <c r="J42" i="15"/>
  <c r="J43" i="15" s="1"/>
  <c r="M71" i="39"/>
  <c r="N69" i="39"/>
  <c r="N71" i="39" s="1"/>
  <c r="J9" i="39" s="1"/>
  <c r="H9" i="39"/>
  <c r="C46" i="15"/>
  <c r="Q58" i="15"/>
  <c r="Q63" i="15" l="1"/>
  <c r="C25" i="43"/>
  <c r="C24" i="43"/>
  <c r="O38" i="9"/>
  <c r="C42" i="9"/>
  <c r="C33" i="9"/>
  <c r="O43" i="9"/>
  <c r="C35" i="9"/>
  <c r="F42" i="9" s="1"/>
  <c r="C34" i="9"/>
  <c r="L52" i="44"/>
  <c r="B2" i="44"/>
  <c r="F9" i="39"/>
  <c r="AA9" i="39" s="1"/>
  <c r="R49" i="39" s="1"/>
  <c r="D9" i="59"/>
  <c r="C8" i="59"/>
  <c r="D10" i="59"/>
  <c r="U9" i="39"/>
  <c r="AB9" i="39"/>
  <c r="T49" i="39" s="1"/>
  <c r="G49" i="39" s="1"/>
  <c r="W9" i="39"/>
  <c r="AC9" i="39"/>
  <c r="V49" i="39" s="1"/>
  <c r="I49" i="39" s="1"/>
  <c r="S9" i="39"/>
  <c r="C27" i="43" l="1"/>
  <c r="B2" i="43" s="1"/>
  <c r="E42" i="9"/>
  <c r="P5" i="54" s="1"/>
  <c r="B46" i="63" s="1"/>
  <c r="M38" i="9"/>
  <c r="K27" i="9" s="1"/>
  <c r="D14" i="66"/>
  <c r="N68" i="9"/>
  <c r="R5" i="54"/>
  <c r="B48" i="63" s="1"/>
  <c r="D63" i="9"/>
  <c r="D42" i="9"/>
  <c r="Q5" i="54" s="1"/>
  <c r="B47" i="63" s="1"/>
  <c r="N38" i="9"/>
  <c r="K28" i="9" s="1"/>
  <c r="K26" i="9"/>
  <c r="K25" i="9"/>
  <c r="B3" i="44"/>
  <c r="B4" i="44"/>
  <c r="B5" i="44"/>
  <c r="Q69" i="44"/>
  <c r="L58" i="44"/>
  <c r="L61" i="44" s="1"/>
  <c r="D8" i="59"/>
  <c r="C7" i="59"/>
  <c r="E49" i="39"/>
  <c r="R50" i="39"/>
  <c r="I53" i="39"/>
  <c r="J53" i="39" s="1"/>
  <c r="G53" i="39"/>
  <c r="H53" i="39" s="1"/>
  <c r="G54" i="39"/>
  <c r="H54" i="39" s="1"/>
  <c r="B4" i="43"/>
  <c r="B5" i="43"/>
  <c r="B3" i="43"/>
  <c r="D28" i="69" l="1"/>
  <c r="E27" i="69" s="1"/>
  <c r="F27" i="69" s="1"/>
  <c r="C28" i="69"/>
  <c r="D73" i="9"/>
  <c r="N73" i="9" s="1"/>
  <c r="C96" i="9"/>
  <c r="C91" i="9" s="1"/>
  <c r="C103" i="9"/>
  <c r="C90" i="9"/>
  <c r="C97" i="9" s="1"/>
  <c r="C111" i="9"/>
  <c r="C104" i="9" s="1"/>
  <c r="C82" i="9"/>
  <c r="C81" i="9" s="1"/>
  <c r="C85" i="9" s="1"/>
  <c r="C86" i="9" s="1"/>
  <c r="D72" i="9" s="1"/>
  <c r="D70" i="9"/>
  <c r="D71" i="9"/>
  <c r="D66" i="9" s="1"/>
  <c r="N72" i="9" s="1"/>
  <c r="B5" i="66"/>
  <c r="F14" i="66"/>
  <c r="E14" i="66"/>
  <c r="Q68" i="44"/>
  <c r="Q77" i="44" s="1"/>
  <c r="Q59" i="44"/>
  <c r="Q64" i="44" s="1"/>
  <c r="D7" i="59"/>
  <c r="C6" i="59"/>
  <c r="E54" i="39"/>
  <c r="F54" i="39" s="1"/>
  <c r="E53" i="39"/>
  <c r="F53" i="39" s="1"/>
  <c r="I54" i="39"/>
  <c r="J54" i="39" s="1"/>
  <c r="C49" i="39"/>
  <c r="C50" i="39"/>
  <c r="C98" i="9" l="1"/>
  <c r="E98" i="9" s="1"/>
  <c r="E99" i="9" s="1"/>
  <c r="D5" i="66"/>
  <c r="C5" i="66"/>
  <c r="C113" i="9"/>
  <c r="D6" i="59"/>
  <c r="C5" i="59"/>
  <c r="B59" i="39"/>
  <c r="F59" i="39" s="1"/>
  <c r="B65" i="39"/>
  <c r="F65" i="39" s="1"/>
  <c r="B63" i="39"/>
  <c r="F63" i="39" s="1"/>
  <c r="B60" i="39"/>
  <c r="F60" i="39" s="1"/>
  <c r="F67" i="39"/>
  <c r="B2" i="39" s="1"/>
  <c r="B62" i="39"/>
  <c r="F62" i="39" s="1"/>
  <c r="B66" i="39"/>
  <c r="F66" i="39" s="1"/>
  <c r="B64" i="39"/>
  <c r="F64" i="39" s="1"/>
  <c r="B61" i="39"/>
  <c r="F61" i="39" s="1"/>
  <c r="B58" i="39"/>
  <c r="F58" i="39" s="1"/>
  <c r="C99" i="9" l="1"/>
  <c r="C114" i="9"/>
  <c r="E114" i="9" s="1"/>
  <c r="E115" i="9" s="1"/>
  <c r="D5" i="59"/>
  <c r="M20" i="46"/>
  <c r="B4" i="39"/>
  <c r="B3" i="39"/>
  <c r="B5" i="39"/>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<sst xmlns="http://schemas.openxmlformats.org/spreadsheetml/2006/main" count="7573" uniqueCount="3493">
  <si>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</si>
  <si>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</si>
  <si>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</si>
  <si>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</si>
  <si>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</si>
  <si>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</si>
  <si>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</si>
  <si>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</si>
  <si>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</si>
  <si>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</si>
  <si>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</si>
  <si>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</si>
  <si>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</si>
  <si>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</si>
  <si>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</si>
  <si>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</si>
  <si>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</si>
  <si>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</si>
  <si>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</si>
  <si>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</si>
  <si>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</si>
  <si>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</si>
  <si>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</si>
  <si>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</si>
  <si>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</si>
  <si>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</si>
  <si>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</si>
  <si>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</si>
  <si>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</si>
  <si>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</si>
  <si>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</si>
  <si>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</si>
  <si>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</si>
  <si>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</si>
  <si>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</si>
  <si>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</si>
  <si>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</si>
  <si>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</si>
  <si>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</si>
  <si>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</si>
  <si>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</si>
  <si>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</si>
  <si>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</si>
  <si>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</si>
  <si>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</si>
  <si>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</si>
  <si>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</si>
  <si>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</si>
  <si>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</si>
  <si>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</si>
  <si>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</si>
  <si>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</si>
  <si>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</si>
  <si>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</si>
  <si>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</si>
  <si>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</si>
  <si>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</si>
  <si>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</si>
  <si>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</si>
  <si>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</si>
  <si>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</si>
  <si>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</si>
  <si>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</si>
  <si>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</si>
  <si>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</si>
  <si>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</si>
  <si>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</si>
  <si>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</si>
  <si>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</si>
  <si>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</si>
  <si>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</si>
  <si>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</si>
  <si>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</si>
  <si>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</si>
  <si>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</si>
  <si>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</si>
  <si>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</si>
  <si>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</si>
  <si>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</si>
  <si>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</si>
  <si>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</si>
  <si>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</si>
  <si>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</si>
  <si>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</si>
  <si>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</si>
  <si>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</si>
  <si>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</si>
  <si>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</si>
  <si>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</si>
  <si>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</si>
  <si>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</si>
  <si>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</si>
  <si>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</si>
  <si>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</si>
  <si>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</si>
  <si>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</si>
  <si>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</si>
  <si>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</si>
  <si>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</si>
  <si>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</si>
  <si>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</si>
  <si>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</si>
  <si>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</si>
  <si>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</si>
  <si>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</si>
  <si>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</si>
  <si>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</si>
  <si>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</si>
  <si>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</si>
  <si>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</si>
  <si>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</si>
  <si>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</si>
  <si>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</si>
  <si>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</si>
  <si>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</si>
  <si>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</si>
  <si>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</si>
  <si>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</si>
  <si>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</si>
  <si>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</si>
  <si>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</si>
  <si>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</si>
  <si>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</si>
  <si>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</si>
  <si>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</si>
  <si>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</si>
  <si>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</si>
  <si>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</si>
  <si>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</si>
  <si>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</si>
  <si>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</si>
  <si>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</si>
  <si>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</si>
  <si>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</si>
  <si>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</si>
  <si>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</si>
  <si>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</si>
  <si>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</si>
  <si>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</si>
  <si>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</si>
  <si>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</si>
  <si>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</si>
  <si>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</si>
  <si>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</si>
  <si>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</si>
  <si>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</si>
  <si>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</si>
  <si>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</si>
  <si>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</si>
  <si>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</si>
  <si>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</si>
  <si>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</si>
  <si>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</si>
  <si>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</si>
  <si>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</si>
  <si>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</si>
  <si>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</si>
  <si>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</si>
  <si>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</si>
  <si>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</si>
  <si>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</si>
  <si>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</si>
  <si>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</si>
  <si>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</si>
  <si>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</si>
  <si>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</si>
  <si>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</si>
  <si>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</si>
  <si>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</si>
  <si>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</si>
  <si>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</si>
  <si>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</si>
  <si>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</si>
  <si>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</si>
  <si>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</si>
  <si>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</si>
  <si>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</si>
  <si>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</si>
  <si>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</si>
  <si>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</si>
  <si>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</si>
  <si>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</si>
  <si>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</si>
  <si>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</si>
  <si>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</si>
  <si>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</si>
  <si>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</si>
  <si>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</si>
  <si>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</si>
  <si>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</si>
  <si>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</si>
  <si>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</si>
  <si>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</si>
  <si>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</si>
  <si>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</si>
  <si>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</si>
  <si>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</si>
  <si>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</si>
  <si>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</si>
  <si>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</si>
  <si>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</si>
  <si>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</si>
  <si>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</si>
  <si>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</si>
  <si>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</si>
  <si>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</si>
  <si>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</si>
  <si>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</si>
  <si>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</si>
  <si>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</si>
  <si>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</si>
  <si>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</si>
  <si>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</si>
  <si>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</si>
  <si>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</si>
  <si>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</si>
  <si>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</si>
  <si>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</si>
  <si>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</si>
  <si>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</si>
  <si>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</si>
  <si>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</si>
  <si>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</si>
  <si>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</si>
  <si>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</si>
  <si>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</si>
  <si>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</si>
  <si>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</si>
  <si>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</si>
  <si>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</si>
  <si>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</si>
  <si>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</si>
  <si>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</si>
  <si>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</si>
  <si>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</si>
  <si>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</si>
  <si>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</si>
  <si>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</si>
  <si>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</si>
  <si>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</si>
  <si>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</si>
  <si>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</si>
  <si>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</si>
  <si>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</si>
  <si>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</si>
  <si>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</si>
  <si>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</si>
  <si>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</si>
  <si>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</si>
  <si>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</si>
  <si>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</si>
  <si>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</si>
  <si>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</si>
  <si>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</si>
  <si>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</si>
  <si>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</si>
  <si>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</si>
  <si>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</si>
  <si>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</si>
  <si>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</si>
  <si>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</si>
  <si>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</si>
  <si>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</si>
  <si>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</si>
  <si>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</si>
  <si>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</si>
  <si>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</si>
  <si>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</si>
  <si>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</si>
  <si>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</si>
  <si>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</si>
  <si>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</si>
  <si>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</si>
  <si>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</si>
  <si>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</si>
  <si>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</si>
  <si>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</si>
  <si>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</si>
  <si>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</si>
  <si>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</si>
  <si>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</si>
  <si>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</si>
  <si>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</si>
  <si>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</si>
  <si>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</si>
  <si>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</si>
  <si>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</si>
  <si>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</si>
  <si>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</si>
  <si>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</si>
  <si>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</si>
  <si>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</si>
  <si>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</si>
  <si>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</si>
  <si>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</si>
  <si>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</si>
  <si>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</si>
  <si>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</si>
  <si>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</si>
  <si>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</si>
  <si>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</si>
  <si>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</si>
  <si>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</si>
  <si>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</si>
  <si>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</si>
  <si>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</si>
  <si>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</si>
  <si>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</si>
  <si>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</si>
  <si>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</si>
  <si>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</si>
  <si>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</si>
  <si>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</si>
  <si>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</si>
  <si>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</si>
  <si>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</si>
  <si>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</si>
  <si>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</si>
  <si>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</si>
  <si>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</si>
  <si>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</si>
  <si>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</si>
  <si>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</si>
  <si>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</si>
  <si>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</si>
  <si>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</si>
  <si>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</si>
  <si>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</si>
  <si>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</si>
  <si>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</si>
  <si>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</si>
  <si>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</si>
  <si>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</si>
  <si>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</si>
  <si>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</si>
  <si>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</si>
  <si>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</si>
  <si>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</si>
  <si>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</si>
  <si>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</si>
  <si>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</si>
  <si>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</si>
  <si>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</si>
  <si>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</si>
  <si>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</si>
  <si>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</si>
  <si>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</si>
  <si>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</si>
  <si>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</si>
  <si>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</si>
  <si>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</si>
  <si>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</si>
  <si>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</si>
  <si>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</si>
  <si>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</si>
  <si>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</si>
  <si>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</si>
  <si>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</si>
  <si>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</si>
  <si>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</si>
  <si>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</si>
  <si>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</si>
  <si>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</si>
  <si>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</si>
  <si>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</si>
  <si>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</si>
  <si>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</si>
  <si>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</si>
  <si>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</si>
  <si>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</si>
  <si>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</si>
  <si>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</si>
  <si>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</si>
  <si>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</si>
  <si>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</si>
  <si>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</si>
  <si>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</si>
  <si>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</si>
  <si>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</si>
  <si>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</si>
  <si>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</si>
  <si>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</si>
  <si>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</si>
  <si>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</si>
  <si>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</si>
  <si>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</si>
  <si>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</si>
  <si>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</si>
  <si>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</si>
  <si>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</si>
  <si>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</si>
  <si>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</si>
  <si>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</si>
  <si>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</si>
  <si>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</si>
  <si>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</si>
  <si>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</si>
  <si>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</si>
  <si>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</si>
  <si>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</si>
  <si>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</si>
  <si>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</si>
  <si>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</si>
  <si>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</si>
  <si>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</si>
  <si>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</si>
  <si>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</si>
  <si>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</si>
  <si>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</si>
  <si>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</si>
  <si>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</si>
  <si>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</si>
  <si>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</si>
  <si>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</si>
  <si>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</si>
  <si>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</si>
  <si>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</si>
  <si>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</si>
  <si>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</si>
  <si>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</si>
  <si>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</si>
  <si>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</si>
  <si>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</si>
  <si>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</si>
  <si>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</si>
  <si>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</si>
  <si>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</si>
  <si>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</si>
  <si>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</si>
  <si>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</si>
  <si>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</si>
  <si>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</si>
  <si>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</si>
  <si>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</si>
  <si>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</si>
  <si>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</si>
  <si>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</si>
  <si>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</si>
  <si>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</si>
  <si>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</si>
  <si>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</si>
  <si>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</si>
  <si>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</si>
  <si>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</si>
  <si>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</si>
  <si>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</si>
  <si>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</si>
  <si>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</si>
  <si>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</si>
  <si>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</si>
  <si>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</si>
  <si>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</si>
  <si>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</si>
  <si>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</si>
  <si>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</si>
  <si>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</si>
  <si>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</si>
  <si>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</si>
  <si>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</si>
  <si>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</si>
  <si>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</si>
  <si>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</si>
  <si>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</si>
  <si>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</si>
  <si>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</si>
  <si>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</si>
  <si>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</si>
  <si>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</si>
  <si>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</si>
  <si>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</si>
  <si>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</si>
  <si>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</si>
  <si>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</si>
  <si>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</si>
  <si>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</si>
  <si>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</si>
  <si>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</si>
  <si>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</si>
  <si>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</si>
  <si>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</si>
  <si>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</si>
  <si>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</si>
  <si>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</si>
  <si>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</si>
  <si>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</si>
  <si>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</si>
  <si>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</si>
  <si>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</si>
  <si>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</si>
  <si>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</si>
  <si>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</si>
  <si>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</si>
  <si>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</si>
  <si>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</si>
  <si>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</si>
  <si>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</si>
  <si>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</si>
  <si>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</si>
  <si>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</si>
  <si>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</si>
  <si>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</si>
  <si>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</si>
  <si>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</si>
  <si>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</si>
  <si>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</si>
  <si>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</si>
  <si>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</si>
  <si>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</si>
  <si>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</si>
  <si>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</si>
  <si>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</si>
  <si>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</si>
  <si>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</si>
  <si>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</si>
  <si>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</si>
  <si>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</si>
  <si>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</si>
  <si>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</si>
  <si>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</si>
  <si>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</si>
  <si>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</si>
  <si>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</si>
  <si>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</si>
  <si>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</si>
  <si>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</si>
  <si>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</si>
  <si>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</si>
  <si>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</si>
  <si>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</si>
  <si>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</si>
  <si>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</si>
  <si>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</si>
  <si>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</si>
  <si>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</si>
  <si>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</si>
  <si>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</si>
  <si>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</si>
  <si>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</si>
  <si>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</si>
  <si>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</si>
  <si>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</si>
  <si>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</si>
  <si>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</si>
  <si>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</si>
  <si>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</si>
  <si>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</si>
  <si>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</si>
  <si>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</si>
  <si>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</si>
  <si>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</si>
  <si>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</si>
  <si>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</si>
  <si>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</si>
  <si>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</si>
  <si>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</si>
  <si>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</si>
  <si>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</si>
  <si>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</si>
  <si>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</si>
  <si>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</si>
  <si>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</si>
  <si>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</si>
  <si>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</si>
  <si>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</si>
  <si>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</si>
  <si>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</si>
  <si>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</si>
  <si>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</si>
  <si>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</si>
  <si>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</si>
  <si>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</si>
  <si>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</si>
  <si>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</si>
  <si>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</si>
  <si>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</si>
  <si>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</si>
  <si>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</si>
  <si>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</si>
  <si>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</si>
  <si>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</si>
  <si>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</si>
  <si>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</si>
  <si>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</si>
  <si>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</si>
  <si>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</si>
  <si>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</si>
  <si>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</si>
  <si>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</si>
  <si>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</si>
  <si>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</si>
  <si>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</si>
  <si>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</si>
  <si>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</si>
  <si>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</si>
  <si>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</si>
  <si>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</si>
  <si>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</si>
  <si>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</si>
  <si>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</si>
  <si>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</si>
  <si>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</si>
  <si>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</si>
  <si>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</si>
  <si>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</si>
  <si>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</si>
  <si>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</si>
  <si>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</si>
  <si>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</si>
  <si>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</si>
  <si>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</si>
  <si>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</si>
  <si>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</si>
  <si>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</si>
  <si>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</si>
  <si>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</si>
  <si>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</si>
  <si>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</si>
  <si>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</si>
  <si>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</si>
  <si>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</si>
  <si>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</si>
  <si>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</si>
  <si>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</si>
  <si>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</si>
  <si>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</si>
  <si>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</si>
  <si>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</si>
  <si>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</si>
  <si>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</si>
  <si>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</si>
  <si>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</si>
  <si>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</si>
  <si>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</si>
  <si>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</si>
  <si>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</si>
  <si>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</si>
  <si>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</si>
  <si>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</si>
  <si>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</si>
  <si>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</si>
  <si>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</si>
  <si>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</si>
  <si>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</si>
  <si>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</si>
  <si>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</si>
  <si>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</si>
  <si>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</si>
  <si>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</si>
  <si>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</si>
  <si>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</si>
  <si>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</si>
  <si>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</si>
  <si>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</si>
  <si>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</si>
  <si>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</si>
  <si>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</si>
  <si>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</si>
  <si>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</si>
  <si>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</si>
  <si>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</si>
  <si>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</si>
  <si>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</si>
  <si>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</si>
  <si>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</si>
  <si>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</si>
  <si>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</si>
  <si>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</si>
  <si>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</si>
  <si>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</si>
  <si>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</si>
  <si>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</si>
  <si>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</si>
  <si>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</si>
  <si>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</si>
  <si>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</si>
  <si>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</si>
  <si>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</si>
  <si>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</si>
  <si>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</si>
  <si>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</si>
  <si>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</si>
  <si>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</si>
  <si>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</si>
  <si>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</si>
  <si>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</si>
  <si>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</si>
  <si>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</si>
  <si>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</si>
  <si>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</si>
  <si>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</si>
  <si>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</si>
  <si>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</si>
  <si>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</si>
  <si>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</si>
  <si>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</si>
  <si>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</si>
  <si>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</si>
  <si>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</si>
  <si>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</si>
  <si>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</si>
  <si>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</si>
  <si>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</si>
  <si>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</si>
  <si>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</si>
  <si>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</si>
  <si>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</si>
  <si>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</si>
  <si>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</si>
  <si>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</si>
  <si>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</si>
  <si>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</si>
  <si>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</si>
  <si>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</si>
  <si>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</si>
  <si>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</si>
  <si>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</si>
  <si>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</si>
  <si>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</si>
  <si>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</si>
  <si>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</si>
  <si>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</si>
  <si>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</si>
  <si>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</si>
  <si>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</si>
  <si>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</si>
  <si>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</si>
  <si>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</si>
  <si>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</si>
  <si>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</si>
  <si>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</si>
  <si>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</si>
  <si>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</si>
  <si>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</si>
  <si>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</si>
  <si>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</si>
  <si>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</si>
  <si>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</si>
  <si>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</si>
  <si>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</si>
  <si>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</si>
  <si>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</si>
  <si>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</si>
  <si>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</si>
  <si>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</si>
  <si>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</si>
  <si>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</si>
  <si>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</si>
  <si>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</si>
  <si>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</si>
  <si>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</si>
  <si>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</si>
  <si>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</si>
  <si>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</si>
  <si>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</si>
  <si>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</si>
  <si>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</si>
  <si>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</si>
  <si>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</si>
  <si>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</si>
  <si>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</si>
  <si>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</si>
  <si>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</si>
  <si>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</si>
  <si>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</si>
  <si>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</si>
  <si>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</si>
  <si>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</si>
  <si>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</si>
  <si>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</si>
  <si>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</si>
  <si>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</si>
  <si>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</si>
  <si>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</si>
  <si>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</si>
  <si>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</si>
  <si>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</si>
  <si>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</si>
  <si>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</si>
  <si>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</si>
  <si>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</si>
  <si>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</si>
  <si>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</si>
  <si>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</si>
  <si>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</si>
  <si>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</si>
  <si>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</si>
  <si>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</si>
  <si>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</si>
  <si>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</si>
  <si>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</si>
  <si>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</si>
  <si>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</si>
  <si>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</si>
  <si>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</si>
  <si>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</si>
  <si>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</si>
  <si>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</si>
  <si>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</si>
  <si>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</si>
  <si>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</si>
  <si>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</si>
  <si>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</si>
  <si>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</si>
  <si>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</si>
  <si>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</si>
  <si>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</si>
  <si>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</si>
  <si>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</si>
  <si>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</si>
  <si>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</si>
  <si>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</si>
  <si>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</si>
  <si>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</si>
  <si>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</si>
  <si>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</si>
  <si>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</si>
  <si>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</si>
  <si>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</si>
  <si>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</si>
  <si>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</si>
  <si>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</si>
  <si>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</si>
  <si>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</si>
  <si>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</si>
  <si>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</si>
  <si>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</si>
  <si>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</si>
  <si>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</si>
  <si>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</si>
  <si>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</si>
  <si>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</si>
  <si>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</si>
  <si>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</si>
  <si>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</si>
  <si>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</si>
  <si>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</si>
  <si>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</si>
  <si>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</si>
  <si>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</si>
  <si>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</si>
  <si>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</si>
  <si>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</si>
  <si>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</si>
  <si>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</si>
  <si>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</si>
  <si>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</si>
  <si>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</si>
  <si>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</si>
  <si>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</si>
  <si>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</si>
  <si>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</si>
  <si>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</si>
  <si>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</si>
  <si>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</si>
  <si>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</si>
  <si>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</si>
  <si>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</si>
  <si>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</si>
  <si>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</si>
  <si>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</si>
  <si>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</si>
  <si>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</si>
  <si>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</si>
  <si>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</si>
  <si>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</si>
  <si>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</si>
  <si>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</si>
  <si>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</si>
  <si>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</si>
  <si>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</si>
  <si>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</si>
  <si>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</si>
  <si>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</si>
  <si>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</si>
  <si>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</si>
  <si>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</si>
  <si>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</si>
  <si>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</si>
  <si>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</si>
  <si>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</si>
  <si>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</si>
  <si>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</si>
  <si>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</si>
  <si>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</si>
  <si>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</si>
  <si>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</si>
  <si>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</si>
  <si>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</si>
  <si>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</si>
  <si>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</si>
  <si>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</si>
  <si>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</si>
  <si>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</si>
  <si>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</si>
  <si>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</si>
  <si>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</si>
  <si>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</si>
  <si>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</si>
  <si>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</si>
  <si>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</si>
  <si>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</si>
  <si>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</si>
  <si>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</si>
  <si>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</si>
  <si>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</si>
  <si>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</si>
  <si>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</si>
  <si>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</si>
  <si>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</si>
  <si>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</si>
  <si>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</si>
  <si>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</si>
  <si>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</si>
  <si>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</si>
  <si>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</si>
  <si>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</si>
  <si>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</si>
  <si>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</si>
  <si>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</si>
  <si>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</si>
  <si>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</si>
  <si>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</si>
  <si>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</si>
  <si>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</si>
  <si>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</si>
  <si>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</si>
  <si>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</si>
  <si>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</si>
  <si>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</si>
  <si>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</si>
  <si>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</si>
  <si>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</si>
  <si>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</si>
  <si>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</si>
  <si>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</si>
  <si>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</si>
  <si>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</si>
  <si>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</si>
  <si>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</si>
  <si>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</si>
  <si>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</si>
  <si>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</si>
  <si>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</si>
  <si>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</si>
  <si>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</si>
  <si>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</si>
  <si>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</si>
  <si>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</si>
  <si>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</si>
  <si>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</si>
  <si>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</si>
  <si>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</si>
  <si>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</si>
  <si>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</si>
  <si>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</si>
  <si>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</si>
  <si>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</si>
  <si>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</si>
  <si>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</si>
  <si>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</si>
  <si>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</si>
  <si>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</si>
  <si>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</si>
  <si>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</si>
  <si>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</si>
  <si>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</si>
  <si>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</si>
  <si>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</si>
  <si>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</si>
  <si>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</si>
  <si>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</si>
  <si>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</si>
  <si>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</si>
  <si>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</si>
  <si>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</si>
  <si>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</si>
  <si>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</si>
  <si>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</si>
  <si>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</si>
  <si>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</si>
  <si>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</si>
  <si>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</si>
  <si>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</si>
  <si>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</si>
  <si>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</si>
  <si>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</si>
  <si>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</si>
  <si>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</si>
  <si>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</si>
  <si>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</si>
  <si>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</si>
  <si>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</si>
  <si>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</si>
  <si>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</si>
  <si>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</si>
  <si>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</si>
  <si>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</si>
  <si>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</si>
  <si>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</si>
  <si>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</si>
  <si>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</si>
  <si>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</si>
  <si>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</si>
  <si>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</si>
  <si>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</si>
  <si>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</si>
  <si>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</si>
  <si>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</si>
  <si>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</si>
  <si>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</si>
  <si>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</si>
  <si>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</si>
  <si>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</si>
  <si>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</si>
  <si>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</si>
  <si>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</si>
  <si>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</si>
  <si>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</si>
  <si>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</si>
  <si>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</si>
  <si>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</si>
  <si>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</si>
  <si>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</si>
  <si>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</si>
  <si>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</si>
  <si>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</si>
  <si>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</si>
  <si>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</si>
  <si>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</si>
  <si>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</si>
  <si>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</si>
  <si>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</si>
  <si>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</si>
  <si>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</si>
  <si>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</si>
  <si>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</si>
  <si>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</si>
  <si>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</si>
  <si>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</si>
  <si>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</si>
  <si>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</si>
  <si>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</si>
  <si>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</si>
  <si>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</si>
  <si>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</si>
  <si>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</si>
  <si>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</si>
  <si>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</si>
  <si>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</si>
  <si>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</si>
  <si>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</si>
  <si>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</si>
  <si>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</si>
  <si>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</si>
  <si>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</si>
  <si>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</si>
  <si>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</si>
  <si>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</si>
  <si>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</si>
  <si>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</si>
  <si>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</si>
  <si>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</si>
  <si>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</si>
  <si>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</si>
  <si>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</si>
  <si>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</si>
  <si>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</si>
  <si>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</si>
  <si>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</si>
  <si>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</si>
  <si>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</si>
  <si>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</si>
  <si>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</si>
  <si>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</si>
  <si>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</si>
  <si>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</si>
  <si>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</si>
  <si>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</si>
  <si>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</si>
  <si>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</si>
  <si>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</si>
  <si>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</si>
  <si>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</si>
  <si>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</si>
  <si>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</si>
  <si>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</si>
  <si>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</si>
  <si>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</si>
  <si>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</si>
  <si>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</si>
  <si>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</si>
  <si>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</si>
  <si>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</si>
  <si>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</si>
  <si>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</si>
  <si>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</si>
  <si>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</si>
  <si>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</si>
  <si>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</si>
  <si>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</si>
  <si>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</si>
  <si>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</si>
  <si>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</si>
  <si>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</si>
  <si>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</si>
  <si>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</si>
  <si>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</si>
  <si>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</si>
  <si>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</si>
  <si>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</si>
  <si>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</si>
  <si>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</si>
  <si>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</si>
  <si>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</si>
  <si>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</si>
  <si>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</si>
  <si>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</si>
  <si>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</si>
  <si>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</si>
  <si>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</si>
  <si>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</si>
  <si>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</si>
  <si>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</si>
  <si>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</si>
  <si>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</si>
  <si>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</si>
  <si>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</si>
  <si>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</si>
  <si>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</si>
  <si>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</si>
  <si>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</si>
  <si>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</si>
  <si>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</si>
  <si>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</si>
  <si>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</si>
  <si>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</si>
  <si>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</si>
  <si>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</si>
  <si>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</si>
  <si>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</si>
  <si>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</si>
  <si>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</si>
  <si>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</si>
  <si>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</si>
  <si>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</si>
  <si>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</si>
  <si>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</si>
  <si>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</si>
  <si>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</si>
  <si>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</si>
  <si>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</si>
  <si>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</si>
  <si>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</si>
  <si>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</si>
  <si>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</si>
  <si>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</si>
  <si>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</si>
  <si>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</si>
  <si>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</si>
  <si>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</si>
  <si>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</si>
  <si>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</si>
  <si>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</si>
  <si>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</si>
  <si>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</si>
  <si>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</si>
  <si>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</si>
  <si>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</si>
  <si>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</si>
  <si>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</si>
  <si>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</si>
  <si>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</si>
  <si>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</si>
  <si>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</si>
  <si>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</si>
  <si>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</si>
  <si>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</si>
  <si>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</si>
  <si>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</si>
  <si>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</si>
  <si>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</si>
  <si>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</si>
  <si>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</si>
  <si>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</si>
  <si>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</si>
  <si>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</si>
  <si>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</si>
  <si>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</si>
  <si>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</si>
  <si>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</si>
  <si>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</si>
  <si>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</si>
  <si>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</si>
  <si>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</si>
  <si>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</si>
  <si>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</si>
  <si>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</si>
  <si>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</si>
  <si>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</si>
  <si>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</si>
  <si>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</si>
  <si>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</si>
  <si>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</si>
  <si>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</si>
  <si>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</si>
  <si>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</si>
  <si>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</si>
  <si>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</si>
  <si>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</si>
  <si>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</si>
  <si>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</si>
  <si>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</si>
  <si>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</si>
  <si>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</si>
  <si>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</si>
  <si>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</si>
  <si>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</si>
  <si>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</si>
  <si>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</si>
  <si>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</si>
  <si>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</si>
  <si>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</si>
  <si>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</si>
  <si>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</si>
  <si>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</si>
  <si>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</si>
  <si>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</si>
  <si>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</si>
  <si>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</si>
  <si>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</si>
  <si>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</si>
  <si>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</si>
  <si>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</si>
  <si>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</si>
  <si>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</si>
  <si>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</si>
  <si>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</si>
  <si>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</si>
  <si>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</si>
  <si>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</si>
  <si>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</si>
  <si>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</si>
  <si>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</si>
  <si>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</si>
  <si>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</si>
  <si>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</si>
  <si>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</si>
  <si>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</si>
  <si>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</si>
  <si>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</si>
  <si>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</si>
  <si>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</si>
  <si>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</si>
  <si>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</si>
  <si>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</si>
  <si>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</si>
  <si>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</si>
  <si>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</si>
  <si>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</si>
  <si>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</si>
  <si>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</si>
  <si>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</si>
  <si>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</si>
  <si>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</si>
  <si>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</si>
  <si>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</si>
  <si>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</si>
  <si>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</si>
  <si>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</si>
  <si>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</si>
  <si>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</si>
  <si>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</si>
  <si>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</si>
  <si>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</si>
  <si>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</si>
  <si>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</si>
  <si>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</si>
  <si>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</si>
  <si>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</si>
  <si>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</si>
  <si>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</si>
  <si>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</si>
  <si>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</si>
  <si>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</si>
  <si>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</si>
  <si>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</si>
  <si>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</si>
  <si>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</si>
  <si>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</si>
  <si>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</si>
  <si>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</si>
  <si>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</si>
  <si>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</si>
  <si>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</si>
  <si>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</si>
  <si>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</si>
  <si>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</si>
  <si>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</si>
  <si>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</si>
  <si>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</si>
  <si>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</si>
  <si>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</si>
  <si>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</si>
  <si>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</si>
  <si>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</si>
  <si>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</si>
  <si>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</si>
  <si>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</si>
  <si>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</si>
  <si>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</si>
  <si>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</si>
  <si>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</si>
  <si>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</si>
  <si>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</si>
  <si>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</si>
  <si>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</si>
  <si>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</si>
  <si>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</si>
  <si>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</si>
  <si>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</si>
  <si>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</si>
  <si>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</si>
  <si>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</si>
  <si>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</si>
  <si>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</si>
  <si>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</si>
  <si>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</si>
  <si>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</si>
  <si>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</si>
  <si>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</si>
  <si>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</si>
  <si>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</si>
  <si>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</si>
  <si>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</si>
  <si>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</si>
  <si>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</si>
  <si>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</si>
  <si>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</si>
  <si>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</si>
  <si>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</si>
  <si>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</si>
  <si>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</si>
  <si>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</si>
  <si>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</si>
  <si>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</si>
  <si>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</si>
  <si>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</si>
  <si>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</si>
  <si>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</si>
  <si>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</si>
  <si>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</si>
  <si>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</si>
  <si>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</si>
  <si>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</si>
  <si>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</si>
  <si>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</si>
  <si>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</si>
  <si>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</si>
  <si>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</si>
  <si>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</si>
  <si>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</si>
  <si>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</si>
  <si>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</si>
  <si>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</si>
  <si>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</si>
  <si>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</si>
  <si>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</si>
  <si>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</si>
  <si>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</si>
  <si>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</si>
  <si>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</si>
  <si>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</si>
  <si>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</si>
  <si>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</si>
  <si>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</si>
  <si>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</si>
  <si>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</si>
  <si>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</si>
  <si>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</si>
  <si>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</si>
  <si>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</si>
  <si>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</si>
  <si>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</si>
  <si>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</si>
  <si>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</si>
  <si>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</si>
  <si>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</si>
  <si>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</si>
  <si>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</si>
  <si>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</si>
  <si>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</si>
  <si>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</si>
  <si>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</si>
  <si>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</si>
  <si>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</si>
  <si>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</si>
  <si>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</si>
  <si>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</si>
  <si>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</si>
  <si>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</si>
  <si>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</si>
  <si>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</si>
  <si>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</si>
  <si>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</si>
  <si>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</si>
  <si>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</si>
  <si>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</si>
  <si>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</si>
  <si>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</si>
  <si>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</si>
  <si>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</si>
  <si>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</si>
  <si>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</si>
  <si>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</si>
  <si>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</si>
  <si>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</si>
  <si>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</si>
  <si>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</si>
  <si>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</si>
  <si>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</si>
  <si>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</si>
  <si>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</si>
  <si>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</si>
  <si>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</si>
  <si>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</si>
  <si>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</si>
  <si>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</si>
  <si>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</si>
  <si>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</si>
  <si>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</si>
  <si>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</si>
  <si>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</si>
  <si>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</si>
  <si>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</si>
  <si>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</si>
  <si>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</si>
  <si>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</si>
  <si>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</si>
  <si>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</si>
  <si>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</si>
  <si>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</si>
  <si>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</si>
  <si>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</si>
  <si>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</si>
  <si>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</si>
  <si>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</si>
  <si>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</si>
  <si>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</si>
  <si>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</si>
  <si>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</si>
  <si>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</si>
  <si>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</si>
  <si>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</si>
  <si>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</si>
  <si>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</si>
  <si>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</si>
  <si>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</si>
  <si>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</si>
  <si>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</si>
  <si>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</si>
  <si>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</si>
  <si>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</si>
  <si>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</si>
  <si>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</si>
  <si>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</si>
  <si>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</si>
  <si>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</si>
  <si>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</si>
  <si>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</si>
  <si>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</si>
  <si>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</si>
  <si>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</si>
  <si>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</si>
  <si>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</si>
  <si>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</si>
  <si>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</si>
  <si>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</si>
  <si>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</si>
  <si>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</si>
  <si>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</si>
  <si>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</si>
  <si>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</si>
  <si>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</si>
  <si>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</si>
  <si>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</si>
  <si>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</si>
  <si>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</si>
  <si>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</si>
  <si>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</si>
  <si>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</si>
  <si>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</si>
  <si>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</si>
  <si>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</si>
  <si>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</si>
  <si>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</si>
  <si>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</si>
  <si>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</si>
  <si>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</si>
  <si>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</si>
  <si>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</si>
  <si>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</si>
  <si>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</si>
  <si>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</si>
  <si>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</si>
  <si>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</si>
  <si>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</si>
  <si>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</si>
  <si>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</si>
  <si>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</si>
  <si>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</si>
  <si>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</si>
  <si>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</si>
  <si>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</si>
  <si>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</si>
  <si>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</si>
  <si>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</si>
  <si>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</si>
  <si>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</si>
  <si>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</si>
  <si>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</si>
  <si>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</si>
  <si>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</si>
  <si>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</si>
  <si>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</si>
  <si>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</si>
  <si>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</si>
  <si>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</si>
  <si>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</si>
  <si>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</si>
  <si>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</si>
  <si>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</si>
  <si>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</si>
  <si>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</si>
  <si>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</si>
  <si>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</si>
  <si>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</si>
  <si>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</si>
  <si>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</si>
  <si>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</si>
  <si>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</si>
  <si>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</si>
  <si>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</si>
  <si>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</si>
  <si>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</si>
  <si>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</si>
  <si>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</si>
  <si>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</si>
  <si>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</si>
  <si>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</si>
  <si>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</si>
  <si>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</si>
  <si>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</si>
  <si>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</si>
  <si>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</si>
  <si>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</si>
  <si>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</si>
  <si>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</si>
  <si>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</si>
  <si>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</si>
  <si>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</si>
  <si>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</si>
  <si>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</si>
  <si>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</si>
  <si>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</si>
  <si>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</si>
  <si>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</si>
  <si>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</si>
  <si>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</si>
  <si>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</si>
  <si>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</si>
  <si>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</si>
  <si>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</si>
  <si>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</si>
  <si>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</si>
  <si>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</si>
  <si>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</si>
  <si>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</si>
  <si>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</si>
  <si>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</si>
  <si>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</si>
  <si>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</si>
  <si>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</si>
  <si>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</si>
  <si>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</si>
  <si>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</si>
  <si>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</si>
  <si>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</si>
  <si>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</si>
  <si>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</si>
  <si>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</si>
  <si>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</si>
  <si>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</si>
  <si>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</si>
  <si>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</si>
  <si>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</si>
  <si>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</si>
  <si>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</si>
  <si>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</si>
  <si>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</si>
  <si>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</si>
  <si>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</si>
  <si>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</si>
  <si>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</si>
  <si>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</si>
  <si>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</si>
  <si>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</si>
  <si>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</si>
  <si>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</si>
  <si>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</si>
  <si>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</si>
  <si>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</si>
  <si>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</si>
  <si>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</si>
  <si>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</si>
  <si>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</si>
  <si>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</si>
  <si>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</si>
  <si>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</si>
  <si>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</si>
  <si>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</si>
  <si>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</si>
  <si>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</si>
  <si>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</si>
  <si>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</si>
  <si>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</si>
  <si>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</si>
  <si>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</si>
  <si>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</si>
  <si>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</si>
  <si>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</si>
  <si>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</si>
  <si>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</si>
  <si>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</si>
  <si>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</si>
  <si>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</si>
  <si>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</si>
  <si>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</si>
  <si>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</si>
  <si>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</si>
  <si>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</si>
  <si>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</si>
  <si>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</si>
  <si>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</si>
  <si>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</si>
  <si>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</si>
  <si>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</si>
  <si>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</si>
  <si>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</si>
  <si>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</si>
  <si>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</si>
  <si>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</si>
  <si>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</si>
  <si>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</si>
  <si>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</si>
  <si>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</si>
  <si>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</si>
  <si>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</si>
  <si>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</si>
  <si>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</si>
  <si>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</si>
  <si>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</si>
  <si>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</si>
  <si>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</si>
  <si>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</si>
  <si>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</si>
  <si>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</si>
  <si>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</si>
  <si>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</si>
  <si>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</si>
  <si>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</si>
  <si>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</si>
  <si>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</si>
  <si>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</si>
  <si>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</si>
  <si>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</si>
  <si>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</si>
  <si>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</si>
  <si>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</si>
  <si>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</si>
  <si>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</si>
  <si>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</si>
  <si>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</si>
  <si>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</si>
  <si>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</si>
  <si>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</si>
  <si>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</si>
  <si>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</si>
  <si>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</si>
  <si>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</si>
  <si>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</si>
  <si>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</si>
  <si>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</si>
  <si>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</si>
  <si>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</si>
  <si>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</si>
  <si>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</si>
  <si>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</si>
  <si>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</si>
  <si>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</si>
  <si>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</si>
  <si>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</si>
  <si>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</si>
  <si>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</si>
  <si>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</si>
  <si>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</si>
  <si>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</si>
  <si>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</si>
  <si>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</si>
  <si>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</si>
  <si>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</si>
  <si>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</si>
  <si>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</si>
  <si>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</si>
  <si>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</si>
  <si>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</si>
  <si>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</si>
  <si>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</si>
  <si>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</si>
  <si>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</si>
  <si>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</si>
  <si>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</si>
  <si>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</si>
  <si>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</si>
  <si>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</si>
  <si>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</si>
  <si>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</si>
  <si>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</si>
  <si>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</si>
  <si>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</si>
  <si>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</si>
  <si>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</si>
  <si>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</si>
  <si>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</si>
  <si>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</si>
  <si>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</si>
  <si>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</si>
  <si>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</si>
  <si>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</si>
  <si>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</si>
  <si>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</si>
  <si>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</si>
  <si>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</si>
  <si>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</si>
  <si>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</si>
  <si>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</si>
  <si>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</si>
  <si>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</si>
  <si>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</si>
  <si>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</si>
  <si>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</si>
  <si>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</si>
  <si>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</si>
  <si>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</si>
  <si>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</si>
  <si>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</si>
  <si>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</si>
  <si>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</si>
  <si>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</si>
  <si>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</si>
  <si>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</si>
  <si>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</si>
  <si>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</si>
  <si>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</si>
  <si>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</si>
  <si>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</si>
  <si>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</si>
  <si>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</si>
  <si>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</si>
  <si>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</si>
  <si>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</si>
  <si>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</si>
  <si>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</si>
  <si>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</si>
  <si>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</si>
  <si>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</si>
  <si>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</si>
  <si>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</si>
  <si>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</si>
  <si>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</si>
  <si>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</si>
  <si>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</si>
  <si>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</si>
  <si>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</si>
  <si>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</si>
  <si>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</si>
  <si>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</si>
  <si>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</si>
  <si>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</si>
  <si>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</si>
  <si>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</si>
  <si>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</si>
  <si>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</si>
  <si>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</si>
  <si>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</si>
  <si>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</si>
  <si>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</si>
  <si>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</si>
  <si>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</si>
  <si>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</si>
  <si>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</si>
  <si>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</si>
  <si>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</si>
  <si>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</si>
  <si>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</si>
  <si>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</si>
  <si>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</si>
  <si>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</si>
  <si>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</si>
  <si>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</si>
  <si>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</si>
  <si>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</si>
  <si>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</si>
  <si>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</si>
  <si>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</si>
  <si>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</si>
  <si>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</si>
  <si>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</si>
  <si>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</si>
  <si>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</si>
  <si>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</si>
  <si>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</si>
  <si>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</si>
  <si>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</si>
  <si>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</si>
  <si>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</si>
  <si>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</si>
  <si>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</si>
  <si>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</si>
  <si>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</si>
  <si>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</si>
  <si>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</si>
  <si>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</si>
  <si>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</si>
  <si>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</si>
  <si>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</si>
  <si>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</si>
  <si>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</si>
  <si>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</si>
  <si>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</si>
  <si>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</si>
  <si>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</si>
  <si>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</si>
  <si>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</si>
  <si>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</si>
  <si>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</si>
  <si>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</si>
  <si>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</si>
  <si>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</si>
  <si>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</si>
  <si>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</si>
  <si>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</si>
  <si>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</si>
  <si>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</si>
  <si>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</si>
  <si>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</si>
  <si>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</si>
  <si>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</si>
  <si>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</si>
  <si>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</si>
  <si>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</si>
  <si>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</si>
  <si>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</si>
  <si>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</si>
  <si>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</si>
  <si>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</si>
  <si>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</si>
  <si>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</si>
  <si>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</si>
  <si>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</si>
  <si>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</si>
  <si>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</si>
  <si>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</si>
  <si>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</si>
  <si>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</si>
  <si>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</si>
  <si>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</si>
  <si>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</si>
  <si>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</si>
  <si>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</si>
  <si>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</si>
  <si>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</si>
  <si>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</si>
  <si>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</si>
  <si>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</si>
  <si>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</si>
  <si>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</si>
  <si>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</si>
  <si>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</si>
  <si>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</si>
  <si>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</si>
  <si>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</si>
  <si>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</si>
  <si>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</si>
  <si>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</si>
  <si>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</si>
  <si>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</si>
  <si>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</si>
  <si>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</si>
  <si>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</si>
  <si>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</si>
  <si>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</si>
  <si>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</si>
  <si>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</si>
  <si>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</si>
  <si>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</si>
  <si>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</si>
  <si>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</si>
  <si>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</si>
  <si>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</si>
  <si>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</si>
  <si>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</si>
  <si>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</si>
  <si>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</si>
  <si>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</si>
  <si>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</si>
  <si>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</si>
  <si>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</si>
  <si>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</si>
  <si>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</si>
  <si>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</si>
  <si>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</si>
  <si>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</si>
  <si>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</si>
  <si>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</si>
  <si>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</si>
  <si>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</si>
  <si>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</si>
  <si>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</si>
  <si>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</si>
  <si>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</si>
  <si>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</si>
  <si>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</si>
  <si>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</si>
  <si>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</si>
  <si>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</si>
  <si>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</si>
  <si>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</si>
  <si>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</si>
  <si>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</si>
  <si>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</si>
  <si>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</si>
  <si>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</si>
  <si>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</si>
  <si>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</si>
  <si>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</si>
  <si>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</si>
  <si>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</si>
  <si>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</si>
  <si>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</si>
  <si>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</si>
  <si>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</si>
  <si>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</si>
  <si>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</si>
  <si>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</si>
  <si>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</si>
  <si>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</si>
  <si>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</si>
  <si>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</si>
  <si>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</si>
  <si>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</si>
  <si>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</si>
  <si>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</si>
  <si>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</si>
  <si>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</si>
  <si>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</si>
  <si>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</si>
  <si>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</si>
  <si>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</si>
  <si>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</si>
  <si>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</si>
  <si>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</si>
  <si>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</si>
  <si>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</si>
  <si>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</si>
  <si>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</si>
  <si>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</si>
  <si>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</si>
  <si>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</si>
  <si>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</si>
  <si>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</si>
  <si>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</si>
  <si>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</si>
  <si>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</si>
  <si>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</si>
  <si>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</si>
  <si>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</si>
  <si>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</si>
  <si>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</si>
  <si>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</si>
  <si>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</si>
  <si>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</si>
  <si>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</si>
  <si>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</si>
  <si>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</si>
  <si>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</si>
  <si>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</si>
  <si>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</si>
  <si>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</si>
  <si>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</si>
  <si>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</si>
  <si>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</si>
  <si>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</si>
  <si>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</si>
  <si>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</si>
  <si>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</si>
  <si>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</si>
  <si>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</si>
  <si>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</si>
  <si>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</si>
  <si>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</si>
  <si>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</si>
  <si>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</si>
  <si>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</si>
  <si>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</si>
  <si>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</si>
  <si>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</si>
  <si>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</si>
  <si>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</si>
  <si>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</si>
  <si>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</si>
  <si>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</si>
  <si>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</si>
  <si>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</si>
  <si>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</si>
  <si>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</si>
  <si>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</si>
  <si>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</si>
  <si>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</si>
  <si>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</si>
  <si>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</si>
  <si>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</si>
  <si>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</si>
  <si>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</si>
  <si>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</si>
  <si>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</si>
  <si>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</si>
  <si>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</si>
  <si>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</si>
  <si>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</si>
  <si>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</si>
  <si>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</si>
  <si>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</si>
  <si>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</si>
  <si>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</si>
  <si>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</si>
  <si>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</si>
  <si>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</si>
  <si>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</si>
  <si>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</si>
  <si>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</si>
  <si>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</si>
  <si>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</si>
  <si>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</si>
  <si>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</si>
  <si>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</si>
  <si>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</si>
  <si>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</si>
  <si>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</si>
  <si>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</si>
  <si>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</si>
  <si>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</si>
  <si>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</si>
  <si>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</si>
  <si>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</si>
  <si>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</si>
  <si>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</si>
  <si>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</si>
  <si>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</si>
  <si>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</si>
  <si>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</si>
  <si>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</si>
  <si>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</si>
  <si>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</si>
  <si>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</si>
  <si>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</si>
  <si>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</si>
  <si>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</si>
  <si>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</si>
  <si>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</si>
  <si>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</si>
  <si>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</si>
  <si>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</si>
  <si>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</si>
  <si>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</si>
  <si>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</si>
  <si>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</si>
  <si>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</si>
  <si>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</si>
  <si>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</si>
  <si>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</si>
  <si>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</si>
  <si>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</si>
  <si>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</si>
  <si>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</si>
  <si>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</si>
  <si>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</si>
  <si>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</si>
  <si>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</si>
  <si>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</si>
  <si>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</si>
  <si>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</si>
  <si>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</si>
  <si>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</si>
  <si>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</si>
  <si>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</si>
  <si>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</si>
  <si>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</si>
  <si>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</si>
  <si>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</si>
  <si>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</si>
  <si>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</si>
  <si>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</si>
  <si>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</si>
  <si>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</si>
  <si>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</si>
  <si>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</si>
  <si>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</si>
  <si>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</si>
  <si>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</si>
  <si>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</si>
  <si>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</si>
  <si>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</si>
  <si>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</si>
  <si>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</si>
  <si>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</si>
  <si>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</si>
  <si>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</si>
  <si>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</si>
  <si>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</si>
  <si>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</si>
  <si>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</si>
  <si>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</si>
  <si>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</si>
  <si>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</si>
  <si>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</si>
  <si>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</si>
  <si>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</si>
  <si>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</si>
  <si>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</si>
  <si>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</si>
  <si>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</si>
  <si>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</si>
  <si>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</si>
  <si>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</si>
  <si>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</si>
  <si>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</si>
  <si>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</si>
  <si>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</si>
  <si>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</si>
  <si>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</si>
  <si>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</si>
  <si>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</si>
  <si>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</si>
  <si>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</si>
  <si>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</si>
  <si>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</si>
  <si>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</si>
  <si>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</si>
  <si>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</si>
  <si>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</si>
  <si>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</si>
  <si>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</si>
  <si>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</si>
  <si>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</si>
  <si>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</si>
  <si>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</si>
  <si>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</si>
  <si>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</si>
  <si>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</si>
  <si>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</si>
  <si>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</si>
  <si>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</si>
  <si>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</si>
  <si>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</si>
  <si>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</si>
  <si>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</si>
  <si>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</si>
  <si>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</si>
  <si>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</si>
  <si>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</si>
  <si>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</si>
  <si>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</si>
  <si>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</si>
  <si>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</si>
  <si>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</si>
  <si>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</si>
  <si>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</si>
  <si>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</si>
  <si>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</si>
  <si>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</si>
  <si>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</si>
  <si>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</si>
  <si>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</si>
  <si>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</si>
  <si>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</si>
  <si>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</si>
  <si>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</si>
  <si>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</si>
  <si>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</si>
  <si>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</si>
  <si>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</si>
  <si>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</si>
  <si>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</si>
  <si>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</si>
  <si>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</si>
  <si>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</si>
  <si>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</si>
  <si>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</si>
  <si>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</si>
  <si>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</si>
  <si>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</si>
  <si>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</si>
  <si>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</si>
  <si>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</si>
  <si>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</si>
  <si>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</si>
  <si>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</si>
  <si>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</si>
  <si>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</si>
  <si>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</si>
  <si>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</si>
  <si>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</si>
  <si>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</si>
  <si>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</si>
  <si>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</si>
  <si>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</si>
  <si>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</si>
  <si>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</si>
  <si>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</si>
  <si>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</si>
  <si>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</si>
  <si>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</si>
  <si>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</si>
  <si>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</si>
  <si>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</si>
  <si>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</si>
  <si>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</si>
  <si>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</si>
  <si>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</si>
  <si>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</si>
  <si>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</si>
  <si>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</si>
  <si>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</si>
  <si>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</si>
  <si>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</si>
  <si>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</si>
  <si>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</si>
  <si>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</si>
  <si>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</si>
  <si>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</si>
  <si>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</si>
  <si>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</si>
  <si>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</si>
  <si>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</si>
  <si>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</si>
  <si>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</si>
  <si>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</si>
  <si>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</si>
  <si>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</si>
  <si>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</si>
  <si>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</si>
  <si>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</si>
  <si>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</si>
  <si>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</si>
  <si>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</si>
  <si>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</si>
  <si>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</si>
  <si>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</si>
  <si>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</si>
  <si>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</si>
  <si>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</si>
  <si>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</si>
  <si>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</si>
  <si>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</si>
  <si>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</si>
  <si>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</si>
  <si>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</si>
  <si>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</si>
  <si>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</si>
  <si>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</si>
  <si>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</si>
  <si>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</si>
  <si>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</si>
  <si>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</si>
  <si>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</si>
  <si>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</si>
  <si>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</si>
  <si>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</si>
  <si>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</si>
  <si>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</si>
  <si>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</si>
  <si>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</si>
  <si>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</si>
  <si>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</si>
  <si>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</si>
  <si>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</si>
  <si>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</si>
  <si>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</si>
  <si>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</si>
  <si>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</si>
  <si>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</si>
  <si>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</si>
  <si>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</si>
  <si>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</si>
  <si>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</si>
  <si>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</si>
  <si>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</si>
  <si>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</si>
  <si>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</si>
  <si>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</si>
  <si>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</si>
  <si>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</si>
  <si>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</si>
  <si>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</si>
  <si>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</si>
  <si>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</si>
  <si>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</si>
  <si>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</si>
  <si>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</si>
  <si>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</si>
  <si>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</si>
  <si>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</si>
  <si>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</si>
  <si>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</si>
  <si>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</si>
  <si>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</si>
  <si>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</si>
  <si>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</si>
  <si>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</si>
  <si>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</si>
  <si>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</si>
  <si>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</si>
  <si>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</si>
  <si>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</si>
  <si>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</si>
  <si>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</si>
  <si>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</si>
  <si>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</si>
  <si>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</si>
  <si>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</si>
  <si>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</si>
  <si>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</si>
  <si>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</si>
  <si>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</si>
  <si>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</si>
  <si>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</si>
  <si>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</si>
  <si>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</si>
  <si>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</si>
  <si>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</si>
  <si>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</si>
  <si>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</si>
  <si>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</si>
  <si>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</si>
  <si>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</si>
  <si>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</si>
  <si>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</si>
  <si>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</si>
  <si>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</si>
  <si>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</si>
  <si>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</si>
  <si>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</si>
  <si>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</si>
  <si>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</si>
  <si>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</si>
  <si>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</si>
  <si>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</si>
  <si>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</si>
  <si>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</si>
  <si>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</si>
  <si>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</si>
  <si>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</si>
  <si>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</si>
  <si>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</si>
  <si>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</si>
  <si>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</si>
  <si>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</si>
  <si>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</si>
  <si>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</si>
  <si>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</si>
  <si>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</si>
  <si>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</si>
  <si>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</si>
  <si>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</si>
  <si>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</si>
  <si>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</si>
  <si>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</si>
  <si>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</si>
  <si>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</si>
  <si>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</si>
  <si>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</si>
  <si>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</si>
  <si>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</si>
  <si>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</si>
  <si>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</si>
  <si>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</si>
  <si>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</si>
  <si>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</si>
  <si>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</si>
  <si>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</si>
  <si>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</si>
  <si>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</si>
  <si>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</si>
  <si>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</si>
  <si>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</si>
  <si>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</si>
  <si>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</si>
  <si>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</si>
  <si>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</si>
  <si>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</si>
  <si>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</si>
  <si>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</si>
  <si>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</si>
  <si>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</si>
  <si>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</si>
  <si>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</si>
  <si>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</si>
  <si>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</si>
  <si>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</si>
  <si>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</si>
  <si>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</si>
  <si>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</si>
  <si>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</si>
  <si>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</si>
  <si>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</si>
  <si>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</si>
  <si>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</si>
  <si>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</si>
  <si>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</si>
  <si>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</si>
  <si>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</si>
  <si>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</si>
  <si>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</si>
  <si>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</si>
  <si>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</si>
  <si>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</si>
  <si>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</si>
  <si>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</si>
  <si>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</si>
  <si>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</si>
  <si>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</si>
  <si>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</si>
  <si>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</si>
  <si>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</si>
  <si>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</si>
  <si>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</si>
  <si>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</si>
  <si>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</si>
  <si>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</si>
  <si>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</si>
  <si>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</si>
  <si>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</si>
  <si>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</si>
  <si>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</si>
  <si>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</si>
  <si>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</si>
  <si>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</si>
  <si>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</si>
  <si>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</si>
  <si>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</si>
  <si>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</si>
  <si>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</si>
  <si>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</si>
  <si>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</si>
  <si>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</si>
  <si>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</si>
  <si>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</si>
  <si>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</si>
  <si>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</si>
  <si>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</si>
  <si>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</si>
  <si>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</si>
  <si>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</si>
  <si>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</si>
  <si>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</si>
  <si>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</si>
  <si>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</si>
  <si>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</si>
  <si>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</si>
  <si>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</si>
  <si>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</si>
  <si>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</si>
  <si>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</si>
  <si>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</si>
  <si>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</si>
  <si>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</si>
  <si>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</si>
  <si>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</si>
  <si>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</si>
  <si>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</si>
  <si>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</si>
  <si>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</si>
  <si>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</si>
  <si>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</si>
  <si>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</si>
  <si>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</si>
  <si>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</si>
  <si>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</si>
  <si>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</si>
  <si>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</si>
  <si>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</si>
  <si>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</si>
  <si>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</si>
  <si>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</si>
  <si>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</si>
  <si>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</si>
  <si>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</si>
  <si>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</si>
  <si>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</si>
  <si>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</si>
  <si>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</si>
  <si>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</si>
  <si>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</si>
  <si>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</si>
  <si>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</si>
  <si>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</si>
  <si>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</si>
  <si>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</si>
  <si>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</si>
  <si>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</si>
  <si>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</si>
  <si>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</si>
  <si>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</si>
  <si>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</si>
  <si>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</si>
  <si>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</si>
  <si>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</si>
  <si>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</si>
  <si>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</si>
  <si>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</si>
  <si>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</si>
  <si>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</si>
  <si>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</si>
  <si>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</si>
  <si>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</si>
  <si>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</si>
  <si>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</si>
  <si>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</si>
  <si>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</si>
  <si>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</si>
  <si>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</si>
  <si>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</si>
  <si>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</si>
  <si>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</si>
  <si>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</si>
  <si>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</si>
  <si>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</si>
  <si>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</si>
  <si>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</si>
  <si>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</si>
  <si>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</si>
  <si>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</si>
  <si>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</si>
  <si>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</si>
  <si>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</si>
  <si>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</si>
  <si>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</si>
  <si>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</si>
  <si>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</si>
  <si>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</si>
  <si>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</si>
  <si>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</si>
  <si>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</si>
  <si>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</si>
  <si>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</si>
  <si>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</si>
  <si>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</si>
  <si>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</si>
  <si>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</si>
  <si>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</si>
  <si>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</si>
  <si>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</si>
  <si>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</si>
  <si>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</si>
  <si>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</si>
  <si>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</si>
  <si>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</si>
  <si>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</si>
  <si>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</si>
  <si>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</si>
  <si>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</si>
  <si>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</si>
  <si>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</si>
  <si>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</si>
  <si>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</si>
  <si>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</si>
  <si>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</si>
  <si>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</si>
  <si>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</si>
  <si>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</si>
  <si>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</si>
  <si>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</si>
  <si>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</si>
  <si>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</si>
  <si>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</si>
  <si>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</si>
  <si>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</si>
  <si>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</si>
  <si>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</si>
  <si>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</si>
  <si>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</si>
  <si>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</si>
  <si>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</si>
  <si>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</si>
  <si>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</si>
  <si>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</si>
  <si>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</si>
  <si>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</si>
  <si>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</si>
  <si>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</si>
  <si>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</si>
  <si>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</si>
  <si>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</si>
  <si>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</si>
  <si>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</si>
  <si>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</si>
  <si>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</si>
  <si>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</si>
  <si>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</si>
  <si>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</si>
  <si>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</si>
  <si>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</si>
  <si>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</si>
  <si>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</si>
  <si>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</si>
  <si>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</si>
  <si>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</si>
  <si>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</si>
  <si>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</si>
  <si>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</si>
  <si>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</si>
  <si>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</si>
  <si>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</si>
  <si>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</si>
  <si>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</si>
  <si>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</si>
  <si>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</si>
  <si>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</si>
  <si>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</si>
  <si>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</si>
  <si>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</si>
  <si>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</si>
  <si>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</si>
  <si>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</si>
  <si>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</si>
  <si>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</si>
  <si>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</si>
  <si>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</si>
  <si>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</si>
  <si>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</si>
  <si>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</si>
  <si>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</si>
  <si>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</si>
  <si>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</si>
  <si>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</si>
  <si>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</si>
  <si>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</si>
  <si>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</si>
  <si>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</si>
  <si>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</si>
  <si>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</si>
  <si>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</si>
  <si>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</si>
  <si>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</si>
  <si>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</si>
  <si>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</si>
  <si>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</si>
  <si>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</si>
  <si>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</si>
  <si>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</si>
  <si>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</si>
  <si>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</si>
  <si>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</si>
  <si>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</si>
  <si>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</si>
  <si>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</si>
  <si>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</si>
  <si>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</si>
  <si>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</si>
  <si>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</si>
  <si>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</si>
  <si>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</si>
  <si>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</si>
  <si>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</si>
  <si>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</si>
  <si>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</si>
  <si>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</si>
  <si>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</si>
  <si>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</si>
  <si>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</si>
  <si>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</si>
  <si>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</si>
  <si>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</si>
  <si>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</si>
  <si>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</si>
  <si>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</si>
  <si>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</si>
  <si>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</si>
  <si>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</si>
  <si>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</si>
  <si>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</si>
  <si>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</si>
  <si>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</si>
  <si>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</si>
  <si>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</si>
  <si>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</si>
  <si>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</si>
  <si>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</si>
  <si>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</si>
  <si>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</si>
  <si>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</si>
  <si>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</si>
  <si>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</si>
  <si>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</si>
  <si>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</si>
  <si>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</si>
  <si>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</si>
  <si>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</si>
  <si>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</si>
  <si>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</si>
  <si>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</si>
  <si>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</si>
  <si>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</si>
  <si>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</si>
  <si>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</si>
  <si>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</si>
  <si>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</si>
  <si>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</si>
  <si>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</si>
  <si>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</si>
  <si>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</si>
  <si>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</si>
  <si>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</si>
  <si>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</si>
  <si>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</si>
  <si>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</si>
  <si>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</si>
  <si>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</si>
  <si>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</si>
  <si>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</si>
  <si>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</si>
  <si>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</si>
  <si>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</si>
  <si>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</si>
  <si>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</si>
  <si>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</si>
  <si>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</si>
  <si>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</si>
  <si>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</si>
  <si>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</si>
  <si>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</si>
  <si>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</si>
  <si>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</si>
  <si>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</si>
  <si>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</si>
  <si>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</si>
  <si>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</si>
  <si>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</si>
  <si>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</si>
  <si>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</si>
  <si>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</si>
  <si>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</si>
  <si>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</si>
  <si>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</si>
  <si>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</si>
  <si>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</si>
  <si>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</si>
  <si>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</si>
  <si>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</si>
  <si>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</si>
  <si>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</si>
  <si>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</si>
  <si>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</si>
  <si>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</si>
  <si>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</si>
  <si>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</si>
  <si>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</si>
  <si>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</si>
  <si>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</si>
  <si>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</si>
  <si>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</si>
  <si>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</si>
  <si>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</si>
  <si>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</si>
  <si>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</si>
  <si>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</si>
  <si>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</si>
  <si>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</si>
  <si>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</si>
  <si>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</si>
  <si>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</si>
  <si>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</si>
  <si>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</si>
  <si>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</si>
  <si>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</si>
  <si>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</si>
  <si>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</si>
  <si>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</si>
  <si>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</si>
  <si>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</si>
  <si>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</si>
  <si>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</si>
  <si>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</si>
  <si>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</si>
  <si>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</si>
  <si>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</si>
  <si>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</si>
  <si>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</si>
  <si>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</si>
  <si>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</si>
  <si>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</si>
  <si>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</si>
  <si>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</si>
  <si>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</si>
  <si>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</si>
  <si>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</si>
  <si>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</si>
  <si>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</si>
  <si>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</si>
  <si>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</si>
  <si>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</si>
  <si>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</si>
  <si>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</si>
  <si>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</si>
  <si>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</si>
  <si>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</si>
  <si>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</si>
  <si>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</si>
  <si>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</si>
  <si>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</si>
  <si>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</si>
  <si>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</si>
  <si>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</si>
  <si>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</si>
  <si>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</si>
  <si>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</si>
  <si>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</si>
  <si>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</si>
  <si>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</si>
  <si>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</si>
  <si>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</si>
  <si>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</si>
  <si>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</si>
  <si>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</si>
  <si>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</si>
  <si>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</si>
  <si>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</si>
  <si>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</si>
  <si>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</si>
  <si>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</si>
  <si>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</si>
  <si>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</si>
  <si>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</si>
  <si>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</si>
  <si>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</si>
  <si>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</si>
  <si>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</si>
  <si>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</si>
  <si>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</si>
  <si>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</si>
  <si>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</si>
  <si>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</si>
  <si>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</si>
  <si>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</si>
  <si>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</si>
  <si>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</si>
  <si>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</si>
  <si>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</si>
  <si>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</si>
  <si>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</si>
  <si>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</si>
  <si>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</si>
  <si>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</si>
  <si>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</si>
  <si>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</si>
  <si>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</si>
  <si>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</si>
  <si>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</si>
  <si>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</si>
  <si>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</si>
  <si>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</si>
  <si>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</si>
  <si>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</si>
  <si>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</si>
  <si>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</si>
  <si>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</si>
  <si>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</si>
  <si>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</si>
  <si>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</si>
  <si>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</si>
  <si>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</si>
  <si>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</si>
  <si>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</si>
  <si>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</si>
  <si>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</si>
  <si>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</si>
  <si>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</si>
  <si>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</si>
  <si>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</si>
  <si>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</si>
  <si>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</si>
  <si>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</si>
  <si>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</si>
  <si>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</si>
  <si>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</si>
  <si>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</si>
  <si>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</si>
  <si>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</si>
  <si>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</si>
  <si>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</si>
  <si>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</si>
  <si>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</si>
  <si>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</si>
  <si>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</si>
  <si>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</si>
  <si>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</si>
  <si>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</si>
  <si>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</si>
  <si>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</si>
  <si>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</si>
  <si>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</si>
  <si>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</si>
  <si>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</si>
  <si>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</si>
  <si>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</si>
  <si>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</si>
  <si>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</si>
  <si>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</si>
  <si>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</si>
  <si>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</si>
  <si>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</si>
  <si>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</si>
  <si>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</si>
  <si>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</si>
  <si>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</si>
  <si>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</si>
  <si>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</si>
  <si>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</si>
  <si>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</si>
  <si>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</si>
  <si>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</si>
  <si>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</si>
  <si>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</si>
  <si>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</si>
  <si>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</si>
  <si>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</si>
  <si>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</si>
  <si>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</si>
  <si>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</si>
  <si>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</si>
  <si>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</si>
  <si>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</si>
  <si>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</si>
  <si>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</si>
  <si>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</si>
  <si>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</si>
  <si>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</si>
  <si>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</si>
  <si>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</si>
  <si>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</si>
  <si>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</si>
  <si>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</si>
  <si>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</si>
  <si>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</si>
  <si>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</si>
  <si>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</si>
  <si>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</si>
  <si>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</si>
  <si>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</si>
  <si>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</si>
  <si>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</si>
  <si>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</si>
  <si>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</si>
  <si>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</si>
  <si>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</si>
  <si>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</si>
  <si>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</si>
  <si>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</si>
  <si>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</si>
  <si>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</si>
  <si>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</si>
  <si>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</si>
  <si>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</si>
  <si>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</si>
  <si>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</si>
  <si>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</si>
  <si>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</si>
  <si>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</si>
  <si>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</si>
  <si>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</si>
  <si>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</si>
  <si>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</si>
  <si>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</si>
  <si>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</si>
  <si>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</si>
  <si>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</si>
  <si>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</si>
  <si>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</si>
  <si>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</si>
  <si>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</si>
  <si>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</si>
  <si>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</si>
  <si>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</si>
  <si>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</si>
  <si>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</si>
  <si>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</si>
  <si>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</si>
  <si>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</si>
  <si>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</si>
  <si>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</si>
  <si>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</si>
  <si>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</si>
  <si>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</si>
  <si>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</si>
  <si>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</si>
  <si>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</si>
  <si>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</si>
  <si>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</si>
  <si>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</si>
  <si>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</si>
  <si>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</si>
  <si>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</si>
  <si>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</si>
  <si>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</si>
  <si>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</si>
  <si>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</si>
  <si>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</si>
  <si>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</si>
  <si>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</si>
  <si>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</si>
  <si>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</si>
  <si>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</si>
  <si>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</si>
  <si>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</si>
  <si>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</si>
  <si>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</si>
  <si>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</si>
  <si>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</si>
  <si>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</si>
  <si>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</si>
  <si>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</si>
  <si>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</si>
  <si>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</si>
  <si>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</si>
  <si>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</si>
  <si>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</si>
  <si>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</si>
  <si>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</si>
  <si>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</si>
  <si>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</si>
  <si>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</si>
  <si>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</si>
  <si>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</si>
  <si>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</si>
  <si>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</si>
  <si>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</si>
  <si>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</si>
  <si>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</si>
  <si>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</si>
  <si>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</si>
  <si>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</si>
  <si>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</si>
  <si>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</si>
  <si>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</si>
  <si>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</si>
  <si>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</si>
  <si>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</si>
  <si>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</si>
  <si>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</si>
  <si>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</si>
  <si>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</si>
  <si>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</si>
  <si>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</si>
  <si>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</si>
  <si>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</si>
  <si>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</si>
  <si>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</si>
  <si>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</si>
  <si>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</si>
  <si>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</si>
  <si>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</si>
  <si>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</si>
  <si>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</si>
  <si>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</si>
  <si>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</si>
  <si>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</si>
  <si>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</si>
  <si>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</si>
  <si>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</si>
  <si>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</si>
  <si>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</si>
  <si>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</si>
  <si>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</si>
  <si>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</si>
  <si>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</si>
  <si>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</si>
  <si>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</si>
  <si>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</si>
  <si>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</si>
  <si>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</si>
  <si>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</si>
  <si>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</si>
  <si>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</si>
  <si>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</si>
  <si>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</si>
  <si>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</si>
  <si>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</si>
  <si>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</si>
  <si>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</si>
  <si>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</si>
  <si>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</si>
  <si>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</si>
  <si>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</si>
  <si>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</si>
  <si>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</si>
  <si>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</si>
  <si>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</si>
  <si>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</si>
  <si>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</si>
  <si>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</si>
  <si>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</si>
  <si>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</si>
  <si>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</si>
  <si>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</si>
  <si>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</si>
  <si>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</si>
  <si>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</si>
  <si>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</si>
  <si>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</si>
  <si>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</si>
  <si>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</si>
  <si>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</si>
  <si>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</si>
  <si>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</si>
  <si>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</si>
  <si>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</si>
  <si>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</si>
  <si>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</si>
  <si>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</si>
  <si>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</si>
  <si>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</si>
  <si>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</si>
  <si>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</si>
  <si>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</si>
  <si>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</si>
  <si>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</si>
  <si>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</si>
  <si>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</si>
  <si>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</si>
  <si>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</si>
  <si>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</si>
  <si>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</si>
  <si>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</si>
  <si>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</si>
  <si>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</si>
  <si>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</si>
  <si>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</si>
  <si>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</si>
  <si>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</si>
  <si>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</si>
  <si>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</si>
  <si>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</si>
  <si>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</si>
  <si>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</si>
  <si>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企业</t>
  </si>
  <si>
    <t>地上</t>
  </si>
  <si>
    <t>工业</t>
    <phoneticPr fontId="7" type="noConversion"/>
  </si>
  <si>
    <t>项目全部</t>
  </si>
  <si>
    <t>成本逼近法</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</si>
  <si>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</si>
  <si>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</si>
  <si>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</si>
  <si>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</si>
  <si>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</si>
  <si>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</si>
  <si>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</si>
  <si>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</si>
  <si>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</si>
  <si>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</si>
  <si>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</si>
  <si>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</si>
  <si>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</si>
  <si>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</si>
  <si>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</si>
  <si>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</si>
  <si>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</si>
  <si>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</si>
  <si>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</si>
  <si>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</si>
  <si>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</si>
  <si>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</si>
  <si>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</si>
  <si>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</si>
  <si>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</si>
  <si>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</si>
  <si>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</si>
  <si>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</si>
  <si>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</si>
  <si>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</si>
  <si>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</si>
  <si>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</si>
  <si>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</si>
  <si>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</si>
  <si>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</si>
  <si>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</si>
  <si>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</si>
  <si>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</si>
  <si>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</si>
  <si>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</si>
  <si>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</si>
  <si>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</si>
  <si>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</si>
  <si>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</si>
  <si>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</si>
  <si>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</si>
  <si>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</si>
  <si>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</si>
  <si>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</si>
  <si>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</si>
  <si>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</si>
  <si>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</si>
  <si>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</si>
  <si>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</si>
  <si>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</si>
  <si>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</si>
  <si>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</si>
  <si>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</si>
  <si>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</si>
  <si>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</si>
  <si>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</si>
  <si>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</si>
  <si>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</si>
  <si>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</si>
  <si>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</si>
  <si>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区域自然环境：小中河；人文环境：国家新闻出版广电总局研修学院；综合评价环境状况一般</t>
    <phoneticPr fontId="3" type="noConversion"/>
  </si>
  <si>
    <t>土地开发补偿费</t>
  </si>
  <si>
    <t>成新度</t>
  </si>
  <si>
    <t>押一</t>
  </si>
  <si>
    <t>不动产收益法</t>
  </si>
  <si>
    <t>按租金收入计税</t>
  </si>
  <si>
    <t>收储</t>
    <phoneticPr fontId="224" type="noConversion"/>
  </si>
  <si>
    <t>出让</t>
    <phoneticPr fontId="224" type="noConversion"/>
  </si>
  <si>
    <t>方法</t>
    <phoneticPr fontId="224"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</si>
  <si>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</si>
  <si>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</si>
  <si>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</si>
  <si>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</si>
  <si>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</si>
  <si>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</si>
  <si>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</si>
  <si>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</si>
  <si>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</si>
  <si>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</si>
  <si>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</si>
  <si>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</si>
  <si>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</si>
  <si>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</si>
  <si>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</si>
  <si>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</si>
  <si>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顺义新城3401街区(高丽营镇中关村顺义园三代半产业基地)3-2-4(北区)(3号地A)地块M1工业用地国有建设用地使用权出让</t>
  </si>
  <si>
    <t>京土储挂(顺)工业[2022]004号</t>
  </si>
  <si>
    <t xml:space="preserve"> 顺义区  </t>
  </si>
  <si>
    <t xml:space="preserve"> 已成交  </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</si>
  <si>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</si>
  <si>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</si>
  <si>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</si>
  <si>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</si>
  <si>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</si>
  <si>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</si>
  <si>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</si>
  <si>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</si>
  <si>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</si>
  <si>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</si>
  <si>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</si>
  <si>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</si>
  <si>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</si>
  <si>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</si>
  <si>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</si>
  <si>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</si>
  <si>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</si>
  <si>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</si>
  <si>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≥1.0,≤1.0  </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</si>
  <si>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</si>
  <si>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</si>
  <si>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</si>
  <si>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</si>
  <si>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</si>
  <si>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</si>
  <si>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</si>
  <si>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</si>
  <si>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</si>
  <si>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</si>
  <si>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</si>
  <si>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</si>
  <si>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</si>
  <si>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</si>
  <si>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</si>
  <si>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</si>
  <si>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</si>
  <si>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</si>
  <si>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</si>
  <si>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</si>
  <si>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</si>
  <si>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</si>
  <si>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</si>
  <si>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</si>
  <si>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</si>
  <si>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</si>
  <si>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</si>
  <si>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</si>
  <si>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</si>
  <si>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</si>
  <si>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</si>
  <si>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</si>
  <si>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</si>
  <si>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</si>
  <si>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</si>
  <si>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</si>
  <si>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</si>
  <si>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</si>
  <si>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</si>
  <si>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</si>
  <si>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</si>
  <si>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顺义区天竺综合保税区3-4(C12地块局部)地块</t>
  </si>
  <si>
    <t>京土整储挂(顺)工业[2017]002</t>
  </si>
  <si>
    <t xml:space="preserve"> W2普通仓储用地  </t>
  </si>
  <si>
    <t>2017-05-04</t>
  </si>
  <si>
    <t xml:space="preserve"> 经纬供应链管理(北京)有限公司  </t>
  </si>
  <si>
    <t>顺义区新城第26街区C-19(网内8号地)</t>
  </si>
  <si>
    <t>京土整储挂(顺)工业[2017]003</t>
  </si>
  <si>
    <t>2017-04-21</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</si>
  <si>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</si>
  <si>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</si>
  <si>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</si>
  <si>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</si>
  <si>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</si>
  <si>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</si>
  <si>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2016-10-25</t>
  </si>
  <si>
    <t xml:space="preserve"> 北京世纪澄通电子有限公司  </t>
  </si>
  <si>
    <t>顺义区高丽营镇中关村临空国际3-2-4(南区)地块工业项目</t>
  </si>
  <si>
    <t>京土整储挂(顺)工业【2015】003号</t>
  </si>
  <si>
    <t>2015-04-08</t>
  </si>
  <si>
    <t xml:space="preserve"> 北京聚利科技股份有限公司  </t>
  </si>
  <si>
    <t>顺义区高丽营镇中关村临空国际5-3-2地块工业项目</t>
  </si>
  <si>
    <t>京土整储挂(顺)工业【2015】004号</t>
  </si>
  <si>
    <t xml:space="preserve"> 北京轩宇信息技术有限公司  </t>
  </si>
  <si>
    <t>顺义区赵全营B5-02地块工业项目</t>
  </si>
  <si>
    <t>京土整储挂(顺)工业【2015】002号</t>
  </si>
  <si>
    <t>2015-03-16</t>
  </si>
  <si>
    <t xml:space="preserve"> 和仁顺通科技有限公司  </t>
  </si>
  <si>
    <t>顺义区高丽营镇中关村临空国际5-3-3地块工业项目</t>
  </si>
  <si>
    <t>京土整储挂(顺)工业【2015】001号</t>
  </si>
  <si>
    <t>2015-03-11</t>
  </si>
  <si>
    <t xml:space="preserve"> 北京轩宇空间科技有限公司  </t>
  </si>
  <si>
    <t>顺义区高丽营镇中关村临空国际2-1(西区)地块工业项目</t>
  </si>
  <si>
    <t>京土整储挂(顺)工业【2014】007号</t>
  </si>
  <si>
    <t>2014-06-10</t>
  </si>
  <si>
    <t xml:space="preserve"> 荣宝斋  </t>
  </si>
  <si>
    <t>马坡镇聚源产业基地A02-2-4工业项目</t>
  </si>
  <si>
    <t>京土整储挂(顺)工业【2014】003号</t>
  </si>
  <si>
    <t>2014-04-08</t>
  </si>
  <si>
    <t xml:space="preserve"> 北京庆东纳碧安热能设备有限公司  </t>
  </si>
  <si>
    <t>马坡镇聚源产业基地A02-2-3工业项目</t>
  </si>
  <si>
    <t>京土整储挂(顺)工业【2014】002号</t>
  </si>
  <si>
    <t>2014-04-02</t>
  </si>
  <si>
    <t xml:space="preserve"> 北京尚唐世纪文化投资有限公司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</si>
  <si>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</si>
  <si>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</si>
  <si>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</si>
  <si>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</si>
  <si>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</si>
  <si>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</si>
  <si>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</si>
  <si>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</si>
  <si>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</si>
  <si>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</si>
  <si>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</si>
  <si>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2014-03-03</t>
  </si>
  <si>
    <t xml:space="preserve"> 中传数字传播有限公司  </t>
  </si>
  <si>
    <t>顺义新城30街区32-05-2地块(北小营)</t>
  </si>
  <si>
    <t>京土整储挂(顺)工业[2013]007号</t>
  </si>
  <si>
    <t>2013-12-02</t>
  </si>
  <si>
    <t xml:space="preserve"> 科雅(北京)新型装饰材料有限公司  </t>
  </si>
  <si>
    <t>顺义新城第26街区c-07、08(综保区1号工业)</t>
  </si>
  <si>
    <t>京土整储挂(顺)工业[2013]005号</t>
  </si>
  <si>
    <t xml:space="preserve"> W1普通仓库用地  </t>
  </si>
  <si>
    <t>2013-10-30</t>
  </si>
  <si>
    <t xml:space="preserve"> 北京歌华美术公司  </t>
  </si>
  <si>
    <t>顺义新城第26街区c-12局部(综保区3-2号工业)</t>
  </si>
  <si>
    <t>京土整储挂(顺)工业[2013]006号</t>
  </si>
  <si>
    <t>2013-08-13</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</si>
  <si>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</si>
  <si>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</si>
  <si>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</si>
  <si>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</si>
  <si>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</si>
  <si>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</si>
  <si>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</si>
  <si>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顺义新城第9街区A08-01地块</t>
  </si>
  <si>
    <t>京土整储挂(顺)工业[2013]001号</t>
  </si>
  <si>
    <t>2013-07-29</t>
  </si>
  <si>
    <t xml:space="preserve"> 朗姿股份有限公司  </t>
  </si>
  <si>
    <t>顺义新城第7街区0701-031地块</t>
  </si>
  <si>
    <t>京土整储挂(顺)工业[2013]002号</t>
  </si>
  <si>
    <t>2013-07-18</t>
  </si>
  <si>
    <t xml:space="preserve"> 北京煤科天玛自动化科技有限公司  </t>
  </si>
  <si>
    <t>北京天竺综合保税区A-05-②</t>
  </si>
  <si>
    <t>京土整储挂(顺)工业[2012]018号</t>
  </si>
  <si>
    <t xml:space="preserve"> --  </t>
  </si>
  <si>
    <t>2013-01-30</t>
  </si>
  <si>
    <t xml:space="preserve"> smc(北京)制造有限公司  </t>
  </si>
  <si>
    <t>顺义新城第14街区14-01-20地块工业项目</t>
  </si>
  <si>
    <t>京土整储挂(顺)工业[2012]017号</t>
  </si>
  <si>
    <t>2012-12-28</t>
  </si>
  <si>
    <t xml:space="preserve"> 北京国舜新材料有限公司  </t>
  </si>
  <si>
    <t>顺义新城第14街区14-04-08工业项目</t>
  </si>
  <si>
    <t>京土整储挂(顺)工业[2012]015号</t>
  </si>
  <si>
    <t>2012-12-26</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</si>
  <si>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</si>
  <si>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</si>
  <si>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</si>
  <si>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</si>
  <si>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</si>
  <si>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</si>
  <si>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</si>
  <si>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顺义新城第14街区14-01-18(局部)地块工业项目</t>
  </si>
  <si>
    <t>京土整储挂(顺)工业[2012]016号</t>
  </si>
  <si>
    <t xml:space="preserve"> 北京怡宁歌工艺品有限公司  </t>
  </si>
  <si>
    <t>顺义区新城30街区30-26-02(地块二)</t>
  </si>
  <si>
    <t>京土整储挂(顺)工业[2012]002号</t>
  </si>
  <si>
    <t xml:space="preserve"> M工业用地  </t>
  </si>
  <si>
    <t>2012-09-17</t>
  </si>
  <si>
    <t xml:space="preserve"> 中粮(北京)饲料科技有限公司  </t>
  </si>
  <si>
    <t>马坡聚源A05-02-3地块</t>
  </si>
  <si>
    <t>京土整储挂(顺)工业[2012]011号</t>
  </si>
  <si>
    <t>2012-07-12</t>
  </si>
  <si>
    <t xml:space="preserve"> 北京中盛华维科技有限公司  </t>
  </si>
  <si>
    <t>马坡聚源A05-02-2地块</t>
  </si>
  <si>
    <t>京土整储挂(顺)工业[2012]010号</t>
  </si>
  <si>
    <t>2012-07-11</t>
  </si>
  <si>
    <t xml:space="preserve"> 北京亚美耳康科技发展有限公司  </t>
  </si>
  <si>
    <t>顺义区高丽营镇D4-01(局部)地块</t>
  </si>
  <si>
    <t>京土整储挂(顺)工业[2012]012号</t>
  </si>
  <si>
    <t>2012-06-07</t>
  </si>
  <si>
    <t xml:space="preserve"> 北京高丽营金马工业开发中心  </t>
  </si>
  <si>
    <t>马坡聚源A05-02-1地块</t>
  </si>
  <si>
    <t>京土整储挂(顺)工业[2012]009号</t>
  </si>
  <si>
    <t xml:space="preserve"> 北京瑞德埃克森医疗投资有限公司  </t>
  </si>
  <si>
    <t>顺义区新城30街区30-26-02(地块一)</t>
  </si>
  <si>
    <t>京土整储挂(顺)工业[2012]001号</t>
  </si>
  <si>
    <t>2012-05-21</t>
  </si>
  <si>
    <t xml:space="preserve"> 北京双健塑料包装制品有限公司  </t>
  </si>
  <si>
    <t>北京汽车生产基地4-081(局部)、4-092(局部)地块工业项目</t>
  </si>
  <si>
    <t>京土整储挂(顺)工业[2012]008号</t>
  </si>
  <si>
    <t>2012-02-23</t>
  </si>
  <si>
    <t xml:space="preserve"> 北京市全富木制品有限公司  </t>
  </si>
  <si>
    <t>赵全营镇A3-02(局部)地块工业项目</t>
  </si>
  <si>
    <t>京土整储挂(顺)工业[2012]006号</t>
  </si>
  <si>
    <t>2012-02-20</t>
  </si>
  <si>
    <t xml:space="preserve"> 人民教育出版印刷厂  </t>
  </si>
  <si>
    <t>北京汽车生产基地4-090-1地块工业项目</t>
  </si>
  <si>
    <t>京土整储挂(顺)工业[2012]007号</t>
  </si>
  <si>
    <t xml:space="preserve"> 宝泉钱币投资有限公司  </t>
  </si>
  <si>
    <t>成交价</t>
    <phoneticPr fontId="224" type="noConversion"/>
  </si>
  <si>
    <t>开发补偿费</t>
    <phoneticPr fontId="224" type="noConversion"/>
  </si>
  <si>
    <t>项目</t>
    <phoneticPr fontId="224" type="noConversion"/>
  </si>
  <si>
    <t>差额</t>
    <phoneticPr fontId="224" type="noConversion"/>
  </si>
  <si>
    <t>比例</t>
    <phoneticPr fontId="224" type="noConversion"/>
  </si>
  <si>
    <t>总价</t>
    <phoneticPr fontId="224" type="noConversion"/>
  </si>
  <si>
    <t>钢混</t>
  </si>
  <si>
    <t>权重总价</t>
    <phoneticPr fontId="224" type="noConversion"/>
  </si>
  <si>
    <t>权重单价</t>
    <phoneticPr fontId="224" type="noConversion"/>
  </si>
  <si>
    <t>用于生产经营的非住宅房屋的月租金</t>
    <phoneticPr fontId="224" type="noConversion"/>
  </si>
  <si>
    <t>日租金（元/平方米）</t>
    <phoneticPr fontId="224" type="noConversion"/>
  </si>
  <si>
    <t>天数（天）</t>
    <phoneticPr fontId="224" type="noConversion"/>
  </si>
  <si>
    <t>面积（平方米）</t>
    <phoneticPr fontId="224" type="noConversion"/>
  </si>
  <si>
    <t>合计（万元）</t>
    <phoneticPr fontId="224" type="noConversion"/>
  </si>
  <si>
    <t>月净利润</t>
    <phoneticPr fontId="224" type="noConversion"/>
  </si>
  <si>
    <t>停产停业损失补偿费=（用于生产经营的非住宅房屋的月租金+月净利润×修正系数+员工月生活补助）×停产停业补偿期限</t>
    <phoneticPr fontId="224" type="noConversion"/>
  </si>
  <si>
    <t>年度</t>
    <phoneticPr fontId="224" type="noConversion"/>
  </si>
  <si>
    <t>月度</t>
    <phoneticPr fontId="224" type="noConversion"/>
  </si>
  <si>
    <t>——</t>
    <phoneticPr fontId="224" type="noConversion"/>
  </si>
  <si>
    <r>
      <t>前12个月</t>
    </r>
    <r>
      <rPr>
        <sz val="11"/>
        <color theme="1"/>
        <rFont val="宋体"/>
        <family val="3"/>
        <charset val="134"/>
        <scheme val="minor"/>
      </rPr>
      <t>平均净利润</t>
    </r>
    <phoneticPr fontId="224" type="noConversion"/>
  </si>
  <si>
    <t>修正系数</t>
    <phoneticPr fontId="224" type="noConversion"/>
  </si>
  <si>
    <t>员工月生活补助</t>
    <phoneticPr fontId="224" type="noConversion"/>
  </si>
  <si>
    <t>人数</t>
    <phoneticPr fontId="224" type="noConversion"/>
  </si>
  <si>
    <t>补偿金额(元/月）</t>
    <phoneticPr fontId="224" type="noConversion"/>
  </si>
  <si>
    <t>停产停业补偿期限</t>
    <phoneticPr fontId="224" type="noConversion"/>
  </si>
  <si>
    <t>期限（月）</t>
    <phoneticPr fontId="224" type="noConversion"/>
  </si>
  <si>
    <t>被征收房屋容积率小于0.5的修正</t>
    <phoneticPr fontId="224" type="noConversion"/>
  </si>
  <si>
    <t>1-9月</t>
    <phoneticPr fontId="224" type="noConversion"/>
  </si>
  <si>
    <t>2021年净利润</t>
    <phoneticPr fontId="224" type="noConversion"/>
  </si>
  <si>
    <t>2022年1-9月净利润</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</si>
</sst>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9.9978637043366805E-2"/>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282" fillId="0" borderId="0"/>
  </cellStyleXfs>
  <cellXfs count="42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5" fontId="141" fillId="0" borderId="2" xfId="1" applyNumberFormat="1" applyBorder="1" applyAlignment="1">
      <alignment horizontal="center" vertical="center"/>
    </xf>
    <xf numFmtId="0" fontId="141" fillId="0" borderId="0" xfId="1" applyAlignment="1">
      <alignment vertical="center" wrapText="1"/>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281" fillId="0" borderId="51" xfId="0" applyFont="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wrapTex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41" fillId="0" borderId="0" xfId="1" applyAlignment="1">
      <alignment horizontal="center" vertical="center"/>
    </xf>
    <xf numFmtId="0" fontId="282" fillId="0" borderId="0" xfId="16"/>
    <xf numFmtId="14" fontId="282" fillId="0" borderId="0" xfId="16" applyNumberFormat="1"/>
    <xf numFmtId="0" fontId="282" fillId="6" borderId="0" xfId="16" applyFill="1"/>
    <xf numFmtId="0" fontId="282" fillId="0" borderId="0" xfId="16" applyAlignment="1">
      <alignment horizontal="left"/>
    </xf>
    <xf numFmtId="0" fontId="141" fillId="0" borderId="2" xfId="1" applyBorder="1" applyAlignment="1">
      <alignment horizontal="center" vertical="center"/>
    </xf>
    <xf numFmtId="0" fontId="142" fillId="6" borderId="0" xfId="1" applyFont="1" applyFill="1">
      <alignment vertical="center"/>
    </xf>
    <xf numFmtId="0" fontId="141" fillId="0" borderId="2" xfId="0" applyFont="1" applyBorder="1">
      <alignment vertical="center"/>
    </xf>
    <xf numFmtId="0" fontId="141" fillId="0" borderId="2" xfId="0" applyFont="1" applyBorder="1" applyAlignment="1">
      <alignment horizontal="center" vertical="center"/>
    </xf>
    <xf numFmtId="2" fontId="141"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1" fillId="0" borderId="10" xfId="1" applyBorder="1" applyAlignment="1">
      <alignment horizontal="center" vertical="center"/>
    </xf>
    <xf numFmtId="0" fontId="141" fillId="0" borderId="21" xfId="1" applyBorder="1" applyAlignment="1">
      <alignment horizontal="center" vertical="center"/>
    </xf>
    <xf numFmtId="0" fontId="141" fillId="16" borderId="0" xfId="1" applyFill="1" applyAlignment="1">
      <alignment horizontal="center" vertical="center"/>
    </xf>
    <xf numFmtId="0" fontId="142" fillId="21" borderId="2" xfId="1" applyFont="1" applyFill="1" applyBorder="1" applyAlignment="1">
      <alignment horizontal="center" vertical="center"/>
    </xf>
    <xf numFmtId="0" fontId="141" fillId="0" borderId="2" xfId="1" applyBorder="1" applyAlignment="1">
      <alignment horizontal="center" vertical="center"/>
    </xf>
    <xf numFmtId="0" fontId="142" fillId="22" borderId="2" xfId="1" applyFont="1" applyFill="1" applyBorder="1" applyAlignment="1">
      <alignment horizontal="center" vertical="center"/>
    </xf>
    <xf numFmtId="2" fontId="141" fillId="0" borderId="2" xfId="1" applyNumberFormat="1" applyBorder="1" applyAlignment="1">
      <alignment horizontal="center" vertical="center"/>
    </xf>
    <xf numFmtId="0" fontId="0" fillId="8" borderId="2" xfId="0" applyFill="1" applyBorder="1" applyAlignment="1">
      <alignment horizontal="center" vertical="center"/>
    </xf>
    <xf numFmtId="0" fontId="0" fillId="0" borderId="2" xfId="0" applyBorder="1" applyAlignment="1">
      <alignment horizontal="center" vertical="center"/>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67" fillId="5" borderId="8"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0"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7"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32" fillId="12" borderId="11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232" fillId="12" borderId="129"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123" fillId="0" borderId="2" xfId="0" applyFont="1" applyBorder="1" applyAlignment="1"/>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95" fontId="141" fillId="0" borderId="0" xfId="1" applyNumberFormat="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28</xdr:col>
      <xdr:colOff>303800</xdr:colOff>
      <xdr:row>7</xdr:row>
      <xdr:rowOff>142721</xdr:rowOff>
    </xdr:to>
    <xdr:pic>
      <xdr:nvPicPr>
        <xdr:cNvPr id="2" name="图片 1">
          <a:extLst>
            <a:ext uri="{FF2B5EF4-FFF2-40B4-BE49-F238E27FC236}">
              <a16:creationId xmlns:a16="http://schemas.microsoft.com/office/drawing/2014/main" xmlns="" id="{B3031470-5DB1-4B58-AB23-F1735122DC5E}"/>
            </a:ext>
          </a:extLst>
        </xdr:cNvPr>
        <xdr:cNvPicPr>
          <a:picLocks noChangeAspect="1"/>
        </xdr:cNvPicPr>
      </xdr:nvPicPr>
      <xdr:blipFill>
        <a:blip xmlns:r="http://schemas.openxmlformats.org/officeDocument/2006/relationships" r:embed="rId1"/>
        <a:stretch>
          <a:fillRect/>
        </a:stretch>
      </xdr:blipFill>
      <xdr:spPr>
        <a:xfrm>
          <a:off x="18535650" y="180975"/>
          <a:ext cx="8000000" cy="1228571"/>
        </a:xfrm>
        <a:prstGeom prst="rect">
          <a:avLst/>
        </a:prstGeom>
      </xdr:spPr>
    </xdr:pic>
    <xdr:clientData/>
  </xdr:twoCellAnchor>
  <xdr:twoCellAnchor editAs="oneCell">
    <xdr:from>
      <xdr:col>18</xdr:col>
      <xdr:colOff>0</xdr:colOff>
      <xdr:row>8</xdr:row>
      <xdr:rowOff>0</xdr:rowOff>
    </xdr:from>
    <xdr:to>
      <xdr:col>27</xdr:col>
      <xdr:colOff>665790</xdr:colOff>
      <xdr:row>15</xdr:row>
      <xdr:rowOff>152223</xdr:rowOff>
    </xdr:to>
    <xdr:pic>
      <xdr:nvPicPr>
        <xdr:cNvPr id="3" name="图片 2">
          <a:extLst>
            <a:ext uri="{FF2B5EF4-FFF2-40B4-BE49-F238E27FC236}">
              <a16:creationId xmlns:a16="http://schemas.microsoft.com/office/drawing/2014/main" xmlns="" id="{AB69AA37-AD14-462C-9984-0325260BFA6A}"/>
            </a:ext>
          </a:extLst>
        </xdr:cNvPr>
        <xdr:cNvPicPr>
          <a:picLocks noChangeAspect="1"/>
        </xdr:cNvPicPr>
      </xdr:nvPicPr>
      <xdr:blipFill>
        <a:blip xmlns:r="http://schemas.openxmlformats.org/officeDocument/2006/relationships" r:embed="rId2"/>
        <a:stretch>
          <a:fillRect/>
        </a:stretch>
      </xdr:blipFill>
      <xdr:spPr>
        <a:xfrm>
          <a:off x="18535650" y="1447800"/>
          <a:ext cx="7676190" cy="1419048"/>
        </a:xfrm>
        <a:prstGeom prst="rect">
          <a:avLst/>
        </a:prstGeom>
      </xdr:spPr>
    </xdr:pic>
    <xdr:clientData/>
  </xdr:twoCellAnchor>
  <xdr:twoCellAnchor editAs="oneCell">
    <xdr:from>
      <xdr:col>28</xdr:col>
      <xdr:colOff>0</xdr:colOff>
      <xdr:row>5</xdr:row>
      <xdr:rowOff>0</xdr:rowOff>
    </xdr:from>
    <xdr:to>
      <xdr:col>39</xdr:col>
      <xdr:colOff>237152</xdr:colOff>
      <xdr:row>11</xdr:row>
      <xdr:rowOff>9388</xdr:rowOff>
    </xdr:to>
    <xdr:pic>
      <xdr:nvPicPr>
        <xdr:cNvPr id="4" name="图片 3">
          <a:extLst>
            <a:ext uri="{FF2B5EF4-FFF2-40B4-BE49-F238E27FC236}">
              <a16:creationId xmlns:a16="http://schemas.microsoft.com/office/drawing/2014/main" xmlns="" id="{684AC3C6-801C-4577-AB6E-9312D9703E1F}"/>
            </a:ext>
          </a:extLst>
        </xdr:cNvPr>
        <xdr:cNvPicPr>
          <a:picLocks noChangeAspect="1"/>
        </xdr:cNvPicPr>
      </xdr:nvPicPr>
      <xdr:blipFill>
        <a:blip xmlns:r="http://schemas.openxmlformats.org/officeDocument/2006/relationships" r:embed="rId3"/>
        <a:stretch>
          <a:fillRect/>
        </a:stretch>
      </xdr:blipFill>
      <xdr:spPr>
        <a:xfrm>
          <a:off x="26231850" y="904875"/>
          <a:ext cx="778095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2-1-0109&#21271;&#20140;&#24066;&#39034;&#20041;&#21306;&#39034;&#36890;&#36335;&#35199;&#20391;&#21452;&#27827;&#36335;&#21271;&#65288;&#31077;&#20113;&#65289;/&#27979;&#31639;-&#39034;&#37995;&#31077;&#20113;04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65311;&#23457;&#35745;&#25253;&#21578;/&#27979;&#31639;&#65288;&#19987;&#23478;&#2025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6164;&#26009;/&#21033;&#28070;&#34920;-2021-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5253;&#21578;&#20204;/&#22303;&#22320;/&#39034;&#20041;&#20912;&#22697;&#22697;/&#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顺义区顺通路西侧双河路北</v>
          </cell>
        </row>
        <row r="43">
          <cell r="B43">
            <v>0</v>
          </cell>
          <cell r="C43">
            <v>0</v>
          </cell>
          <cell r="D43">
            <v>0</v>
          </cell>
          <cell r="E43" t="str">
            <v>七级</v>
          </cell>
        </row>
      </sheetData>
      <sheetData sheetId="10"/>
      <sheetData sheetId="11"/>
      <sheetData sheetId="12">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7">
          <cell r="G17">
            <v>0</v>
          </cell>
        </row>
        <row r="22">
          <cell r="G22">
            <v>0</v>
          </cell>
        </row>
        <row r="23">
          <cell r="G23" t="str">
            <v>七级</v>
          </cell>
        </row>
      </sheetData>
      <sheetData sheetId="15"/>
      <sheetData sheetId="16"/>
      <sheetData sheetId="17"/>
      <sheetData sheetId="18"/>
      <sheetData sheetId="19">
        <row r="24">
          <cell r="P24">
            <v>1.18E-2</v>
          </cell>
        </row>
      </sheetData>
      <sheetData sheetId="20"/>
      <sheetData sheetId="21">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2"/>
      <sheetData sheetId="23"/>
      <sheetData sheetId="24"/>
      <sheetData sheetId="25"/>
      <sheetData sheetId="26">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8"/>
      <sheetData sheetId="29"/>
      <sheetData sheetId="30"/>
      <sheetData sheetId="31"/>
      <sheetData sheetId="32"/>
      <sheetData sheetId="33"/>
      <sheetData sheetId="34"/>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2">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sheetData sheetId="11" refreshError="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efreshError="1"/>
      <sheetData sheetId="21" refreshError="1"/>
      <sheetData sheetId="22" refreshError="1"/>
      <sheetData sheetId="23" refreshError="1"/>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40" refreshError="1"/>
      <sheetData sheetId="41" refreshError="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50"/>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1768</v>
          </cell>
        </row>
      </sheetData>
      <sheetData sheetId="33">
        <row r="33">
          <cell r="C33">
            <v>1946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润表"/>
    </sheetNames>
    <sheetDataSet>
      <sheetData sheetId="0">
        <row r="26">
          <cell r="C26">
            <v>1265212.1899999976</v>
          </cell>
          <cell r="D26">
            <v>30544958.320000034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北京市出让国有建设用地使用权市场价格预评估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受贵公司委托，我公司对北京市出让国有建设用地使用权市场价格进行了预评估。</v>
      </c>
      <c r="AM6" s="2548"/>
    </row>
    <row r="7" spans="1:55" s="2522" customFormat="1">
      <c r="A7" s="2523" t="s">
        <v>2423</v>
      </c>
      <c r="B7" s="2524" t="str">
        <f>'预评函-1'!A6</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本次评估为委托估价方了解标的物之市场价格提供参考依据而评估出让国有建设用地使用权市场价格。</v>
      </c>
    </row>
    <row r="10" spans="1:55" s="2522" customFormat="1">
      <c r="A10" s="2523" t="s">
        <v>2425</v>
      </c>
      <c r="B10" s="2524" t="str">
        <f>'预评函-1'!A11</f>
        <v>2022年11月2日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根据《国有土地使用证》[]，估价对象（分摊）出让国有建设用地使用权面积为27531平方米。根据《建设工程规划许可证》[]、《出让合同》[]，估价对象规划建筑面积为6250.48平方米。</v>
      </c>
    </row>
    <row r="16" spans="1:55" s="2522" customFormat="1">
      <c r="A16" s="2523" t="s">
        <v>2435</v>
      </c>
      <c r="B16" s="252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2072年11月1日。截至估价期日，出让国有建设用地使用权剩余土地使用年限为。</v>
      </c>
    </row>
    <row r="17" spans="1:48" s="2522" customFormat="1">
      <c r="A17" s="2523" t="s">
        <v>2436</v>
      </c>
      <c r="B17" s="2524" t="str">
        <f>'预评函-1'!A23</f>
        <v>本次评估设定估价对象剩余土地使用年限为。</v>
      </c>
    </row>
    <row r="18" spans="1:48" s="2522" customFormat="1">
      <c r="A18" s="2523" t="s">
        <v>2437</v>
      </c>
      <c r="B18" s="2524" t="str">
        <f>'预评函-1'!A25</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23" t="s">
        <v>2442</v>
      </c>
      <c r="B23" s="2524" t="str">
        <f>'预评函-2'!K2</f>
        <v>估价期日：2022年11月2日</v>
      </c>
    </row>
    <row r="24" spans="1:48">
      <c r="A24" s="2523" t="s">
        <v>2443</v>
      </c>
      <c r="B24" s="2524" t="str">
        <f>'预评函-2'!R2</f>
        <v>估价期日的国有建设用地使用权性质：出让</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f>'预评函-2'!M5</f>
        <v>0</v>
      </c>
    </row>
    <row r="42" spans="1:2">
      <c r="A42" s="2523" t="s">
        <v>2505</v>
      </c>
      <c r="B42" s="2524" t="str">
        <f>'预评函-2'!N3</f>
        <v>（分摊）出让国有建设用地使用权面积/㎡</v>
      </c>
    </row>
    <row r="43" spans="1:2">
      <c r="A43" s="2523" t="s">
        <v>2487</v>
      </c>
      <c r="B43" s="2524">
        <f>'预评函-2'!N5</f>
        <v>27531</v>
      </c>
    </row>
    <row r="44" spans="1:2">
      <c r="A44" s="2523" t="s">
        <v>2506</v>
      </c>
      <c r="B44" s="2524" t="str">
        <f>'预评函-2'!O3</f>
        <v>规划建筑面积/㎡</v>
      </c>
    </row>
    <row r="45" spans="1:2">
      <c r="A45" s="2523" t="s">
        <v>2488</v>
      </c>
      <c r="B45" s="2524">
        <f>'预评函-2'!O5</f>
        <v>6250.48</v>
      </c>
    </row>
    <row r="46" spans="1:2">
      <c r="A46" s="2523" t="s">
        <v>2489</v>
      </c>
      <c r="B46" s="2524">
        <f ca="1">'预评函-2'!P5</f>
        <v>4694</v>
      </c>
    </row>
    <row r="47" spans="1:2">
      <c r="A47" s="2523" t="s">
        <v>2490</v>
      </c>
      <c r="B47" s="2524">
        <f ca="1">'预评函-2'!Q5</f>
        <v>20675</v>
      </c>
    </row>
    <row r="48" spans="1:2">
      <c r="A48" s="2523" t="s">
        <v>2491</v>
      </c>
      <c r="B48" s="2524">
        <f ca="1">'预评函-2'!R5</f>
        <v>12923</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I17" sqref="I17"/>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869" t="str">
        <f>IF(B10="北京市","北京市",C10)&amp;F10&amp;B16&amp;"国有建设用地使用权"&amp;B9&amp;"预评估"</f>
        <v>北京市出让国有建设用地使用权市场价格预评估</v>
      </c>
      <c r="C1" s="3870"/>
      <c r="D1" s="3870"/>
      <c r="E1" s="3870"/>
      <c r="F1" s="3870"/>
      <c r="G1" s="3870"/>
      <c r="H1" s="3870"/>
      <c r="I1" s="3871"/>
      <c r="J1" s="2990"/>
      <c r="K1" s="2246" t="str">
        <f>IF(B10="北京市","北京市",C10)&amp;F10&amp;B16&amp;"国有建设用地使用权"&amp;B9</f>
        <v>北京市出让国有建设用地使用权市场价格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北京市出让国有建设用地使用权</v>
      </c>
      <c r="L2" s="2969"/>
      <c r="M2" s="2969"/>
      <c r="N2" s="2970"/>
      <c r="O2" s="2971"/>
      <c r="P2" s="2970"/>
      <c r="Q2" s="2970"/>
      <c r="R2" s="2970"/>
      <c r="S2" s="2970"/>
      <c r="T2" s="2970"/>
      <c r="U2" s="2970"/>
    </row>
    <row r="3" spans="1:21">
      <c r="A3" s="1536" t="s">
        <v>1720</v>
      </c>
      <c r="B3" s="1537"/>
      <c r="C3" s="2913" t="s">
        <v>1776</v>
      </c>
      <c r="D3" s="1537">
        <v>44867</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2809</v>
      </c>
      <c r="C8" s="1546"/>
      <c r="D8" s="3875"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3163</v>
      </c>
      <c r="C9" s="1549"/>
      <c r="D9" s="3876"/>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3164</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872"/>
      <c r="C12" s="3873"/>
      <c r="D12" s="3874"/>
      <c r="E12" s="1568" t="s">
        <v>1842</v>
      </c>
      <c r="F12" s="3890" t="s">
        <v>2651</v>
      </c>
      <c r="G12" s="3891"/>
      <c r="H12" s="3891"/>
      <c r="I12" s="3892"/>
      <c r="J12" s="2990"/>
      <c r="K12" s="2973"/>
      <c r="L12" s="2969"/>
      <c r="M12" s="2969"/>
      <c r="N12" s="2970"/>
      <c r="O12" s="2971"/>
      <c r="P12" s="2970"/>
      <c r="Q12" s="2970"/>
      <c r="R12" s="2970"/>
      <c r="S12" s="2970"/>
      <c r="T12" s="2970"/>
      <c r="U12" s="2970"/>
    </row>
    <row r="13" spans="1:21">
      <c r="A13" s="1559" t="s">
        <v>1840</v>
      </c>
      <c r="B13" s="3872"/>
      <c r="C13" s="3873"/>
      <c r="D13" s="3874"/>
      <c r="E13" s="1568" t="s">
        <v>1842</v>
      </c>
      <c r="F13" s="3890" t="s">
        <v>2652</v>
      </c>
      <c r="G13" s="3891"/>
      <c r="H13" s="3891"/>
      <c r="I13" s="3892"/>
      <c r="J13" s="2990"/>
      <c r="K13" s="2973"/>
      <c r="L13" s="2969"/>
      <c r="M13" s="2969"/>
      <c r="N13" s="2970"/>
      <c r="O13" s="2971"/>
      <c r="P13" s="2970"/>
      <c r="Q13" s="2970"/>
      <c r="R13" s="2970"/>
      <c r="S13" s="2970"/>
      <c r="T13" s="2970"/>
      <c r="U13" s="2970"/>
    </row>
    <row r="14" spans="1:21">
      <c r="A14" s="1536" t="s">
        <v>1843</v>
      </c>
      <c r="B14" s="1568"/>
      <c r="C14" s="1705"/>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ht="28.5">
      <c r="A16" s="2918" t="s">
        <v>1728</v>
      </c>
      <c r="B16" s="1554" t="s">
        <v>2809</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工业2072年11月1日</v>
      </c>
    </row>
    <row r="17" spans="1:21">
      <c r="A17" s="1627"/>
      <c r="B17" s="1555"/>
      <c r="C17" s="2919" t="s">
        <v>1736</v>
      </c>
      <c r="D17" s="3185"/>
      <c r="E17" s="3185"/>
      <c r="F17" s="3185"/>
      <c r="G17" s="3185"/>
      <c r="H17" s="3185"/>
      <c r="I17" s="3185">
        <v>63129</v>
      </c>
      <c r="J17" s="2990"/>
      <c r="K17" s="2968" t="str">
        <f>CONCATENATE(K16,L16,M16,N16,O16,P16,Q16,R16,S16,T16,,U16)</f>
        <v>工业2072年11月1日</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t="str">
        <f>IF(B16="出让",IF(D17="","",ROUNDDOWN(MIN((D17-$D$3)/365,D18),2)),D18)</f>
        <v/>
      </c>
      <c r="E19" s="1557" t="str">
        <f>IF(B16="出让",IF(E17="","",ROUNDDOWN(MIN((E17-$D$3)/365,E18),2)),E18)</f>
        <v/>
      </c>
      <c r="F19" s="1557" t="str">
        <f>IF(B16="出让",IF(F17="","",ROUNDDOWN(MIN((F17-$D$3)/365,F18),2)),F18)</f>
        <v/>
      </c>
      <c r="G19" s="1557" t="str">
        <f>IF(B16="出让",IF(G17="","",ROUNDDOWN(MIN((G17-$D$3)/365,G18),2)),G18)</f>
        <v/>
      </c>
      <c r="H19" s="1557" t="str">
        <f>IF(B16="出让",IF(H17="","",ROUNDDOWN(MIN((H17-$D$3)/365,H18),2)),H18)</f>
        <v/>
      </c>
      <c r="I19" s="1557">
        <f>IF(B16="出让",IF(I17="","",ROUNDDOWN(MIN((I17-$D$3)/365,I18),2)),I18)</f>
        <v>50</v>
      </c>
      <c r="J19" s="2990"/>
      <c r="K19" s="2973"/>
      <c r="L19" s="2969"/>
      <c r="M19" s="2969"/>
      <c r="N19" s="2970"/>
      <c r="O19" s="2971"/>
      <c r="P19" s="2970"/>
      <c r="Q19" s="2970"/>
      <c r="R19" s="2970"/>
      <c r="S19" s="2970"/>
      <c r="T19" s="2970"/>
      <c r="U19" s="2970"/>
    </row>
    <row r="20" spans="1:21">
      <c r="A20" s="1647"/>
      <c r="B20" s="1648"/>
      <c r="C20" s="1649" t="s">
        <v>1841</v>
      </c>
      <c r="D20" s="3887"/>
      <c r="E20" s="3888"/>
      <c r="F20" s="3888"/>
      <c r="G20" s="3888"/>
      <c r="H20" s="3888"/>
      <c r="I20" s="3889"/>
      <c r="J20" s="2990"/>
      <c r="K20" s="2973"/>
      <c r="L20" s="2969"/>
      <c r="M20" s="2969"/>
      <c r="N20" s="2970"/>
      <c r="O20" s="2971"/>
      <c r="P20" s="2970"/>
      <c r="Q20" s="2970"/>
      <c r="R20" s="2970"/>
      <c r="S20" s="2970"/>
      <c r="T20" s="2970"/>
      <c r="U20" s="2970"/>
    </row>
    <row r="21" spans="1:21">
      <c r="A21" s="1627" t="s">
        <v>1739</v>
      </c>
      <c r="B21" s="1628" t="s">
        <v>1740</v>
      </c>
      <c r="C21" s="1623">
        <f>'数据-汇总表'!E3</f>
        <v>6250.48</v>
      </c>
      <c r="D21" s="1624" t="s">
        <v>1741</v>
      </c>
      <c r="E21" s="3877" t="s">
        <v>1779</v>
      </c>
      <c r="F21" s="3878"/>
      <c r="G21" s="3878"/>
      <c r="H21" s="3878"/>
      <c r="I21" s="3879"/>
      <c r="J21" s="2990"/>
      <c r="K21" s="2973"/>
      <c r="L21" s="2969"/>
      <c r="M21" s="2969"/>
      <c r="N21" s="2970"/>
      <c r="O21" s="2971"/>
      <c r="P21" s="2970"/>
      <c r="Q21" s="2970"/>
      <c r="R21" s="2970"/>
      <c r="S21" s="2970"/>
      <c r="T21" s="2970"/>
      <c r="U21" s="2970"/>
    </row>
    <row r="22" spans="1:21">
      <c r="A22" s="2728" t="s">
        <v>922</v>
      </c>
      <c r="B22" s="1536" t="s">
        <v>1742</v>
      </c>
      <c r="C22" s="1558">
        <f>'数据-汇总表'!D3</f>
        <v>27531</v>
      </c>
      <c r="D22" s="1559" t="s">
        <v>1741</v>
      </c>
      <c r="E22" s="3877" t="s">
        <v>2653</v>
      </c>
      <c r="F22" s="3878"/>
      <c r="G22" s="3878"/>
      <c r="H22" s="3878"/>
      <c r="I22" s="3879"/>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880" t="s">
        <v>1747</v>
      </c>
      <c r="C24" s="3881"/>
      <c r="D24" s="3882" t="s">
        <v>1748</v>
      </c>
      <c r="E24" s="3883"/>
      <c r="F24" s="1576" t="s">
        <v>1749</v>
      </c>
      <c r="G24" s="2990"/>
      <c r="H24" s="2990"/>
      <c r="I24" s="2994"/>
      <c r="J24" s="2990"/>
      <c r="K24" s="3868"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868"/>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868"/>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3854" t="s">
        <v>1782</v>
      </c>
      <c r="B31" s="1628" t="s">
        <v>1783</v>
      </c>
      <c r="C31" s="3893"/>
      <c r="D31" s="3894"/>
      <c r="E31" s="2990"/>
      <c r="F31" s="2990"/>
      <c r="G31" s="2990"/>
      <c r="H31" s="2990"/>
      <c r="I31" s="2994"/>
      <c r="J31" s="2990"/>
      <c r="K31" s="2976"/>
      <c r="L31" s="2970"/>
      <c r="M31" s="2970"/>
      <c r="N31" s="2970"/>
      <c r="O31" s="2970"/>
      <c r="P31" s="2970"/>
      <c r="Q31" s="2970"/>
      <c r="R31" s="2970"/>
      <c r="S31" s="2970"/>
      <c r="T31" s="2970"/>
      <c r="U31" s="2970"/>
    </row>
    <row r="32" spans="1:21">
      <c r="A32" s="3854"/>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854"/>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855"/>
      <c r="B34" s="1536" t="s">
        <v>1786</v>
      </c>
      <c r="C34" s="3856"/>
      <c r="D34" s="3857"/>
      <c r="E34" s="2990"/>
      <c r="F34" s="2990"/>
      <c r="G34" s="2990"/>
      <c r="H34" s="2990"/>
      <c r="I34" s="2994"/>
      <c r="J34" s="2990"/>
      <c r="K34" s="2976"/>
      <c r="L34" s="2970"/>
      <c r="M34" s="2970"/>
      <c r="N34" s="2970"/>
      <c r="O34" s="2970"/>
      <c r="P34" s="2970"/>
      <c r="Q34" s="2970"/>
      <c r="R34" s="2970"/>
      <c r="S34" s="2970"/>
      <c r="T34" s="2970"/>
      <c r="U34" s="2970"/>
    </row>
    <row r="35" spans="1:28">
      <c r="A35" s="3858" t="s">
        <v>818</v>
      </c>
      <c r="B35" s="1590"/>
      <c r="C35" s="1637" t="str">
        <f>IF(B35="场地平整","——","具体情况：")</f>
        <v>具体情况：</v>
      </c>
      <c r="D35" s="3860"/>
      <c r="E35" s="3861"/>
      <c r="F35" s="3861"/>
      <c r="G35" s="3861"/>
      <c r="H35" s="3861"/>
      <c r="I35" s="3862"/>
      <c r="J35" s="2990"/>
      <c r="K35" s="2977"/>
      <c r="L35" s="2969"/>
      <c r="M35" s="2969"/>
      <c r="N35" s="2970"/>
      <c r="O35" s="2971"/>
      <c r="P35" s="2970"/>
      <c r="Q35" s="2970"/>
      <c r="R35" s="2970"/>
      <c r="S35" s="2970"/>
      <c r="T35" s="2970"/>
      <c r="U35" s="2970"/>
    </row>
    <row r="36" spans="1:28">
      <c r="A36" s="3854"/>
      <c r="B36" s="3863" t="s">
        <v>1835</v>
      </c>
      <c r="C36" s="3864"/>
      <c r="D36" s="1653"/>
      <c r="E36" s="3865"/>
      <c r="F36" s="3865"/>
      <c r="G36" s="1559" t="str">
        <f>IF(B35="场地未平整","估价结果处理","")</f>
        <v/>
      </c>
      <c r="H36" s="3866"/>
      <c r="I36" s="3866"/>
      <c r="J36" s="2990"/>
      <c r="K36" s="2977"/>
      <c r="L36" s="2969"/>
      <c r="M36" s="2969"/>
      <c r="N36" s="2970"/>
      <c r="O36" s="2971"/>
      <c r="P36" s="2970"/>
      <c r="Q36" s="2970"/>
      <c r="R36" s="2970"/>
      <c r="S36" s="2970"/>
      <c r="T36" s="2970"/>
      <c r="U36" s="2970"/>
    </row>
    <row r="37" spans="1:28" ht="28.5">
      <c r="A37" s="3854"/>
      <c r="B37" s="3884"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854"/>
      <c r="B38" s="3885"/>
      <c r="C38" s="1544" t="s">
        <v>821</v>
      </c>
      <c r="D38" s="1652">
        <f>ROUNDDOWN(MIN(('数据-取费表'!$B$2-D37)/365,D34),1)</f>
        <v>122.9</v>
      </c>
      <c r="E38" s="1595" t="s">
        <v>822</v>
      </c>
      <c r="F38" s="2990"/>
      <c r="G38" s="2990"/>
      <c r="H38" s="2990"/>
      <c r="I38" s="2994"/>
      <c r="J38" s="2990"/>
      <c r="K38" s="2977"/>
      <c r="L38" s="2970"/>
      <c r="M38" s="2970"/>
      <c r="N38" s="2970"/>
      <c r="O38" s="2970"/>
      <c r="P38" s="2970"/>
      <c r="Q38" s="2970"/>
      <c r="R38" s="2970"/>
      <c r="S38" s="2970"/>
      <c r="T38" s="2970"/>
      <c r="U38" s="2970"/>
    </row>
    <row r="39" spans="1:28">
      <c r="A39" s="3855"/>
      <c r="B39" s="3886"/>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867" t="s">
        <v>1766</v>
      </c>
      <c r="T40" s="1599" t="str">
        <f>NUMBERSTRING(7-K40,1)&amp;"通"</f>
        <v>七通</v>
      </c>
      <c r="U40" s="2970"/>
    </row>
    <row r="41" spans="1:28">
      <c r="A41" s="1538"/>
      <c r="B41" s="3859" t="s">
        <v>1512</v>
      </c>
      <c r="C41" s="3859"/>
      <c r="D41" s="3859"/>
      <c r="E41" s="3859"/>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867"/>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27531</v>
      </c>
      <c r="B3" s="22">
        <f>IF(C3="否",G5-AT5,G5)</f>
        <v>6250.48</v>
      </c>
      <c r="C3" s="23" t="s">
        <v>922</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6250.48</v>
      </c>
      <c r="H5" s="27">
        <f t="shared" ref="H5:AT5" si="0">SUM(H13:H641)</f>
        <v>6250.48</v>
      </c>
      <c r="I5" s="27">
        <f t="shared" si="0"/>
        <v>6250.48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6250.48</v>
      </c>
      <c r="BA5" s="29">
        <f t="shared" si="1"/>
        <v>6250.48</v>
      </c>
      <c r="BB5" s="29">
        <f t="shared" si="1"/>
        <v>6250.48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27531</v>
      </c>
      <c r="F6" s="27" t="s">
        <v>1</v>
      </c>
      <c r="G6" s="27" t="s">
        <v>2</v>
      </c>
      <c r="H6" s="33">
        <f>SUMIF(I$12:AB$12,"总值",I6:AB6)</f>
        <v>27531</v>
      </c>
      <c r="I6" s="27">
        <f t="shared" ref="I6:AB6" si="2">ROUND($A$3*I5/$B$3,2)</f>
        <v>27531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27531</v>
      </c>
      <c r="AZ6" s="27" t="s">
        <v>3</v>
      </c>
      <c r="BA6" s="27">
        <f>ROUND($AY$6*BA5/$AZ$5,2)</f>
        <v>27531</v>
      </c>
      <c r="BB6" s="27">
        <f>ROUND($AY$6*BB5/$AZ$5,2)</f>
        <v>27531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3165</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t="s">
        <v>922</v>
      </c>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27531</v>
      </c>
      <c r="F13" s="81"/>
      <c r="G13" s="82">
        <f t="shared" ref="G13:G20" si="7">H13+AC13+AT13</f>
        <v>6250.48</v>
      </c>
      <c r="H13" s="33">
        <f t="shared" ref="H13:H20" si="8">SUMIF(I$12:AB$12,"总值",I13:AB13)</f>
        <v>6250.48</v>
      </c>
      <c r="I13" s="2659">
        <v>6250.48</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27531</v>
      </c>
      <c r="AZ13" s="27">
        <f t="shared" ref="AZ13:AZ20" si="12">BA13+BL13</f>
        <v>6250.48</v>
      </c>
      <c r="BA13" s="27">
        <f t="shared" ref="BA13:BA20" si="13">SUM(BB13:BK13)</f>
        <v>6250.48</v>
      </c>
      <c r="BB13" s="27">
        <f t="shared" ref="BB13:BB20" si="14">IF($D13="是",I13-J13,0)</f>
        <v>6250.48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95" t="s">
        <v>0</v>
      </c>
      <c r="B1" s="3895" t="s">
        <v>4</v>
      </c>
      <c r="C1" s="3895" t="s">
        <v>5</v>
      </c>
      <c r="D1" s="3896" t="s">
        <v>40</v>
      </c>
      <c r="E1" s="3896" t="s">
        <v>41</v>
      </c>
      <c r="F1" s="3896"/>
      <c r="G1" s="3896"/>
      <c r="H1" s="3896"/>
      <c r="I1" s="3896"/>
      <c r="J1" s="3896"/>
      <c r="K1" s="3896"/>
      <c r="L1" s="3896"/>
      <c r="M1" s="3896"/>
    </row>
    <row r="2" spans="1:13" ht="27" customHeight="1">
      <c r="A2" s="3895"/>
      <c r="B2" s="3895"/>
      <c r="C2" s="3895"/>
      <c r="D2" s="3896"/>
      <c r="E2" s="3896" t="s">
        <v>24</v>
      </c>
      <c r="F2" s="3896" t="s">
        <v>25</v>
      </c>
      <c r="G2" s="3896"/>
      <c r="H2" s="3896"/>
      <c r="I2" s="3896"/>
      <c r="J2" s="3896" t="s">
        <v>26</v>
      </c>
      <c r="K2" s="3896"/>
      <c r="L2" s="3896"/>
      <c r="M2" s="3896"/>
    </row>
    <row r="3" spans="1:13" ht="28.5">
      <c r="A3" s="3895"/>
      <c r="B3" s="3895"/>
      <c r="C3" s="3895"/>
      <c r="D3" s="3896"/>
      <c r="E3" s="38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96" t="s">
        <v>42</v>
      </c>
      <c r="B9" s="3896"/>
      <c r="C9" s="38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10" sqref="I10:I11"/>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3906" t="s">
        <v>203</v>
      </c>
      <c r="B2" s="3906"/>
      <c r="C2" s="3906"/>
      <c r="D2" s="1826" t="s">
        <v>204</v>
      </c>
      <c r="E2" s="106" t="s">
        <v>205</v>
      </c>
      <c r="F2" s="2999"/>
      <c r="G2" s="1140"/>
      <c r="H2" s="1141"/>
      <c r="I2" s="1142" t="s">
        <v>828</v>
      </c>
      <c r="J2" s="2999"/>
      <c r="K2" s="2999"/>
      <c r="L2" s="2999"/>
      <c r="M2" s="2999"/>
      <c r="N2" s="2999"/>
      <c r="O2" s="2999"/>
      <c r="P2" s="2999"/>
    </row>
    <row r="3" spans="1:16" ht="15.75" thickBot="1">
      <c r="A3" s="3907" t="s">
        <v>206</v>
      </c>
      <c r="B3" s="3907"/>
      <c r="C3" s="3907"/>
      <c r="D3" s="107">
        <f>'数据-基础表'!AY6</f>
        <v>27531</v>
      </c>
      <c r="E3" s="107">
        <f>'数据-基础表'!AZ5</f>
        <v>6250.48</v>
      </c>
      <c r="F3" s="2999"/>
      <c r="G3" s="277" t="s">
        <v>829</v>
      </c>
      <c r="H3" s="272" t="s">
        <v>830</v>
      </c>
      <c r="I3" s="1827">
        <f>ROUND('数据-基础表'!B3/'数据-基础表'!A3,2)</f>
        <v>0.23</v>
      </c>
      <c r="J3" s="2999"/>
      <c r="K3" s="2999"/>
      <c r="L3" s="2999"/>
      <c r="M3" s="2999"/>
      <c r="N3" s="2999"/>
      <c r="O3" s="2999"/>
      <c r="P3" s="2999"/>
    </row>
    <row r="4" spans="1:16" ht="15">
      <c r="A4" s="3908"/>
      <c r="B4" s="3909"/>
      <c r="C4" s="3910"/>
      <c r="D4" s="108" t="s">
        <v>204</v>
      </c>
      <c r="E4" s="109" t="s">
        <v>205</v>
      </c>
      <c r="F4" s="2999"/>
      <c r="G4" s="1143"/>
      <c r="H4" s="272" t="s">
        <v>831</v>
      </c>
      <c r="I4" s="1827">
        <f>ROUND(SUMIF('数据-基础表'!I9:AS9,"地上",'数据-基础表'!I5:AS5)/'数据-基础表'!A3,2)</f>
        <v>0.23</v>
      </c>
      <c r="J4" s="2999"/>
      <c r="K4" s="2999"/>
      <c r="L4" s="2999"/>
      <c r="M4" s="2999"/>
      <c r="N4" s="2999"/>
      <c r="O4" s="2999"/>
      <c r="P4" s="2999"/>
    </row>
    <row r="5" spans="1:16">
      <c r="A5" s="110" t="s">
        <v>207</v>
      </c>
      <c r="B5" s="3911" t="s">
        <v>230</v>
      </c>
      <c r="C5" s="3911"/>
      <c r="D5" s="111">
        <f>ROUND($D$3*E5/$E$3,2)</f>
        <v>0</v>
      </c>
      <c r="E5" s="112">
        <f>SUMIF('数据-基础表'!$11:$11,"住宅",'数据-基础表'!$5:$5)</f>
        <v>0</v>
      </c>
      <c r="F5" s="2999"/>
      <c r="G5" s="277" t="s">
        <v>832</v>
      </c>
      <c r="H5" s="272" t="s">
        <v>830</v>
      </c>
      <c r="I5" s="1827">
        <f>ROUND(E31/D31,2)</f>
        <v>0.23</v>
      </c>
      <c r="J5" s="2999"/>
      <c r="K5" s="2999"/>
      <c r="L5" s="2999"/>
      <c r="M5" s="2999"/>
      <c r="N5" s="2999"/>
      <c r="O5" s="2999"/>
      <c r="P5" s="2999"/>
    </row>
    <row r="6" spans="1:16" ht="15" thickBot="1">
      <c r="A6" s="113"/>
      <c r="B6" s="3911" t="s">
        <v>208</v>
      </c>
      <c r="C6" s="3911"/>
      <c r="D6" s="111">
        <f>ROUND($D$3*E6/$E$3,2)</f>
        <v>27531</v>
      </c>
      <c r="E6" s="112">
        <f>E3-E5</f>
        <v>6250.48</v>
      </c>
      <c r="F6" s="2999"/>
      <c r="G6" s="1143"/>
      <c r="H6" s="272" t="s">
        <v>831</v>
      </c>
      <c r="I6" s="1827">
        <f>ROUND(F31/D31,2)</f>
        <v>0.23</v>
      </c>
      <c r="J6" s="2999"/>
      <c r="K6" s="2999"/>
      <c r="L6" s="2999"/>
      <c r="M6" s="2999"/>
      <c r="N6" s="2999"/>
      <c r="O6" s="2999"/>
      <c r="P6" s="2999"/>
    </row>
    <row r="7" spans="1:16" ht="15">
      <c r="A7" s="3903"/>
      <c r="B7" s="3904"/>
      <c r="C7" s="3905"/>
      <c r="D7" s="108" t="s">
        <v>204</v>
      </c>
      <c r="E7" s="114" t="s">
        <v>231</v>
      </c>
      <c r="F7" s="2999"/>
      <c r="G7" s="1098" t="s">
        <v>1436</v>
      </c>
      <c r="H7" s="1099"/>
      <c r="I7" s="1707">
        <v>1</v>
      </c>
      <c r="J7" s="2999"/>
      <c r="K7" s="2999"/>
      <c r="L7" s="2999"/>
      <c r="M7" s="2999"/>
      <c r="N7" s="2999"/>
      <c r="O7" s="2999"/>
      <c r="P7" s="2999"/>
    </row>
    <row r="8" spans="1:16">
      <c r="A8" s="110" t="s">
        <v>209</v>
      </c>
      <c r="B8" s="115" t="s">
        <v>210</v>
      </c>
      <c r="C8" s="111" t="s">
        <v>211</v>
      </c>
      <c r="D8" s="111">
        <f t="shared" ref="D8:D15" si="0">ROUND($D$3*E8/$E$3,2)</f>
        <v>27531</v>
      </c>
      <c r="E8" s="116">
        <f>SUMIF('数据-基础表'!BB10:BK10,"地上",'数据-基础表'!BB5:BK5)</f>
        <v>6250.48</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27531</v>
      </c>
      <c r="E16" s="120">
        <f>SUM(E8:E15)</f>
        <v>6250.48</v>
      </c>
      <c r="F16" s="2999"/>
      <c r="G16" s="3000"/>
      <c r="H16" s="935" t="s">
        <v>219</v>
      </c>
      <c r="I16" s="936"/>
      <c r="J16" s="1835"/>
      <c r="K16" s="3897" t="s">
        <v>2334</v>
      </c>
      <c r="L16" s="3898"/>
      <c r="M16" s="3898"/>
      <c r="N16" s="3898"/>
      <c r="O16" s="3898"/>
      <c r="P16" s="3899"/>
    </row>
    <row r="17" spans="1:19" ht="15">
      <c r="A17" s="121" t="s">
        <v>216</v>
      </c>
      <c r="B17" s="122" t="s">
        <v>217</v>
      </c>
      <c r="C17" s="2114" t="s">
        <v>2092</v>
      </c>
      <c r="D17" s="108" t="s">
        <v>204</v>
      </c>
      <c r="E17" s="124" t="s">
        <v>205</v>
      </c>
      <c r="F17" s="125"/>
      <c r="G17" s="1269"/>
      <c r="H17" s="937" t="s">
        <v>218</v>
      </c>
      <c r="I17" s="938" t="s">
        <v>2091</v>
      </c>
      <c r="J17" s="1835"/>
      <c r="K17" s="3900" t="s">
        <v>2335</v>
      </c>
      <c r="L17" s="3901"/>
      <c r="M17" s="3902"/>
      <c r="N17" s="3900" t="s">
        <v>2336</v>
      </c>
      <c r="O17" s="3901"/>
      <c r="P17" s="3902"/>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3166</v>
      </c>
      <c r="D19" s="111">
        <f t="shared" ref="D19:D26" si="1">ROUND($D$3*E19/$E$3,2)</f>
        <v>27531</v>
      </c>
      <c r="E19" s="134">
        <f t="shared" ref="E19:E26" si="2">SUM(F19:G19)</f>
        <v>6250.48</v>
      </c>
      <c r="F19" s="3001">
        <f>'数据-基础表'!I13</f>
        <v>6250.48</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27531</v>
      </c>
      <c r="S19" s="2117">
        <f t="shared" si="5"/>
        <v>6250.48</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27531</v>
      </c>
      <c r="E27" s="141">
        <f>IF(SUM(E19:E26)='数据-基础表'!BA5,SUM(E19:E26),IF(F27="地上面积有误","面积有误","地下面积有误"))</f>
        <v>6250.48</v>
      </c>
      <c r="F27" s="134">
        <f>IF(SUM(F19:F26)=E8,SUM(F19:F26),"地上面积有误")</f>
        <v>6250.48</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27531</v>
      </c>
      <c r="S27" s="272">
        <f>IF(SUM(S19:S26)=$E$3,SUM(S19:S26),SUM(S19:S26)&amp;"误差"&amp;ROUND(SUM(S19:S26)-E3,2))</f>
        <v>6250.48</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27531</v>
      </c>
      <c r="E31" s="1273">
        <f>E27+E30</f>
        <v>6250.48</v>
      </c>
      <c r="F31" s="1274">
        <f>F27+F30</f>
        <v>6250.48</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R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44867</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54">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3236</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2750</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63129</v>
      </c>
      <c r="F6" s="172">
        <f>SUMIF(项目基本情况!D$15:I$15,C6,项目基本情况!D$19:I$19)</f>
        <v>50</v>
      </c>
      <c r="G6" s="173">
        <f>IF(ISERROR(ROUND(POWER(1+H6,D6-F6)*(POWER(1+H6,F6)-1)/(POWER(1+H6,D6)-1),3)),0,ROUND(POWER(1+H6,D6-F6)*(POWER(1+H6,F6)-1)/(POWER(1+H6,D6)-1),3))</f>
        <v>1</v>
      </c>
      <c r="H6" s="3809">
        <v>4.8000000000000001E-2</v>
      </c>
      <c r="I6" s="3809">
        <v>0.05</v>
      </c>
      <c r="J6" s="3810">
        <v>8.5000000000000006E-2</v>
      </c>
      <c r="K6" s="177">
        <f>SUMIF('数据-汇总表'!C$19:C$33,'数据-取费表'!A6,'数据-汇总表'!E$19:E$33)</f>
        <v>6250.48</v>
      </c>
      <c r="L6" s="2668">
        <v>2000</v>
      </c>
      <c r="M6" s="175">
        <f t="shared" ref="M6:M14" si="0">ROUND(K6*L6/10000,0)</f>
        <v>1250</v>
      </c>
      <c r="N6" s="2669">
        <v>0.8</v>
      </c>
      <c r="O6" s="175" t="str">
        <f>IF($N$5="成新度","——",ROUND(M6*N6,0))</f>
        <v>——</v>
      </c>
      <c r="P6" s="176" t="str">
        <f>IF($N$5="成新度","——",M6-O6)</f>
        <v>——</v>
      </c>
      <c r="Q6" s="2670">
        <v>0.12</v>
      </c>
      <c r="R6" s="177">
        <f>SUMIF('数据-汇总表'!C$19:C$33,A6,'数据-汇总表'!R$19:R$33)</f>
        <v>27531</v>
      </c>
      <c r="S6" s="132">
        <f>IF('数据-汇总表'!$I$17="按面积比例",SUMIF('数据-汇总表'!C$19:C$33,A6,'数据-汇总表'!K$19:K$33),SUMIF('数据-汇总表'!C$19:C$33,A6,'数据-汇总表'!N$19:N$33))</f>
        <v>0</v>
      </c>
      <c r="T6" s="2050" t="str">
        <f>IF($T$4="按面积比例",IF(ISERROR(ROUND($M$14*S6/S$16,0)),"0",ROUND($M$14*S6/S$16,0)),"需自行计算录入")</f>
        <v>0</v>
      </c>
      <c r="U6" s="178">
        <v>1.3</v>
      </c>
      <c r="V6" s="179">
        <v>0</v>
      </c>
      <c r="W6" s="179">
        <v>0.1</v>
      </c>
      <c r="X6" s="2137"/>
      <c r="Y6" s="180">
        <f>N6</f>
        <v>0.8</v>
      </c>
      <c r="Z6" s="181"/>
      <c r="AA6" s="174"/>
      <c r="AB6" s="174"/>
      <c r="AC6" s="2140"/>
      <c r="AD6" s="182"/>
      <c r="AE6" s="939">
        <f ca="1">IF(AN6="",0,SUMIF(INDIRECT("'"&amp;AN6&amp;"'"&amp;"!E:E"),$AE$5,INDIRECT("'"&amp;AN6&amp;"'"&amp;"!F:F")))</f>
        <v>50</v>
      </c>
      <c r="AF6" s="139"/>
      <c r="AG6" s="1155">
        <f>IF(AF6="",0,AE6-AF6)</f>
        <v>0</v>
      </c>
      <c r="AH6" s="139">
        <f>'数据-基础表'!B3</f>
        <v>6250.48</v>
      </c>
      <c r="AI6" s="185">
        <v>365</v>
      </c>
      <c r="AJ6" s="186"/>
      <c r="AK6" s="187">
        <v>1.4999999999999999E-2</v>
      </c>
      <c r="AL6" s="188">
        <v>1.5E-3</v>
      </c>
      <c r="AM6" s="2679">
        <v>0.01</v>
      </c>
      <c r="AN6" s="2183" t="s">
        <v>3238</v>
      </c>
      <c r="AO6" s="3009"/>
      <c r="AP6" s="1146">
        <f>ROUND(1-1/(1+H6)^F6,3)</f>
        <v>0.90400000000000003</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t="str">
        <f t="shared" ref="O7:O14" si="3">IF($N$5="成新度","——",ROUND(M7*N7,0))</f>
        <v>——</v>
      </c>
      <c r="P7" s="176" t="str">
        <f t="shared" ref="P7:P14" si="4">IF($N$5="成新度","——",M7-O7)</f>
        <v>——</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t="str">
        <f t="shared" si="3"/>
        <v>——</v>
      </c>
      <c r="P8" s="176" t="str">
        <f t="shared" si="4"/>
        <v>——</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t="str">
        <f t="shared" si="3"/>
        <v>——</v>
      </c>
      <c r="P14" s="176" t="str">
        <f t="shared" si="4"/>
        <v>——</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6250.48</v>
      </c>
      <c r="L16" s="204">
        <f>ROUND(M16*10000/SUM(K6:K14),0)</f>
        <v>2000</v>
      </c>
      <c r="M16" s="204">
        <f>SUM(M6:M14)</f>
        <v>1250</v>
      </c>
      <c r="N16" s="205">
        <f>ROUND(SUMPRODUCT(M6:M14,N6:N14)/M16,3)</f>
        <v>0.8</v>
      </c>
      <c r="O16" s="204">
        <f>SUM(O6:O14)</f>
        <v>0</v>
      </c>
      <c r="P16" s="204">
        <f>SUM(P6:P14)</f>
        <v>0</v>
      </c>
      <c r="Q16" s="206">
        <f>ROUND(SUMPRODUCT(Q6:Q13,K6:K13)/SUMPRODUCT((Q6:Q13&gt;0)*(K6:K13)),2)</f>
        <v>0.12</v>
      </c>
      <c r="R16" s="2127">
        <f>SUM(R6:R13)</f>
        <v>27531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0.90400000000000003</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2763</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1</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1</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2</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2</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c r="C27" s="3022" t="s">
        <v>2764</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155</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成本逼近法!C13</f>
        <v>867</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250</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0</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250</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2751</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2752</v>
      </c>
      <c r="D34" s="3025" t="s">
        <v>2760</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2753</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2754</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0.02</v>
      </c>
      <c r="C37" s="3024" t="s">
        <v>2755</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0.02</v>
      </c>
      <c r="C38" s="3024" t="s">
        <v>2755</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2756</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2761</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2757</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2758</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2765</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2757</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2759</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4" customHeight="1">
      <c r="A53" s="226" t="s">
        <v>294</v>
      </c>
      <c r="B53" s="249" t="s">
        <v>1379</v>
      </c>
      <c r="C53" s="3017" t="s">
        <v>2655</v>
      </c>
      <c r="D53" s="3028" t="s">
        <v>2762</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3040" customWidth="1"/>
    <col min="2" max="2" width="23.5" style="3073" customWidth="1"/>
    <col min="3" max="3" width="32.25" style="3075" customWidth="1"/>
    <col min="4" max="4" width="2.625" style="3075" customWidth="1"/>
    <col min="5" max="5" width="5.875" style="3075" customWidth="1"/>
    <col min="6" max="6" width="23.625" style="3073" customWidth="1"/>
    <col min="7" max="7" width="33.375" style="3074" customWidth="1"/>
    <col min="8" max="8" width="11.875" style="3073" customWidth="1"/>
    <col min="9" max="9" width="16.75" style="3074" customWidth="1"/>
    <col min="10" max="10" width="2.625" style="3075" customWidth="1"/>
    <col min="11" max="11" width="11.875" style="3073" customWidth="1"/>
    <col min="12" max="12" width="16.75" style="3074" customWidth="1"/>
    <col min="13" max="13" width="2.625" style="3075" customWidth="1"/>
    <col min="14" max="14" width="11.875" style="3073" customWidth="1"/>
    <col min="15" max="15" width="16.75" style="3074" customWidth="1"/>
    <col min="16" max="16" width="2.625" style="3075" customWidth="1"/>
    <col min="17" max="17" width="11.875" style="3073" customWidth="1"/>
    <col min="18" max="18" width="16.75" style="3076" customWidth="1"/>
    <col min="19" max="16384" width="9" style="3040"/>
  </cols>
  <sheetData>
    <row r="1" spans="1:18" s="3034" customFormat="1" ht="19.5" thickBot="1">
      <c r="A1" s="3912" t="s">
        <v>1454</v>
      </c>
      <c r="B1" s="3913"/>
      <c r="C1" s="3913"/>
      <c r="D1" s="3913"/>
      <c r="E1" s="3913"/>
      <c r="F1" s="3913"/>
      <c r="G1" s="3913"/>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81">
      <c r="A3" s="3041" t="s">
        <v>1457</v>
      </c>
      <c r="B3" s="3042" t="s">
        <v>1444</v>
      </c>
      <c r="C3" s="3043" t="s">
        <v>2670</v>
      </c>
      <c r="D3" s="3044"/>
      <c r="E3" s="3045" t="s">
        <v>1457</v>
      </c>
      <c r="F3" s="3046" t="s">
        <v>1445</v>
      </c>
      <c r="G3" s="3806" t="s">
        <v>3231</v>
      </c>
      <c r="H3" s="3040"/>
      <c r="I3" s="3040"/>
      <c r="J3" s="3040"/>
      <c r="K3" s="3040"/>
      <c r="L3" s="3040"/>
      <c r="M3" s="3040"/>
      <c r="N3" s="3040"/>
      <c r="O3" s="3040"/>
      <c r="P3" s="3040"/>
      <c r="Q3" s="3040"/>
      <c r="R3" s="3040"/>
    </row>
    <row r="4" spans="1:18" ht="67.5">
      <c r="A4" s="3045"/>
      <c r="B4" s="3047" t="s">
        <v>1458</v>
      </c>
      <c r="C4" s="3048" t="s">
        <v>2671</v>
      </c>
      <c r="D4" s="3044"/>
      <c r="E4" s="3049"/>
      <c r="F4" s="3050" t="s">
        <v>1459</v>
      </c>
      <c r="G4" s="3807" t="s">
        <v>3232</v>
      </c>
      <c r="H4" s="3040"/>
      <c r="I4" s="3040"/>
      <c r="J4" s="3040"/>
      <c r="K4" s="3040"/>
      <c r="L4" s="3040"/>
      <c r="M4" s="3040"/>
      <c r="N4" s="3040"/>
      <c r="O4" s="3040"/>
      <c r="P4" s="3040"/>
      <c r="Q4" s="3040"/>
      <c r="R4" s="3040"/>
    </row>
    <row r="5" spans="1:18" ht="41.25">
      <c r="A5" s="3045"/>
      <c r="B5" s="3047" t="s">
        <v>1460</v>
      </c>
      <c r="C5" s="3048" t="s">
        <v>2672</v>
      </c>
      <c r="D5" s="3044"/>
      <c r="E5" s="3049"/>
      <c r="F5" s="3047" t="s">
        <v>2314</v>
      </c>
      <c r="G5" s="3051" t="str">
        <f>C7</f>
        <v>估价对象所在区域公共配套设施齐备情况</v>
      </c>
      <c r="H5" s="3040"/>
      <c r="I5" s="3040"/>
      <c r="J5" s="3040"/>
      <c r="K5" s="3040"/>
      <c r="L5" s="3040"/>
      <c r="M5" s="3040"/>
      <c r="N5" s="3040"/>
      <c r="O5" s="3040"/>
      <c r="P5" s="3040"/>
      <c r="Q5" s="3040"/>
      <c r="R5" s="3040"/>
    </row>
    <row r="6" spans="1:18" ht="67.5">
      <c r="A6" s="3045"/>
      <c r="B6" s="3047" t="s">
        <v>1446</v>
      </c>
      <c r="C6" s="3051" t="s">
        <v>2668</v>
      </c>
      <c r="D6" s="3044"/>
      <c r="E6" s="3049"/>
      <c r="F6" s="3047" t="s">
        <v>2315</v>
      </c>
      <c r="G6" s="3807" t="s">
        <v>3233</v>
      </c>
      <c r="H6" s="3040"/>
      <c r="I6" s="3040"/>
      <c r="J6" s="3040"/>
      <c r="K6" s="3040"/>
      <c r="L6" s="3040"/>
      <c r="M6" s="3040"/>
      <c r="N6" s="3040"/>
      <c r="O6" s="3040"/>
      <c r="P6" s="3040"/>
      <c r="Q6" s="3040"/>
      <c r="R6" s="3040"/>
    </row>
    <row r="7" spans="1:18" ht="41.25" thickBot="1">
      <c r="A7" s="3045"/>
      <c r="B7" s="3047" t="s">
        <v>2314</v>
      </c>
      <c r="C7" s="3051" t="s">
        <v>2669</v>
      </c>
      <c r="D7" s="3052"/>
      <c r="E7" s="3053"/>
      <c r="F7" s="3054" t="s">
        <v>1461</v>
      </c>
      <c r="G7" s="3808" t="s">
        <v>3234</v>
      </c>
      <c r="H7" s="3040"/>
      <c r="I7" s="3040"/>
      <c r="J7" s="3040"/>
      <c r="K7" s="3040"/>
      <c r="L7" s="3040"/>
      <c r="M7" s="3040"/>
      <c r="N7" s="3040"/>
      <c r="O7" s="3040"/>
      <c r="P7" s="3040"/>
      <c r="Q7" s="3040"/>
      <c r="R7" s="3040"/>
    </row>
    <row r="8" spans="1:18">
      <c r="A8" s="3045"/>
      <c r="B8" s="3047" t="s">
        <v>2315</v>
      </c>
      <c r="C8" s="3051" t="s">
        <v>2666</v>
      </c>
      <c r="D8" s="3052"/>
      <c r="E8" s="3052"/>
      <c r="F8" s="3055"/>
      <c r="G8" s="3055"/>
      <c r="H8" s="3040"/>
      <c r="I8" s="3040"/>
      <c r="J8" s="3040"/>
      <c r="K8" s="3040"/>
      <c r="L8" s="3040"/>
      <c r="M8" s="3040"/>
      <c r="N8" s="3040"/>
      <c r="O8" s="3040"/>
      <c r="P8" s="3040"/>
      <c r="Q8" s="3040"/>
      <c r="R8" s="3040"/>
    </row>
    <row r="9" spans="1:18" ht="27">
      <c r="A9" s="3045"/>
      <c r="B9" s="3047" t="s">
        <v>1447</v>
      </c>
      <c r="C9" s="3048" t="s">
        <v>2667</v>
      </c>
      <c r="D9" s="3044"/>
      <c r="E9" s="3052"/>
      <c r="F9" s="3055"/>
      <c r="G9" s="3055"/>
      <c r="H9" s="3040"/>
      <c r="I9" s="3040"/>
      <c r="J9" s="3040"/>
      <c r="K9" s="3040"/>
      <c r="L9" s="3040"/>
      <c r="M9" s="3040"/>
      <c r="N9" s="3040"/>
      <c r="O9" s="3040"/>
      <c r="P9" s="3040"/>
      <c r="Q9" s="3040"/>
      <c r="R9" s="3040"/>
    </row>
    <row r="10" spans="1:18" s="3062" customFormat="1" ht="15" thickBot="1">
      <c r="A10" s="3056"/>
      <c r="B10" s="3057" t="s">
        <v>1462</v>
      </c>
      <c r="C10" s="3058"/>
      <c r="D10" s="3044"/>
      <c r="E10" s="3044"/>
      <c r="F10" s="3055"/>
      <c r="G10" s="3055"/>
      <c r="H10" s="3059"/>
      <c r="I10" s="3060"/>
      <c r="J10" s="3061"/>
      <c r="K10" s="3059"/>
      <c r="L10" s="3060"/>
      <c r="M10" s="3061"/>
      <c r="N10" s="3059"/>
      <c r="O10" s="3060"/>
      <c r="P10" s="3061"/>
      <c r="Q10" s="3059"/>
      <c r="R10" s="3060"/>
    </row>
    <row r="11" spans="1:18" s="3062" customFormat="1">
      <c r="A11" s="3063"/>
      <c r="B11" s="3052"/>
      <c r="C11" s="3044"/>
      <c r="D11" s="3044"/>
      <c r="E11" s="3044"/>
      <c r="F11" s="3052"/>
      <c r="G11" s="3064"/>
      <c r="H11" s="3059"/>
      <c r="I11" s="3060"/>
      <c r="J11" s="3061"/>
      <c r="K11" s="3059"/>
      <c r="L11" s="3060"/>
      <c r="M11" s="3061"/>
      <c r="N11" s="3059"/>
      <c r="O11" s="3060"/>
      <c r="P11" s="3061"/>
      <c r="Q11" s="3059"/>
      <c r="R11" s="3060"/>
    </row>
    <row r="12" spans="1:18" s="3034" customFormat="1" ht="18.75">
      <c r="A12" s="3063"/>
      <c r="B12" s="3052"/>
      <c r="C12" s="3044"/>
      <c r="D12" s="3065"/>
      <c r="E12" s="3044"/>
      <c r="F12" s="3052"/>
      <c r="G12" s="3064"/>
      <c r="H12" s="3066"/>
      <c r="I12" s="3067"/>
      <c r="J12" s="3066"/>
      <c r="K12" s="3066"/>
      <c r="L12" s="3068"/>
      <c r="M12" s="3066"/>
      <c r="N12" s="3069"/>
      <c r="O12" s="3070"/>
      <c r="P12" s="3071"/>
      <c r="Q12" s="3069"/>
      <c r="R12" s="3033"/>
    </row>
    <row r="13" spans="1:18" ht="19.5" thickBot="1">
      <c r="A13" s="3072" t="s">
        <v>1463</v>
      </c>
      <c r="B13" s="3065"/>
      <c r="C13" s="3065"/>
      <c r="D13" s="3038"/>
      <c r="E13" s="3065"/>
      <c r="F13" s="3065"/>
      <c r="G13" s="3065"/>
    </row>
    <row r="14" spans="1:18" ht="14.25" thickBot="1">
      <c r="A14" s="3077"/>
      <c r="B14" s="3077"/>
      <c r="C14" s="3078" t="s">
        <v>1455</v>
      </c>
      <c r="D14" s="3044"/>
      <c r="E14" s="3079"/>
      <c r="F14" s="3079"/>
      <c r="G14" s="3037" t="s">
        <v>1456</v>
      </c>
    </row>
    <row r="15" spans="1:18" ht="81">
      <c r="A15" s="3080" t="s">
        <v>1448</v>
      </c>
      <c r="B15" s="3081" t="s">
        <v>1444</v>
      </c>
      <c r="C15" s="3082" t="str">
        <f>C3</f>
        <v>估价对象周边居住用地比例、居住小区规模和社区发展完善程度，综合评价居住社区成熟度一般</v>
      </c>
      <c r="D15" s="3044"/>
      <c r="E15" s="3083" t="s">
        <v>1449</v>
      </c>
      <c r="F15" s="3081" t="s">
        <v>1464</v>
      </c>
      <c r="G15" s="3084" t="str">
        <f>G3</f>
        <v>估价对象现状周边以产业用地为主，邻近周边有乐铁设备(北京)有限公司、综合信兴物流(南法信卫生院东北)、安博北京首都机场第二物流中心等，物流企业较多，产业集聚程度较好。</v>
      </c>
    </row>
    <row r="16" spans="1:18" ht="67.5">
      <c r="A16" s="3085"/>
      <c r="B16" s="3086" t="s">
        <v>1458</v>
      </c>
      <c r="C16" s="3087" t="str">
        <f>C4</f>
        <v>估价对象位于XX商圈，周边商业氛围成熟，人流量大，商业繁华度好</v>
      </c>
      <c r="D16" s="3044"/>
      <c r="E16" s="3088"/>
      <c r="F16" s="3089" t="s">
        <v>1459</v>
      </c>
      <c r="G16" s="3090" t="str">
        <f>G4</f>
        <v>估价对象周边有顺2路、顺27路、顺28路、顺38路、顺43路、顺59路、顺60路等多条公交线路，距地铁15号线（南法信站）约500米，综合评价交通便捷度较好</v>
      </c>
    </row>
    <row r="17" spans="1:7" ht="40.5">
      <c r="A17" s="3085"/>
      <c r="B17" s="3086" t="s">
        <v>1460</v>
      </c>
      <c r="C17" s="3087" t="str">
        <f>C5</f>
        <v>估价对象位于XX商圈，周边办公楼项目较多，入驻率高，办公集聚程度较好</v>
      </c>
      <c r="D17" s="3052"/>
      <c r="E17" s="3088"/>
      <c r="F17" s="3089" t="s">
        <v>1465</v>
      </c>
      <c r="G17" s="3091"/>
    </row>
    <row r="18" spans="1:7" ht="40.5">
      <c r="A18" s="3085"/>
      <c r="B18" s="3089" t="s">
        <v>1446</v>
      </c>
      <c r="C18" s="3090" t="str">
        <f>C6</f>
        <v>估价对象周边道路状况、公共交通通达情况、停车便捷程度，综合评价交通便捷度较好</v>
      </c>
      <c r="D18" s="3052"/>
      <c r="E18" s="3088"/>
      <c r="F18" s="3089" t="s">
        <v>1461</v>
      </c>
      <c r="G18" s="3090" t="str">
        <f>G7</f>
        <v>区域自然环境：小中河；人文环境：国家新闻出版广电总局研修学院；综合评价环境状况一般</v>
      </c>
    </row>
    <row r="19" spans="1:7" ht="27">
      <c r="A19" s="3085"/>
      <c r="B19" s="3089" t="s">
        <v>1450</v>
      </c>
      <c r="C19" s="3091"/>
      <c r="D19" s="3044"/>
      <c r="E19" s="3088"/>
      <c r="F19" s="3047" t="s">
        <v>2314</v>
      </c>
      <c r="G19" s="3090" t="str">
        <f>G5</f>
        <v>估价对象所在区域公共配套设施齐备情况</v>
      </c>
    </row>
    <row r="20" spans="1:7" ht="67.5">
      <c r="A20" s="3085"/>
      <c r="B20" s="3089" t="s">
        <v>1451</v>
      </c>
      <c r="C20" s="3087" t="str">
        <f>C9</f>
        <v>区域自然环境：；人文环境；综合评价环境状况一般</v>
      </c>
      <c r="D20" s="3052"/>
      <c r="E20" s="3088"/>
      <c r="F20" s="3047" t="s">
        <v>2315</v>
      </c>
      <c r="G20" s="3090" t="str">
        <f>G6</f>
        <v>估价对象所在区域内基础设施配套条件达到“五通”（包括通路、通电、通讯、通上水、通下水），基本能够保证工作、生产需要，基础设施配套完善度一般。</v>
      </c>
    </row>
    <row r="21" spans="1:7" ht="27">
      <c r="A21" s="3085"/>
      <c r="B21" s="3047" t="s">
        <v>2314</v>
      </c>
      <c r="C21" s="3090" t="str">
        <f>C7</f>
        <v>估价对象所在区域公共配套设施齐备情况</v>
      </c>
      <c r="D21" s="3044"/>
      <c r="E21" s="3088"/>
      <c r="F21" s="3089" t="s">
        <v>1452</v>
      </c>
      <c r="G21" s="3092"/>
    </row>
    <row r="22" spans="1:7" ht="14.25">
      <c r="A22" s="3085"/>
      <c r="B22" s="3047" t="s">
        <v>2315</v>
      </c>
      <c r="C22" s="3090" t="str">
        <f>C8</f>
        <v>估价对象所在区域基础设施水平</v>
      </c>
      <c r="D22" s="3044"/>
      <c r="E22" s="3088"/>
      <c r="F22" s="3089" t="s">
        <v>1462</v>
      </c>
      <c r="G22" s="3091"/>
    </row>
    <row r="23" spans="1:7" ht="15" thickBot="1">
      <c r="A23" s="3085"/>
      <c r="B23" s="3089" t="s">
        <v>1452</v>
      </c>
      <c r="C23" s="3092"/>
      <c r="E23" s="3093"/>
      <c r="F23" s="3094" t="s">
        <v>1466</v>
      </c>
      <c r="G23" s="3095"/>
    </row>
    <row r="24" spans="1:7" ht="14.25" thickBot="1">
      <c r="A24" s="3096"/>
      <c r="B24" s="3094" t="s">
        <v>1453</v>
      </c>
      <c r="C24" s="3097">
        <f>C10</f>
        <v>0</v>
      </c>
      <c r="E24" s="3098"/>
      <c r="F24" s="3098"/>
      <c r="G24" s="3099"/>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01" customWidth="1"/>
    <col min="2" max="16384" width="14.625" style="3101"/>
  </cols>
  <sheetData>
    <row r="1" spans="1:10" ht="16.5">
      <c r="A1" s="3100" t="s">
        <v>2606</v>
      </c>
      <c r="B1" s="3100">
        <f>SUM(B14:B23)</f>
        <v>6250.48</v>
      </c>
      <c r="C1" s="3109"/>
      <c r="D1" s="3109"/>
      <c r="E1" s="3109"/>
      <c r="F1" s="3109"/>
      <c r="G1" s="3110"/>
      <c r="H1" s="3110"/>
      <c r="I1" s="3110"/>
      <c r="J1" s="3110"/>
    </row>
    <row r="2" spans="1:10" ht="16.5">
      <c r="A2" s="3100" t="s">
        <v>2607</v>
      </c>
      <c r="B2" s="3100">
        <f>SUM(C14:C23)</f>
        <v>27531</v>
      </c>
      <c r="C2" s="3109"/>
      <c r="D2" s="3109"/>
      <c r="E2" s="3109"/>
      <c r="F2" s="3109"/>
      <c r="G2" s="3110"/>
      <c r="H2" s="3110"/>
      <c r="I2" s="3110"/>
      <c r="J2" s="3110"/>
    </row>
    <row r="3" spans="1:10" ht="16.5">
      <c r="A3" s="3100" t="s">
        <v>2608</v>
      </c>
      <c r="B3" s="3102">
        <f>项目基本情况!D3</f>
        <v>44867</v>
      </c>
      <c r="C3" s="3109"/>
      <c r="D3" s="3109"/>
      <c r="E3" s="3109"/>
      <c r="F3" s="3109"/>
      <c r="G3" s="3110"/>
      <c r="H3" s="3110"/>
      <c r="I3" s="3110"/>
      <c r="J3" s="3110"/>
    </row>
    <row r="4" spans="1:10" ht="33">
      <c r="A4" s="3100" t="s">
        <v>2609</v>
      </c>
      <c r="B4" s="3100" t="s">
        <v>2610</v>
      </c>
      <c r="C4" s="3100" t="s">
        <v>2611</v>
      </c>
      <c r="D4" s="3100" t="s">
        <v>2612</v>
      </c>
      <c r="E4" s="3109"/>
      <c r="F4" s="3109"/>
      <c r="G4" s="3110"/>
      <c r="H4" s="3110"/>
      <c r="I4" s="3110"/>
      <c r="J4" s="3110"/>
    </row>
    <row r="5" spans="1:10" ht="16.5">
      <c r="A5" s="3100" t="s">
        <v>2613</v>
      </c>
      <c r="B5" s="3100">
        <f ca="1">SUM(D14:D23)</f>
        <v>12923</v>
      </c>
      <c r="C5" s="3100">
        <f ca="1">ROUND(B5*10000/$B$1,0)</f>
        <v>20675</v>
      </c>
      <c r="D5" s="3100">
        <f ca="1">ROUND(B5*10000/$B$2,0)</f>
        <v>4694</v>
      </c>
      <c r="E5" s="3109"/>
      <c r="F5" s="3109"/>
      <c r="G5" s="3110"/>
      <c r="H5" s="3110"/>
      <c r="I5" s="3110"/>
      <c r="J5" s="3110"/>
    </row>
    <row r="6" spans="1:10" ht="16.5">
      <c r="A6" s="3100" t="s">
        <v>2614</v>
      </c>
      <c r="B6" s="3100">
        <f>SUM(G14:G23)</f>
        <v>0</v>
      </c>
      <c r="C6" s="3100">
        <f t="shared" ref="C6:C8" si="0">ROUND(B6*10000/$B$1,0)</f>
        <v>0</v>
      </c>
      <c r="D6" s="3100">
        <f t="shared" ref="D6:D8" si="1">ROUND(B6*10000/$B$2,0)</f>
        <v>0</v>
      </c>
      <c r="E6" s="3109"/>
      <c r="F6" s="3109"/>
      <c r="G6" s="3110"/>
      <c r="H6" s="3110"/>
      <c r="I6" s="3110"/>
      <c r="J6" s="3110"/>
    </row>
    <row r="7" spans="1:10" ht="16.5">
      <c r="A7" s="3100" t="s">
        <v>2615</v>
      </c>
      <c r="B7" s="3100">
        <f>SUM(H14:H23)</f>
        <v>0</v>
      </c>
      <c r="C7" s="3100">
        <f t="shared" si="0"/>
        <v>0</v>
      </c>
      <c r="D7" s="3100">
        <f t="shared" si="1"/>
        <v>0</v>
      </c>
      <c r="E7" s="3109"/>
      <c r="F7" s="3109"/>
      <c r="G7" s="3110"/>
      <c r="H7" s="3110"/>
      <c r="I7" s="3110"/>
      <c r="J7" s="3110"/>
    </row>
    <row r="8" spans="1:10" ht="16.5">
      <c r="A8" s="3100" t="s">
        <v>2616</v>
      </c>
      <c r="B8" s="3100">
        <f>SUM(I14:I23)</f>
        <v>0</v>
      </c>
      <c r="C8" s="3100">
        <f t="shared" si="0"/>
        <v>0</v>
      </c>
      <c r="D8" s="3100">
        <f t="shared" si="1"/>
        <v>0</v>
      </c>
      <c r="E8" s="3109"/>
      <c r="F8" s="3109"/>
      <c r="G8" s="3110"/>
      <c r="H8" s="3110"/>
      <c r="I8" s="3110"/>
      <c r="J8" s="3110"/>
    </row>
    <row r="9" spans="1:10" ht="16.5">
      <c r="A9" s="3100" t="s">
        <v>2617</v>
      </c>
      <c r="B9" s="3108"/>
      <c r="C9" s="3109"/>
      <c r="D9" s="3109"/>
      <c r="E9" s="3109"/>
      <c r="F9" s="3109"/>
      <c r="G9" s="3110"/>
      <c r="H9" s="3110"/>
      <c r="I9" s="3110"/>
      <c r="J9" s="3110"/>
    </row>
    <row r="10" spans="1:10" ht="16.5">
      <c r="A10" s="3100" t="s">
        <v>2618</v>
      </c>
      <c r="B10" s="3108"/>
      <c r="C10" s="3109"/>
      <c r="D10" s="3109"/>
      <c r="E10" s="3109"/>
      <c r="F10" s="3109"/>
      <c r="G10" s="3110"/>
      <c r="H10" s="3110"/>
      <c r="I10" s="3110"/>
      <c r="J10" s="3110"/>
    </row>
    <row r="11" spans="1:10" ht="16.5">
      <c r="A11" s="3100" t="s">
        <v>2635</v>
      </c>
      <c r="B11" s="3108"/>
      <c r="C11" s="3109"/>
      <c r="D11" s="3109"/>
      <c r="E11" s="3109"/>
      <c r="F11" s="3109"/>
      <c r="G11" s="3110"/>
      <c r="H11" s="3110"/>
      <c r="I11" s="3110"/>
      <c r="J11" s="3110"/>
    </row>
    <row r="12" spans="1:10" ht="16.5">
      <c r="A12" s="3109"/>
      <c r="B12" s="3109"/>
      <c r="C12" s="3109"/>
      <c r="D12" s="3109"/>
      <c r="E12" s="3109"/>
      <c r="F12" s="3109"/>
      <c r="G12" s="3110"/>
      <c r="H12" s="3110"/>
      <c r="I12" s="3110"/>
      <c r="J12" s="3110"/>
    </row>
    <row r="13" spans="1:10" ht="33">
      <c r="A13" s="3103" t="s">
        <v>2634</v>
      </c>
      <c r="B13" s="3104" t="s">
        <v>2606</v>
      </c>
      <c r="C13" s="3104" t="s">
        <v>2607</v>
      </c>
      <c r="D13" s="3104" t="s">
        <v>2619</v>
      </c>
      <c r="E13" s="3100" t="s">
        <v>2633</v>
      </c>
      <c r="F13" s="3100" t="s">
        <v>2612</v>
      </c>
      <c r="G13" s="3104" t="s">
        <v>2620</v>
      </c>
      <c r="H13" s="3104" t="s">
        <v>2621</v>
      </c>
      <c r="I13" s="3104" t="s">
        <v>2622</v>
      </c>
      <c r="J13" s="3110"/>
    </row>
    <row r="14" spans="1:10" ht="16.5">
      <c r="A14" s="3105" t="s">
        <v>2632</v>
      </c>
      <c r="B14" s="3106">
        <f>结果表!L38</f>
        <v>6250.48</v>
      </c>
      <c r="C14" s="3106">
        <f>结果表!K38</f>
        <v>27531</v>
      </c>
      <c r="D14" s="3106">
        <f ca="1">结果表!C42</f>
        <v>12923</v>
      </c>
      <c r="E14" s="3106">
        <f ca="1">ROUND(D14*10000/B14,0)</f>
        <v>20675</v>
      </c>
      <c r="F14" s="3106">
        <f ca="1">ROUND(D14*10000/C14,0)</f>
        <v>4694</v>
      </c>
      <c r="G14" s="3106" t="str">
        <f>结果表!C44</f>
        <v>——</v>
      </c>
      <c r="H14" s="3106" t="str">
        <f>结果表!C45</f>
        <v>——</v>
      </c>
      <c r="I14" s="3106" t="str">
        <f>结果表!C46</f>
        <v>——</v>
      </c>
      <c r="J14" s="3110"/>
    </row>
    <row r="15" spans="1:10" ht="16.5">
      <c r="A15" s="3105" t="s">
        <v>2623</v>
      </c>
      <c r="B15" s="3107"/>
      <c r="C15" s="3107"/>
      <c r="D15" s="3107"/>
      <c r="E15" s="3106" t="e">
        <f t="shared" ref="E15:E23" si="2">ROUND(D15*10000/B15,0)</f>
        <v>#DIV/0!</v>
      </c>
      <c r="F15" s="3106" t="e">
        <f t="shared" ref="F15:F23" si="3">ROUND(D15*10000/C15,0)</f>
        <v>#DIV/0!</v>
      </c>
      <c r="G15" s="2684"/>
      <c r="H15" s="2684"/>
      <c r="I15" s="3107"/>
      <c r="J15" s="3110"/>
    </row>
    <row r="16" spans="1:10" ht="16.5">
      <c r="A16" s="3105" t="s">
        <v>2624</v>
      </c>
      <c r="B16" s="3107"/>
      <c r="C16" s="3107"/>
      <c r="D16" s="3107"/>
      <c r="E16" s="3106" t="e">
        <f t="shared" si="2"/>
        <v>#DIV/0!</v>
      </c>
      <c r="F16" s="3106" t="e">
        <f t="shared" si="3"/>
        <v>#DIV/0!</v>
      </c>
      <c r="G16" s="2684"/>
      <c r="H16" s="2684"/>
      <c r="I16" s="3107"/>
      <c r="J16" s="3110"/>
    </row>
    <row r="17" spans="1:10" ht="16.5">
      <c r="A17" s="3105" t="s">
        <v>2625</v>
      </c>
      <c r="B17" s="3107"/>
      <c r="C17" s="3107"/>
      <c r="D17" s="3107"/>
      <c r="E17" s="3106" t="e">
        <f t="shared" si="2"/>
        <v>#DIV/0!</v>
      </c>
      <c r="F17" s="3106" t="e">
        <f t="shared" si="3"/>
        <v>#DIV/0!</v>
      </c>
      <c r="G17" s="2684"/>
      <c r="H17" s="2684"/>
      <c r="I17" s="3107"/>
      <c r="J17" s="3110"/>
    </row>
    <row r="18" spans="1:10" ht="16.5">
      <c r="A18" s="3105" t="s">
        <v>2626</v>
      </c>
      <c r="B18" s="3107"/>
      <c r="C18" s="3107"/>
      <c r="D18" s="3107"/>
      <c r="E18" s="3106" t="e">
        <f t="shared" si="2"/>
        <v>#DIV/0!</v>
      </c>
      <c r="F18" s="3106" t="e">
        <f t="shared" si="3"/>
        <v>#DIV/0!</v>
      </c>
      <c r="G18" s="3107"/>
      <c r="H18" s="3107"/>
      <c r="I18" s="3107"/>
      <c r="J18" s="3110"/>
    </row>
    <row r="19" spans="1:10" ht="16.5">
      <c r="A19" s="3105" t="s">
        <v>2627</v>
      </c>
      <c r="B19" s="3107"/>
      <c r="C19" s="3107"/>
      <c r="D19" s="3107"/>
      <c r="E19" s="3106" t="e">
        <f t="shared" si="2"/>
        <v>#DIV/0!</v>
      </c>
      <c r="F19" s="3106" t="e">
        <f t="shared" si="3"/>
        <v>#DIV/0!</v>
      </c>
      <c r="G19" s="3107"/>
      <c r="H19" s="3107"/>
      <c r="I19" s="3107"/>
      <c r="J19" s="3110"/>
    </row>
    <row r="20" spans="1:10" ht="16.5">
      <c r="A20" s="3105" t="s">
        <v>2628</v>
      </c>
      <c r="B20" s="3107"/>
      <c r="C20" s="3107"/>
      <c r="D20" s="3107"/>
      <c r="E20" s="3106" t="e">
        <f t="shared" si="2"/>
        <v>#DIV/0!</v>
      </c>
      <c r="F20" s="3106" t="e">
        <f t="shared" si="3"/>
        <v>#DIV/0!</v>
      </c>
      <c r="G20" s="3107"/>
      <c r="H20" s="3107"/>
      <c r="I20" s="3107"/>
      <c r="J20" s="3110"/>
    </row>
    <row r="21" spans="1:10" ht="16.5">
      <c r="A21" s="3105" t="s">
        <v>2629</v>
      </c>
      <c r="B21" s="3107"/>
      <c r="C21" s="3107"/>
      <c r="D21" s="3107"/>
      <c r="E21" s="3106" t="e">
        <f t="shared" si="2"/>
        <v>#DIV/0!</v>
      </c>
      <c r="F21" s="3106" t="e">
        <f t="shared" si="3"/>
        <v>#DIV/0!</v>
      </c>
      <c r="G21" s="3107"/>
      <c r="H21" s="3107"/>
      <c r="I21" s="3107"/>
      <c r="J21" s="3110"/>
    </row>
    <row r="22" spans="1:10" ht="16.5">
      <c r="A22" s="3105" t="s">
        <v>2630</v>
      </c>
      <c r="B22" s="3107"/>
      <c r="C22" s="3107"/>
      <c r="D22" s="3107"/>
      <c r="E22" s="3106" t="e">
        <f t="shared" si="2"/>
        <v>#DIV/0!</v>
      </c>
      <c r="F22" s="3106" t="e">
        <f t="shared" si="3"/>
        <v>#DIV/0!</v>
      </c>
      <c r="G22" s="3107"/>
      <c r="H22" s="3107"/>
      <c r="I22" s="3107"/>
      <c r="J22" s="3110"/>
    </row>
    <row r="23" spans="1:10" ht="16.5">
      <c r="A23" s="3105" t="s">
        <v>2631</v>
      </c>
      <c r="B23" s="3107"/>
      <c r="C23" s="3107"/>
      <c r="D23" s="3107"/>
      <c r="E23" s="3108" t="e">
        <f t="shared" si="2"/>
        <v>#DIV/0!</v>
      </c>
      <c r="F23" s="3108" t="e">
        <f t="shared" si="3"/>
        <v>#DIV/0!</v>
      </c>
      <c r="G23" s="3107"/>
      <c r="H23" s="3107"/>
      <c r="I23" s="3107"/>
      <c r="J23" s="3110"/>
    </row>
    <row r="24" spans="1:10">
      <c r="A24" s="3110"/>
      <c r="B24" s="3110"/>
      <c r="C24" s="3110"/>
      <c r="D24" s="3110"/>
      <c r="E24" s="3110"/>
      <c r="F24" s="3110"/>
      <c r="G24" s="3110"/>
      <c r="H24" s="3110"/>
      <c r="I24" s="3110"/>
      <c r="J24" s="3110"/>
    </row>
    <row r="25" spans="1:10">
      <c r="A25" s="3110"/>
      <c r="B25" s="3110"/>
      <c r="C25" s="3110"/>
      <c r="D25" s="3110"/>
      <c r="E25" s="3110"/>
      <c r="F25" s="3110"/>
      <c r="G25" s="3110"/>
      <c r="H25" s="3110"/>
      <c r="I25" s="3110"/>
      <c r="J25" s="3110"/>
    </row>
    <row r="26" spans="1:10">
      <c r="A26" s="3110"/>
      <c r="B26" s="3110"/>
      <c r="C26" s="3110"/>
      <c r="D26" s="3110"/>
      <c r="E26" s="3110"/>
      <c r="F26" s="3110"/>
      <c r="G26" s="3110"/>
      <c r="H26" s="3110"/>
      <c r="I26" s="3110"/>
      <c r="J26" s="31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21" sqref="D21"/>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t="s">
        <v>3167</v>
      </c>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3958" t="str">
        <f>项目基本情况!K2</f>
        <v>北京市出让国有建设用地使用权</v>
      </c>
      <c r="B2" s="3959"/>
      <c r="C2" s="3960"/>
      <c r="D2" s="3960"/>
      <c r="E2" s="3960"/>
      <c r="F2" s="3960"/>
      <c r="G2" s="3959"/>
      <c r="H2" s="3959"/>
      <c r="I2" s="3961"/>
      <c r="J2" s="1850"/>
      <c r="K2" s="1849"/>
      <c r="L2" s="1849"/>
      <c r="M2" s="1849"/>
      <c r="N2" s="1849"/>
      <c r="O2" s="1849"/>
      <c r="P2" s="1849"/>
      <c r="Q2" s="1849"/>
      <c r="R2" s="1849"/>
      <c r="S2" s="1849"/>
      <c r="T2" s="1849"/>
      <c r="U2" s="1849"/>
      <c r="V2" s="1849"/>
    </row>
    <row r="3" spans="1:22" ht="14.25">
      <c r="A3" s="3951" t="s">
        <v>298</v>
      </c>
      <c r="B3" s="3952"/>
      <c r="C3" s="3952"/>
      <c r="D3" s="3952"/>
      <c r="E3" s="3952"/>
      <c r="F3" s="3952"/>
      <c r="G3" s="3952"/>
      <c r="H3" s="3952"/>
      <c r="I3" s="3952"/>
      <c r="J3" s="1850"/>
      <c r="K3" s="1849"/>
      <c r="L3" s="1849"/>
      <c r="M3" s="1849"/>
      <c r="N3" s="1849"/>
      <c r="O3" s="1849"/>
      <c r="P3" s="1849"/>
      <c r="Q3" s="1849"/>
      <c r="R3" s="1849"/>
      <c r="S3" s="1849"/>
      <c r="T3" s="1849"/>
      <c r="U3" s="1849"/>
      <c r="V3" s="1849"/>
    </row>
    <row r="4" spans="1:22" ht="14.25">
      <c r="A4" s="255" t="s">
        <v>299</v>
      </c>
      <c r="B4" s="256" t="s">
        <v>300</v>
      </c>
      <c r="C4" s="257" t="s">
        <v>3168</v>
      </c>
      <c r="D4" s="257" t="s">
        <v>3168</v>
      </c>
      <c r="E4" s="3917" t="s">
        <v>301</v>
      </c>
      <c r="F4" s="3918"/>
      <c r="G4" s="3918"/>
      <c r="H4" s="3918"/>
      <c r="I4" s="3953"/>
      <c r="J4" s="1850"/>
      <c r="K4" s="1849"/>
      <c r="L4" s="3111"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3916" t="s">
        <v>302</v>
      </c>
      <c r="B5" s="3945">
        <v>25</v>
      </c>
      <c r="C5" s="3943">
        <v>1</v>
      </c>
      <c r="D5" s="3947">
        <v>1</v>
      </c>
      <c r="E5" s="258" t="s">
        <v>303</v>
      </c>
      <c r="F5" s="259"/>
      <c r="G5" s="259"/>
      <c r="H5" s="259"/>
      <c r="I5" s="260"/>
      <c r="J5" s="1850"/>
      <c r="K5" s="1849"/>
      <c r="L5" s="1849"/>
      <c r="M5" s="1849"/>
      <c r="N5" s="1849"/>
      <c r="O5" s="1849"/>
      <c r="P5" s="1849"/>
      <c r="Q5" s="1849"/>
      <c r="R5" s="1849"/>
      <c r="S5" s="1849"/>
      <c r="T5" s="1849"/>
      <c r="U5" s="1849"/>
      <c r="V5" s="1849"/>
    </row>
    <row r="6" spans="1:22" ht="14.25">
      <c r="A6" s="3916"/>
      <c r="B6" s="3945"/>
      <c r="C6" s="3946"/>
      <c r="D6" s="3947"/>
      <c r="E6" s="258" t="s">
        <v>304</v>
      </c>
      <c r="F6" s="259"/>
      <c r="G6" s="259"/>
      <c r="H6" s="259"/>
      <c r="I6" s="260"/>
      <c r="J6" s="1850"/>
      <c r="K6" s="1849"/>
      <c r="L6" s="1849"/>
      <c r="M6" s="1849"/>
      <c r="N6" s="1849"/>
      <c r="O6" s="1849"/>
      <c r="P6" s="1849"/>
      <c r="Q6" s="1849"/>
      <c r="R6" s="1849"/>
      <c r="S6" s="1849"/>
      <c r="T6" s="1849"/>
      <c r="U6" s="1849"/>
      <c r="V6" s="1849"/>
    </row>
    <row r="7" spans="1:22" ht="14.25">
      <c r="A7" s="3916"/>
      <c r="B7" s="3945"/>
      <c r="C7" s="3944"/>
      <c r="D7" s="3947"/>
      <c r="E7" s="258" t="s">
        <v>305</v>
      </c>
      <c r="F7" s="259"/>
      <c r="G7" s="259"/>
      <c r="H7" s="259"/>
      <c r="I7" s="260"/>
      <c r="J7" s="1850"/>
      <c r="K7" s="1849"/>
      <c r="L7" s="1849"/>
      <c r="M7" s="1849"/>
      <c r="N7" s="1849"/>
      <c r="O7" s="1849"/>
      <c r="P7" s="1849"/>
      <c r="Q7" s="1849"/>
      <c r="R7" s="1849"/>
      <c r="S7" s="1849"/>
      <c r="T7" s="1849"/>
      <c r="U7" s="1849"/>
      <c r="V7" s="1849"/>
    </row>
    <row r="8" spans="1:22" ht="14.25">
      <c r="A8" s="3916" t="s">
        <v>306</v>
      </c>
      <c r="B8" s="3945">
        <v>15</v>
      </c>
      <c r="C8" s="3943"/>
      <c r="D8" s="3947"/>
      <c r="E8" s="258" t="s">
        <v>307</v>
      </c>
      <c r="F8" s="259"/>
      <c r="G8" s="259"/>
      <c r="H8" s="259"/>
      <c r="I8" s="260"/>
      <c r="J8" s="1850"/>
      <c r="K8" s="1849"/>
      <c r="L8" s="1849"/>
      <c r="M8" s="1849"/>
      <c r="N8" s="1849"/>
      <c r="O8" s="1849"/>
      <c r="P8" s="1849"/>
      <c r="Q8" s="1849"/>
      <c r="R8" s="1849"/>
      <c r="S8" s="1849"/>
      <c r="T8" s="1849"/>
      <c r="U8" s="1849"/>
      <c r="V8" s="1849"/>
    </row>
    <row r="9" spans="1:22" ht="14.25">
      <c r="A9" s="3916"/>
      <c r="B9" s="3945"/>
      <c r="C9" s="3944"/>
      <c r="D9" s="3947"/>
      <c r="E9" s="258" t="s">
        <v>308</v>
      </c>
      <c r="F9" s="259"/>
      <c r="G9" s="259"/>
      <c r="H9" s="259"/>
      <c r="I9" s="260"/>
      <c r="J9" s="1850"/>
      <c r="K9" s="1849"/>
      <c r="L9" s="1849"/>
      <c r="M9" s="1849"/>
      <c r="N9" s="1849"/>
      <c r="O9" s="1849"/>
      <c r="P9" s="1849"/>
      <c r="Q9" s="1849"/>
      <c r="R9" s="1849"/>
      <c r="S9" s="1849"/>
      <c r="T9" s="1849"/>
      <c r="U9" s="1849"/>
      <c r="V9" s="1849"/>
    </row>
    <row r="10" spans="1:22" ht="14.25">
      <c r="A10" s="3916" t="s">
        <v>309</v>
      </c>
      <c r="B10" s="3945">
        <v>15</v>
      </c>
      <c r="C10" s="3943"/>
      <c r="D10" s="3947"/>
      <c r="E10" s="258" t="s">
        <v>310</v>
      </c>
      <c r="F10" s="259"/>
      <c r="G10" s="259"/>
      <c r="H10" s="259"/>
      <c r="I10" s="260"/>
      <c r="J10" s="1850"/>
      <c r="K10" s="1849"/>
      <c r="L10" s="1849"/>
      <c r="M10" s="1849"/>
      <c r="N10" s="1849"/>
      <c r="O10" s="1849"/>
      <c r="P10" s="1849"/>
      <c r="Q10" s="1849"/>
      <c r="R10" s="1849"/>
      <c r="S10" s="1849"/>
      <c r="T10" s="1849"/>
      <c r="U10" s="1849"/>
      <c r="V10" s="1849"/>
    </row>
    <row r="11" spans="1:22" ht="14.25">
      <c r="A11" s="3916"/>
      <c r="B11" s="3945"/>
      <c r="C11" s="3944"/>
      <c r="D11" s="3947"/>
      <c r="E11" s="258" t="s">
        <v>311</v>
      </c>
      <c r="F11" s="259"/>
      <c r="G11" s="259"/>
      <c r="H11" s="259"/>
      <c r="I11" s="260"/>
      <c r="J11" s="1850"/>
      <c r="K11" s="1849"/>
      <c r="L11" s="1849"/>
      <c r="M11" s="1849"/>
      <c r="N11" s="1849"/>
      <c r="O11" s="1849"/>
      <c r="P11" s="1849"/>
      <c r="Q11" s="1849"/>
      <c r="R11" s="1849"/>
      <c r="S11" s="1849"/>
      <c r="T11" s="1849"/>
      <c r="U11" s="1849"/>
      <c r="V11" s="1849"/>
    </row>
    <row r="12" spans="1:22" ht="14.25">
      <c r="A12" s="3916" t="s">
        <v>312</v>
      </c>
      <c r="B12" s="3945">
        <v>15</v>
      </c>
      <c r="C12" s="3943"/>
      <c r="D12" s="3947"/>
      <c r="E12" s="258" t="s">
        <v>313</v>
      </c>
      <c r="F12" s="259"/>
      <c r="G12" s="259"/>
      <c r="H12" s="259"/>
      <c r="I12" s="260"/>
      <c r="J12" s="1850"/>
      <c r="K12" s="1849"/>
      <c r="L12" s="1849"/>
      <c r="M12" s="1849"/>
      <c r="N12" s="1849"/>
      <c r="O12" s="1849"/>
      <c r="P12" s="1849"/>
      <c r="Q12" s="1849"/>
      <c r="R12" s="1849"/>
      <c r="S12" s="1849"/>
      <c r="T12" s="1849"/>
      <c r="U12" s="1849"/>
      <c r="V12" s="1849"/>
    </row>
    <row r="13" spans="1:22" ht="14.25">
      <c r="A13" s="3916"/>
      <c r="B13" s="3945"/>
      <c r="C13" s="3944"/>
      <c r="D13" s="3947"/>
      <c r="E13" s="258" t="s">
        <v>314</v>
      </c>
      <c r="F13" s="259"/>
      <c r="G13" s="259"/>
      <c r="H13" s="259"/>
      <c r="I13" s="260"/>
      <c r="J13" s="1850"/>
      <c r="K13" s="1849"/>
      <c r="L13" s="1849"/>
      <c r="M13" s="1849"/>
      <c r="N13" s="1849"/>
      <c r="O13" s="1849"/>
      <c r="P13" s="1849"/>
      <c r="Q13" s="1849"/>
      <c r="R13" s="1849"/>
      <c r="S13" s="1849"/>
      <c r="T13" s="1849"/>
      <c r="U13" s="1849"/>
      <c r="V13" s="1849"/>
    </row>
    <row r="14" spans="1:22" ht="14.25">
      <c r="A14" s="3916" t="s">
        <v>315</v>
      </c>
      <c r="B14" s="3945">
        <v>30</v>
      </c>
      <c r="C14" s="3943"/>
      <c r="D14" s="3947"/>
      <c r="E14" s="258" t="s">
        <v>316</v>
      </c>
      <c r="F14" s="259"/>
      <c r="G14" s="259"/>
      <c r="H14" s="259"/>
      <c r="I14" s="260"/>
      <c r="J14" s="1850"/>
      <c r="K14" s="1849"/>
      <c r="L14" s="1849"/>
      <c r="M14" s="1849"/>
      <c r="N14" s="1849"/>
      <c r="O14" s="1849"/>
      <c r="P14" s="1849"/>
      <c r="Q14" s="1849"/>
      <c r="R14" s="1849"/>
      <c r="S14" s="1849"/>
      <c r="T14" s="1849"/>
      <c r="U14" s="1849"/>
      <c r="V14" s="1849"/>
    </row>
    <row r="15" spans="1:22" ht="14.25">
      <c r="A15" s="3916"/>
      <c r="B15" s="3945"/>
      <c r="C15" s="3946"/>
      <c r="D15" s="3947"/>
      <c r="E15" s="258" t="s">
        <v>317</v>
      </c>
      <c r="F15" s="259"/>
      <c r="G15" s="259"/>
      <c r="H15" s="259"/>
      <c r="I15" s="260"/>
      <c r="J15" s="1850"/>
      <c r="K15" s="1849"/>
      <c r="L15" s="1849"/>
      <c r="M15" s="1849"/>
      <c r="N15" s="1849"/>
      <c r="O15" s="1849"/>
      <c r="P15" s="1849"/>
      <c r="Q15" s="1849"/>
      <c r="R15" s="1849"/>
      <c r="S15" s="1849"/>
      <c r="T15" s="1849"/>
      <c r="U15" s="1849"/>
      <c r="V15" s="1849"/>
    </row>
    <row r="16" spans="1:22" ht="14.25">
      <c r="A16" s="3916"/>
      <c r="B16" s="3945"/>
      <c r="C16" s="3944"/>
      <c r="D16" s="3947"/>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1</v>
      </c>
      <c r="D17" s="262">
        <f>SUM(D5:D16)</f>
        <v>1</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f>ROUND(C17/SUM(C17:D17),2)</f>
        <v>0.5</v>
      </c>
      <c r="D18" s="264">
        <f>1-C18</f>
        <v>0.5</v>
      </c>
      <c r="E18" s="3948" t="s">
        <v>2740</v>
      </c>
      <c r="F18" s="3949"/>
      <c r="G18" s="3949"/>
      <c r="H18" s="3949"/>
      <c r="I18" s="3949"/>
      <c r="J18" s="1849"/>
      <c r="K18" s="1849"/>
      <c r="L18" s="1849"/>
      <c r="M18" s="1849"/>
      <c r="N18" s="1849"/>
      <c r="O18" s="1849"/>
      <c r="P18" s="1849"/>
      <c r="Q18" s="1849"/>
      <c r="R18" s="1849"/>
      <c r="S18" s="1849"/>
      <c r="T18" s="1849"/>
      <c r="U18" s="1849"/>
      <c r="V18" s="1849"/>
    </row>
    <row r="19" spans="1:26" ht="15">
      <c r="A19" s="265" t="s">
        <v>321</v>
      </c>
      <c r="B19" s="266" t="s">
        <v>322</v>
      </c>
      <c r="C19" s="267">
        <f ca="1">SUMIF(INDIRECT("'"&amp;C4&amp;"'"&amp;"!A:A"),结果表!B19,INDIRECT("'"&amp;C4&amp;"'"&amp;"!B:B"))</f>
        <v>12923</v>
      </c>
      <c r="D19" s="268">
        <f ca="1">SUMIF(INDIRECT("'"&amp;D4&amp;"'"&amp;"!A:A"),结果表!B19,INDIRECT("'"&amp;D4&amp;"'"&amp;"!B:B"))</f>
        <v>12923</v>
      </c>
      <c r="E19" s="265" t="s">
        <v>323</v>
      </c>
      <c r="F19" s="266" t="s">
        <v>322</v>
      </c>
      <c r="G19" s="269">
        <f ca="1">ROUND(C19*$C$18+D19*$D$18,0)</f>
        <v>12923</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f ca="1">SUMIF(INDIRECT("'"&amp;C4&amp;"'"&amp;"!A:A"),结果表!B20,INDIRECT("'"&amp;C4&amp;"'"&amp;"!B:B"))</f>
        <v>20675</v>
      </c>
      <c r="D20" s="274">
        <f ca="1">SUMIF(INDIRECT("'"&amp;D4&amp;"'"&amp;"!A:A"),结果表!B20,INDIRECT("'"&amp;D4&amp;"'"&amp;"!B:B"))</f>
        <v>20675</v>
      </c>
      <c r="E20" s="271"/>
      <c r="F20" s="272" t="s">
        <v>325</v>
      </c>
      <c r="G20" s="275">
        <f ca="1">ROUND(C20*$C$18+D20*$D$18,0)</f>
        <v>20675</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f ca="1">SUMIF(INDIRECT("'"&amp;C4&amp;"'"&amp;"!A:A"),结果表!B21,INDIRECT("'"&amp;C4&amp;"'"&amp;"!B:B"))</f>
        <v>4694</v>
      </c>
      <c r="D21" s="149">
        <f ca="1">SUMIF(INDIRECT("'"&amp;D4&amp;"'"&amp;"!A:A"),结果表!B21,INDIRECT("'"&amp;D4&amp;"'"&amp;"!B:B"))</f>
        <v>4694</v>
      </c>
      <c r="E21" s="271"/>
      <c r="F21" s="277" t="s">
        <v>327</v>
      </c>
      <c r="G21" s="279">
        <f ca="1">ROUND(C21*$C$18+D21*$D$18,0)</f>
        <v>4694</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f ca="1">IF(C19&lt;D19,D19/C19-1,C19/D19-1)</f>
        <v>0</v>
      </c>
      <c r="E22" s="281"/>
      <c r="F22" s="282"/>
      <c r="G22" s="283">
        <f ca="1">ROUND(G19/('数据-汇总表'!D3/666.67),0)</f>
        <v>313</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3922"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3923"/>
      <c r="B25" s="1234" t="s">
        <v>331</v>
      </c>
      <c r="C25" s="287">
        <f>IF(B30=0,0,C30)</f>
        <v>0</v>
      </c>
      <c r="D25" s="288"/>
      <c r="E25" s="308"/>
      <c r="F25" s="308"/>
      <c r="G25" s="308"/>
      <c r="H25" s="308"/>
      <c r="I25" s="308"/>
      <c r="J25" s="1849"/>
      <c r="K25" s="1168" t="str">
        <f ca="1">项目基本情况!B16&amp;"国有建设用地使用权价格："&amp;O38&amp;"万元"</f>
        <v>出让国有建设用地使用权价格：12923万元</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str">
        <f ca="1">"大写金额：人民币"&amp;NUMBERSTRING(INT(O38*10000),2)&amp;"元整"</f>
        <v>大写金额：人民币壹亿贰仟玖佰贰拾叁万元整</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str">
        <f ca="1">"单位面积地价："&amp;M38&amp;"元/平方米"</f>
        <v>单位面积地价：4694元/平方米</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str">
        <f ca="1">"楼面地价："&amp;N38&amp;"元/平方米"</f>
        <v>楼面地价：20675元/平方米</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2741</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3950" t="s">
        <v>2742</v>
      </c>
      <c r="B31" s="3950"/>
      <c r="C31" s="3950"/>
      <c r="D31" s="3950"/>
      <c r="E31" s="3950"/>
      <c r="F31" s="3950"/>
      <c r="G31" s="3950"/>
      <c r="H31" s="3950"/>
      <c r="I31" s="3950"/>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f ca="1">G19-C24</f>
        <v>12923</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f ca="1">ROUND(C32*10000/'数据-汇总表'!E3,0)</f>
        <v>20675</v>
      </c>
      <c r="D33" s="1283" t="s">
        <v>1482</v>
      </c>
      <c r="E33" s="3922"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f ca="1">ROUND(C32*10000/'数据-汇总表'!D3,0)</f>
        <v>4694</v>
      </c>
      <c r="D34" s="1285" t="s">
        <v>1482</v>
      </c>
      <c r="E34" s="3966"/>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f ca="1">ROUND(C32/('数据-汇总表'!D3/666.67),0)</f>
        <v>313</v>
      </c>
      <c r="D35" s="1288" t="s">
        <v>1484</v>
      </c>
      <c r="E35" s="3967"/>
      <c r="F35" s="298" t="s">
        <v>342</v>
      </c>
      <c r="G35" s="949"/>
      <c r="H35" s="948" t="s">
        <v>343</v>
      </c>
      <c r="I35" s="308"/>
      <c r="J35" s="1849"/>
      <c r="K35" s="3940" t="s">
        <v>350</v>
      </c>
      <c r="L35" s="3940" t="s">
        <v>351</v>
      </c>
      <c r="M35" s="1177" t="s">
        <v>352</v>
      </c>
      <c r="N35" s="3940" t="s">
        <v>353</v>
      </c>
      <c r="O35" s="3940" t="s">
        <v>354</v>
      </c>
      <c r="P35" s="1849"/>
      <c r="V35" s="1849"/>
    </row>
    <row r="36" spans="1:26" ht="16.5" customHeight="1">
      <c r="A36" s="300" t="s">
        <v>344</v>
      </c>
      <c r="B36" s="301" t="s">
        <v>333</v>
      </c>
      <c r="C36" s="302" t="s">
        <v>345</v>
      </c>
      <c r="D36" s="302" t="s">
        <v>346</v>
      </c>
      <c r="E36" s="303" t="s">
        <v>347</v>
      </c>
      <c r="F36" s="308"/>
      <c r="G36" s="308"/>
      <c r="H36" s="308"/>
      <c r="I36" s="308"/>
      <c r="J36" s="1851"/>
      <c r="K36" s="3941"/>
      <c r="L36" s="3941"/>
      <c r="M36" s="1179" t="s">
        <v>355</v>
      </c>
      <c r="N36" s="3941"/>
      <c r="O36" s="3941"/>
      <c r="P36" s="1849"/>
      <c r="V36" s="1849"/>
    </row>
    <row r="37" spans="1:26" ht="16.5" customHeight="1" thickBot="1">
      <c r="A37" s="1173" t="s">
        <v>348</v>
      </c>
      <c r="B37" s="304"/>
      <c r="C37" s="291"/>
      <c r="D37" s="291"/>
      <c r="E37" s="292"/>
      <c r="F37" s="308"/>
      <c r="G37" s="308"/>
      <c r="H37" s="308"/>
      <c r="I37" s="308"/>
      <c r="J37" s="1851"/>
      <c r="K37" s="3942"/>
      <c r="L37" s="3942"/>
      <c r="M37" s="1180"/>
      <c r="N37" s="3942"/>
      <c r="O37" s="3942"/>
      <c r="P37" s="1849"/>
      <c r="V37" s="1849"/>
    </row>
    <row r="38" spans="1:26" ht="16.5" customHeight="1" thickBot="1">
      <c r="A38" s="1173" t="s">
        <v>349</v>
      </c>
      <c r="B38" s="304"/>
      <c r="C38" s="291"/>
      <c r="D38" s="291"/>
      <c r="E38" s="292"/>
      <c r="F38" s="308"/>
      <c r="G38" s="308"/>
      <c r="H38" s="308"/>
      <c r="I38" s="308"/>
      <c r="J38" s="1851"/>
      <c r="K38" s="1181">
        <f>'数据-汇总表'!D3</f>
        <v>27531</v>
      </c>
      <c r="L38" s="1182">
        <f>'数据-汇总表'!E3</f>
        <v>6250.48</v>
      </c>
      <c r="M38" s="1182">
        <f ca="1">C34</f>
        <v>4694</v>
      </c>
      <c r="N38" s="1182">
        <f ca="1">C33</f>
        <v>20675</v>
      </c>
      <c r="O38" s="1183">
        <f ca="1">C32</f>
        <v>12923</v>
      </c>
      <c r="P38" s="1849"/>
      <c r="V38" s="1849"/>
    </row>
    <row r="39" spans="1:26" ht="16.5" customHeight="1" thickBot="1">
      <c r="A39" s="1178"/>
      <c r="B39" s="305"/>
      <c r="C39" s="306"/>
      <c r="D39" s="306"/>
      <c r="E39" s="307"/>
      <c r="F39" s="308"/>
      <c r="G39" s="308"/>
      <c r="H39" s="308"/>
      <c r="I39" s="308"/>
      <c r="J39" s="1851"/>
      <c r="K39" s="3980" t="str">
        <f>MID(A44,3,LEN(A44)-2)</f>
        <v/>
      </c>
      <c r="L39" s="3981"/>
      <c r="M39" s="3981"/>
      <c r="N39" s="3982"/>
      <c r="O39" s="1290" t="str">
        <f>C44</f>
        <v>——</v>
      </c>
      <c r="P39" s="1849"/>
      <c r="V39" s="1849"/>
    </row>
    <row r="40" spans="1:26" ht="19.5" thickBot="1">
      <c r="A40" s="104" t="s">
        <v>843</v>
      </c>
      <c r="B40" s="308"/>
      <c r="C40" s="308"/>
      <c r="D40" s="308"/>
      <c r="E40" s="308"/>
      <c r="F40" s="308"/>
      <c r="G40" s="308"/>
      <c r="H40" s="308"/>
      <c r="I40" s="308"/>
      <c r="J40" s="1851"/>
      <c r="K40" s="3980" t="str">
        <f t="shared" ref="K40:K41" si="0">MID(A45,3,LEN(A45)-2)</f>
        <v/>
      </c>
      <c r="L40" s="3981"/>
      <c r="M40" s="3981"/>
      <c r="N40" s="3982"/>
      <c r="O40" s="1290" t="str">
        <f>C45</f>
        <v>——</v>
      </c>
      <c r="P40" s="1849"/>
      <c r="V40" s="1849"/>
    </row>
    <row r="41" spans="1:26" ht="16.5" thickBot="1">
      <c r="A41" s="309" t="s">
        <v>356</v>
      </c>
      <c r="B41" s="310"/>
      <c r="C41" s="311" t="s">
        <v>357</v>
      </c>
      <c r="D41" s="312" t="s">
        <v>358</v>
      </c>
      <c r="E41" s="312" t="s">
        <v>359</v>
      </c>
      <c r="F41" s="313" t="s">
        <v>360</v>
      </c>
      <c r="G41" s="308"/>
      <c r="H41" s="308"/>
      <c r="I41" s="308"/>
      <c r="J41" s="1851"/>
      <c r="K41" s="3980" t="str">
        <f t="shared" si="0"/>
        <v/>
      </c>
      <c r="L41" s="3981"/>
      <c r="M41" s="3981"/>
      <c r="N41" s="3982"/>
      <c r="O41" s="1290" t="str">
        <f>C46</f>
        <v>——</v>
      </c>
      <c r="P41" s="1849"/>
      <c r="V41" s="1849"/>
    </row>
    <row r="42" spans="1:26" ht="29.25">
      <c r="A42" s="3924" t="s">
        <v>1848</v>
      </c>
      <c r="B42" s="3925"/>
      <c r="C42" s="261">
        <f ca="1">C32</f>
        <v>12923</v>
      </c>
      <c r="D42" s="314">
        <f ca="1">C33</f>
        <v>20675</v>
      </c>
      <c r="E42" s="314">
        <f ca="1">C34</f>
        <v>4694</v>
      </c>
      <c r="F42" s="315">
        <f ca="1">C35</f>
        <v>313</v>
      </c>
      <c r="G42" s="308"/>
      <c r="H42" s="308"/>
      <c r="I42" s="316"/>
      <c r="J42" s="1851"/>
      <c r="K42" s="1184" t="s">
        <v>361</v>
      </c>
      <c r="L42" s="1868" t="s">
        <v>362</v>
      </c>
      <c r="M42" s="1185" t="s">
        <v>363</v>
      </c>
      <c r="N42" s="1869" t="s">
        <v>364</v>
      </c>
      <c r="O42" s="1870" t="s">
        <v>365</v>
      </c>
      <c r="P42" s="1849"/>
      <c r="V42" s="1849"/>
    </row>
    <row r="43" spans="1:26" ht="18">
      <c r="A43" s="3935" t="s">
        <v>2496</v>
      </c>
      <c r="B43" s="3936"/>
      <c r="C43" s="261">
        <f>IF(H33="正常操作",G33+G34+G35,G34+G35)</f>
        <v>0</v>
      </c>
      <c r="D43" s="314" t="s">
        <v>43</v>
      </c>
      <c r="E43" s="314" t="s">
        <v>44</v>
      </c>
      <c r="F43" s="315" t="s">
        <v>44</v>
      </c>
      <c r="G43" s="2512" t="s">
        <v>922</v>
      </c>
      <c r="H43" s="308"/>
      <c r="I43" s="316"/>
      <c r="J43" s="1851"/>
      <c r="K43" s="1186" t="str">
        <f>C4</f>
        <v>成本逼近法</v>
      </c>
      <c r="L43" s="1187">
        <f ca="1">IF(L42="估价结果/万元",C19,C20)</f>
        <v>12923</v>
      </c>
      <c r="M43" s="1188">
        <f>C18</f>
        <v>0.5</v>
      </c>
      <c r="N43" s="1189">
        <f ca="1">IF(N42="测算结果/万元",G19,G20)</f>
        <v>12923</v>
      </c>
      <c r="O43" s="1190">
        <f ca="1">IF(O42="最终结果/万元",C32,C33)</f>
        <v>12923</v>
      </c>
      <c r="P43" s="1849"/>
      <c r="V43" s="1849"/>
    </row>
    <row r="44" spans="1:26" ht="18.75" thickBot="1">
      <c r="A44" s="3924" t="str">
        <f>IF(OR(项目基本情况!E8="抵押价格",项目基本情况!E8="已注销及未注销"),"3.抵押价格","——")</f>
        <v>——</v>
      </c>
      <c r="B44" s="3925"/>
      <c r="C44" s="261" t="str">
        <f>IF(A44="——","——",C42-C43)</f>
        <v>——</v>
      </c>
      <c r="D44" s="314" t="e">
        <f>ROUND(C44*10000/'数据-汇总表'!E3,0)</f>
        <v>#VALUE!</v>
      </c>
      <c r="E44" s="314" t="e">
        <f>ROUND(C44*10000/'数据-汇总表'!D3,0)</f>
        <v>#VALUE!</v>
      </c>
      <c r="F44" s="315" t="e">
        <f>ROUND(C44/('数据-汇总表'!D3/666.67),0)</f>
        <v>#VALUE!</v>
      </c>
      <c r="G44" s="308"/>
      <c r="H44" s="308"/>
      <c r="I44" s="316"/>
      <c r="J44" s="1851"/>
      <c r="K44" s="1191" t="str">
        <f>D4</f>
        <v>成本逼近法</v>
      </c>
      <c r="L44" s="1192">
        <f ca="1">IF(L42="估价结果/万元",D19,D20)</f>
        <v>12923</v>
      </c>
      <c r="M44" s="1193">
        <f>D18</f>
        <v>0.5</v>
      </c>
      <c r="N44" s="1194"/>
      <c r="O44" s="1195"/>
      <c r="P44" s="1849"/>
      <c r="V44" s="1849"/>
    </row>
    <row r="45" spans="1:26" ht="15">
      <c r="A45" s="3930" t="str">
        <f>IF(项目基本情况!E8="已注销及未注销","4.抵押担保权已注销时的抵押价格",IF(项目基本情况!E8="已注销","3.抵押担保权已注销时的抵押价格","——"))</f>
        <v>——</v>
      </c>
      <c r="B45" s="3931"/>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3926" t="str">
        <f>IF(项目基本情况!E9="抵押净值",IF(A45="——","4.抵押净值","5.抵押净值"),"——")</f>
        <v>——</v>
      </c>
      <c r="B46" s="3927"/>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3974" t="s">
        <v>374</v>
      </c>
      <c r="B63" s="3975"/>
      <c r="C63" s="3976"/>
      <c r="D63" s="338">
        <f ca="1">ROUND(C42*F63,0)</f>
        <v>12923</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3932" t="s">
        <v>378</v>
      </c>
      <c r="B64" s="3933"/>
      <c r="C64" s="3933"/>
      <c r="D64" s="3933"/>
      <c r="E64" s="3933"/>
      <c r="F64" s="3933"/>
      <c r="G64" s="3934"/>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3928" t="s">
        <v>386</v>
      </c>
      <c r="B66" s="3929"/>
      <c r="C66" s="3929"/>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3989" t="s">
        <v>385</v>
      </c>
      <c r="M66" s="3990"/>
      <c r="N66" s="2249"/>
      <c r="O66" s="2250"/>
      <c r="P66" s="2251"/>
      <c r="Q66" s="1849"/>
      <c r="R66" s="1849"/>
      <c r="S66" s="1849"/>
      <c r="T66" s="1849"/>
      <c r="U66" s="1849"/>
      <c r="V66" s="1849"/>
    </row>
    <row r="67" spans="1:22" ht="25.5" customHeight="1">
      <c r="A67" s="349" t="s">
        <v>389</v>
      </c>
      <c r="B67" s="3919" t="s">
        <v>390</v>
      </c>
      <c r="C67" s="3919"/>
      <c r="D67" s="350">
        <v>0</v>
      </c>
      <c r="E67" s="41" t="s">
        <v>391</v>
      </c>
      <c r="F67" s="62" t="s">
        <v>21</v>
      </c>
      <c r="G67" s="3977"/>
      <c r="H67" s="2923" t="s">
        <v>2743</v>
      </c>
      <c r="I67" s="2925"/>
      <c r="J67" s="1856"/>
      <c r="K67" s="1828">
        <v>2</v>
      </c>
      <c r="L67" s="3983" t="s">
        <v>388</v>
      </c>
      <c r="M67" s="3983"/>
      <c r="N67" s="1238">
        <f>'数据-取费表'!B2</f>
        <v>44867</v>
      </c>
      <c r="O67" s="1238"/>
      <c r="P67" s="1238"/>
      <c r="Q67" s="1849"/>
      <c r="R67" s="1849"/>
      <c r="S67" s="1849"/>
      <c r="T67" s="1849"/>
      <c r="U67" s="1849"/>
      <c r="V67" s="1849"/>
    </row>
    <row r="68" spans="1:22" ht="25.5" customHeight="1">
      <c r="A68" s="351"/>
      <c r="B68" s="3919" t="s">
        <v>393</v>
      </c>
      <c r="C68" s="3919"/>
      <c r="D68" s="352"/>
      <c r="E68" s="77"/>
      <c r="F68" s="353"/>
      <c r="G68" s="3978"/>
      <c r="H68" s="2924" t="s">
        <v>2744</v>
      </c>
      <c r="I68" s="2925"/>
      <c r="J68" s="1856"/>
      <c r="K68" s="1828">
        <v>3</v>
      </c>
      <c r="L68" s="3983" t="s">
        <v>392</v>
      </c>
      <c r="M68" s="3983"/>
      <c r="N68" s="1206">
        <f ca="1">C42</f>
        <v>12923</v>
      </c>
      <c r="O68" s="1206"/>
      <c r="P68" s="1206"/>
      <c r="Q68" s="1849"/>
      <c r="R68" s="1849"/>
      <c r="S68" s="1849"/>
      <c r="T68" s="1849"/>
      <c r="U68" s="1849"/>
      <c r="V68" s="1849"/>
    </row>
    <row r="69" spans="1:22" ht="23.45" customHeight="1">
      <c r="A69" s="354"/>
      <c r="B69" s="3919" t="s">
        <v>394</v>
      </c>
      <c r="C69" s="3919"/>
      <c r="D69" s="355"/>
      <c r="E69" s="73"/>
      <c r="F69" s="353"/>
      <c r="G69" s="3979"/>
      <c r="H69" s="2924" t="s">
        <v>2745</v>
      </c>
      <c r="I69" s="2925"/>
      <c r="J69" s="1856"/>
      <c r="K69" s="1207">
        <v>4</v>
      </c>
      <c r="L69" s="3993" t="s">
        <v>2645</v>
      </c>
      <c r="M69" s="3994"/>
      <c r="N69" s="1208" t="str">
        <f>C44</f>
        <v>——</v>
      </c>
      <c r="O69" s="1208"/>
      <c r="P69" s="1208"/>
      <c r="Q69" s="1849"/>
      <c r="R69" s="1849"/>
      <c r="S69" s="1849"/>
      <c r="T69" s="1849"/>
      <c r="U69" s="1849"/>
      <c r="V69" s="1849"/>
    </row>
    <row r="70" spans="1:22" ht="24" customHeight="1">
      <c r="A70" s="356" t="s">
        <v>395</v>
      </c>
      <c r="B70" s="3919" t="s">
        <v>396</v>
      </c>
      <c r="C70" s="3919"/>
      <c r="D70" s="355">
        <f ca="1">ROUND(D63*'数据-取费表'!B41/(1+'数据-取费表'!C42),0)</f>
        <v>677</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3920" t="s">
        <v>2773</v>
      </c>
      <c r="C71" s="3921"/>
      <c r="D71" s="355">
        <f ca="1">ROUND(D63*'数据-取费表'!B41/(1+'数据-取费表'!C42),0)</f>
        <v>677</v>
      </c>
      <c r="E71" s="17" t="s">
        <v>397</v>
      </c>
      <c r="F71" s="357">
        <f>'数据-取费表'!B41</f>
        <v>5.5000000000000007E-2</v>
      </c>
      <c r="G71" s="358"/>
      <c r="H71" s="308"/>
      <c r="I71" s="1205"/>
      <c r="J71" s="1856"/>
      <c r="K71" s="2691" t="s">
        <v>398</v>
      </c>
      <c r="L71" s="3995" t="s">
        <v>399</v>
      </c>
      <c r="M71" s="3995"/>
      <c r="N71" s="2691" t="s">
        <v>400</v>
      </c>
      <c r="O71" s="2691" t="s">
        <v>401</v>
      </c>
      <c r="P71" s="2691" t="s">
        <v>402</v>
      </c>
      <c r="Q71" s="1849"/>
      <c r="R71" s="1849"/>
      <c r="S71" s="1849"/>
      <c r="T71" s="1849"/>
      <c r="U71" s="1849"/>
      <c r="V71" s="1849"/>
    </row>
    <row r="72" spans="1:22" ht="12" customHeight="1">
      <c r="A72" s="356" t="s">
        <v>405</v>
      </c>
      <c r="B72" s="3920" t="s">
        <v>2774</v>
      </c>
      <c r="C72" s="3921"/>
      <c r="D72" s="355">
        <f ca="1">C86</f>
        <v>677</v>
      </c>
      <c r="E72" s="73" t="s">
        <v>406</v>
      </c>
      <c r="F72" s="357">
        <f>'数据-取费表'!B41</f>
        <v>5.5000000000000007E-2</v>
      </c>
      <c r="G72" s="358"/>
      <c r="H72" s="1211"/>
      <c r="I72" s="1205"/>
      <c r="J72" s="1856"/>
      <c r="K72" s="1828">
        <v>1</v>
      </c>
      <c r="L72" s="3970" t="s">
        <v>404</v>
      </c>
      <c r="M72" s="3970"/>
      <c r="N72" s="1209" t="b">
        <f>D66</f>
        <v>0</v>
      </c>
      <c r="O72" s="1721" t="str">
        <f>E66</f>
        <v>销售额×税（费）率</v>
      </c>
      <c r="P72" s="1210">
        <f>F66</f>
        <v>5.5000000000000007E-2</v>
      </c>
      <c r="Q72" s="1849"/>
      <c r="R72" s="1849"/>
      <c r="S72" s="1849"/>
      <c r="T72" s="1849"/>
      <c r="U72" s="1849"/>
      <c r="V72" s="1849"/>
    </row>
    <row r="73" spans="1:22" ht="24" customHeight="1">
      <c r="A73" s="3965" t="s">
        <v>408</v>
      </c>
      <c r="B73" s="3929"/>
      <c r="C73" s="3929"/>
      <c r="D73" s="359">
        <f ca="1">IF(H73="个人住宅",0,ROUND(D63*I73,0))</f>
        <v>6</v>
      </c>
      <c r="E73" s="17" t="s">
        <v>409</v>
      </c>
      <c r="F73" s="357" t="str">
        <f>IF(H73="正常",I73,"免征")</f>
        <v>免征</v>
      </c>
      <c r="G73" s="358"/>
      <c r="H73" s="189"/>
      <c r="I73" s="357">
        <f>'数据-取费表'!B49</f>
        <v>5.0000000000000001E-4</v>
      </c>
      <c r="J73" s="1856"/>
      <c r="K73" s="1828">
        <v>2</v>
      </c>
      <c r="L73" s="3970" t="s">
        <v>407</v>
      </c>
      <c r="M73" s="3970"/>
      <c r="N73" s="1209">
        <f t="shared" ref="N73:P74" ca="1" si="1">D73</f>
        <v>6</v>
      </c>
      <c r="O73" s="1721" t="str">
        <f t="shared" si="1"/>
        <v>销售额×税（费）率</v>
      </c>
      <c r="P73" s="1210" t="str">
        <f t="shared" si="1"/>
        <v>免征</v>
      </c>
      <c r="Q73" s="1849"/>
      <c r="R73" s="1849"/>
      <c r="S73" s="1849"/>
      <c r="T73" s="1849"/>
      <c r="U73" s="1849"/>
      <c r="V73" s="1849"/>
    </row>
    <row r="74" spans="1:22" ht="24.75">
      <c r="A74" s="3965" t="s">
        <v>411</v>
      </c>
      <c r="B74" s="3929"/>
      <c r="C74" s="3929"/>
      <c r="D74" s="359">
        <f ca="1">IF(H74="个人住宅",D75,D76)</f>
        <v>7326</v>
      </c>
      <c r="E74" s="17" t="s">
        <v>412</v>
      </c>
      <c r="F74" s="357" t="str">
        <f>IF(H74="正常",F76,"免征")</f>
        <v>免征</v>
      </c>
      <c r="G74" s="950" t="s">
        <v>413</v>
      </c>
      <c r="H74" s="360"/>
      <c r="I74" s="42"/>
      <c r="J74" s="1856"/>
      <c r="K74" s="1828">
        <v>3</v>
      </c>
      <c r="L74" s="3970" t="s">
        <v>410</v>
      </c>
      <c r="M74" s="3970"/>
      <c r="N74" s="1209">
        <f t="shared" ca="1" si="1"/>
        <v>7326</v>
      </c>
      <c r="O74" s="1721" t="str">
        <f t="shared" si="1"/>
        <v>增值额×税（费）率</v>
      </c>
      <c r="P74" s="1212" t="str">
        <f t="shared" si="1"/>
        <v>免征</v>
      </c>
      <c r="Q74" s="1849"/>
      <c r="R74" s="1849"/>
      <c r="S74" s="1849"/>
      <c r="T74" s="1849"/>
      <c r="U74" s="1849"/>
      <c r="V74" s="1849"/>
    </row>
    <row r="75" spans="1:22" ht="12.75">
      <c r="A75" s="356" t="s">
        <v>414</v>
      </c>
      <c r="B75" s="3917" t="s">
        <v>415</v>
      </c>
      <c r="C75" s="3953"/>
      <c r="D75" s="361">
        <v>0</v>
      </c>
      <c r="E75" s="41" t="s">
        <v>416</v>
      </c>
      <c r="F75" s="362"/>
      <c r="G75" s="358"/>
      <c r="H75" s="42"/>
      <c r="I75" s="42"/>
      <c r="J75" s="1856"/>
      <c r="K75" s="2685">
        <f>IF(H77="非个人房产","",4)</f>
        <v>4</v>
      </c>
      <c r="L75" s="3970" t="str">
        <f>IF(H77="非个人房产","——","个人所得税")</f>
        <v>个人所得税</v>
      </c>
      <c r="M75" s="3970"/>
      <c r="N75" s="1213">
        <f>D77</f>
        <v>0</v>
      </c>
      <c r="O75" s="1734" t="str">
        <f>E77</f>
        <v>差额计税</v>
      </c>
      <c r="P75" s="1214">
        <f>F77</f>
        <v>0.01</v>
      </c>
      <c r="Q75" s="1849"/>
      <c r="R75" s="1849"/>
      <c r="S75" s="1849"/>
      <c r="T75" s="1849"/>
      <c r="U75" s="1849"/>
      <c r="V75" s="1849"/>
    </row>
    <row r="76" spans="1:22" ht="24.75">
      <c r="A76" s="356" t="s">
        <v>395</v>
      </c>
      <c r="B76" s="3917" t="s">
        <v>418</v>
      </c>
      <c r="C76" s="3918"/>
      <c r="D76" s="359">
        <f ca="1">IF(H76="转让取得",C99,C115)</f>
        <v>7326</v>
      </c>
      <c r="E76" s="17" t="s">
        <v>419</v>
      </c>
      <c r="F76" s="53" t="s">
        <v>21</v>
      </c>
      <c r="G76" s="358"/>
      <c r="H76" s="360"/>
      <c r="I76" s="42"/>
      <c r="J76" s="1856"/>
      <c r="K76" s="2685" t="str">
        <f>IF(项目基本情况!K6="上海银行",IF(K75="",4,K75+1),"")</f>
        <v/>
      </c>
      <c r="L76" s="3985" t="str">
        <f>IF(项目基本情况!K6="上海银行","其他处置费用","")</f>
        <v/>
      </c>
      <c r="M76" s="3986"/>
      <c r="N76" s="1209" t="str">
        <f>IF(项目基本情况!K6="上海银行",N89,"")</f>
        <v/>
      </c>
      <c r="O76" s="3987" t="str">
        <f>IF(项目基本情况!K6="上海银行","包含处置中涉及的律师、诉讼、拍卖、评估等费用","")</f>
        <v/>
      </c>
      <c r="P76" s="3988"/>
      <c r="Q76" s="1849"/>
      <c r="R76" s="1849"/>
      <c r="S76" s="1849"/>
      <c r="T76" s="1849"/>
      <c r="U76" s="1849"/>
      <c r="V76" s="1849"/>
    </row>
    <row r="77" spans="1:22" ht="24.75" thickBot="1">
      <c r="A77" s="3972" t="s">
        <v>421</v>
      </c>
      <c r="B77" s="3973"/>
      <c r="C77" s="3973"/>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2746</v>
      </c>
      <c r="J77" s="1856"/>
      <c r="K77" s="3971">
        <f>IF(AND(K75="",K76=""),4,IF(项目基本情况!K6="上海银行",K76+1,K75+1))</f>
        <v>5</v>
      </c>
      <c r="L77" s="3970" t="s">
        <v>2646</v>
      </c>
      <c r="M77" s="2690" t="s">
        <v>417</v>
      </c>
      <c r="N77" s="1215"/>
      <c r="O77" s="1216">
        <f ca="1">SUMIF(N72:N76,"&lt;9e307")</f>
        <v>7332</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3971"/>
      <c r="L78" s="3970"/>
      <c r="M78" s="2690" t="s">
        <v>420</v>
      </c>
      <c r="N78" s="1215"/>
      <c r="O78" s="1216" t="str">
        <f ca="1">NUMBERSTRING(INT(O77*10000),2)&amp;"元整"</f>
        <v>柒仟叁佰叁拾贰万元整</v>
      </c>
      <c r="P78" s="1217"/>
      <c r="Q78" s="1849"/>
      <c r="R78" s="1849"/>
      <c r="S78" s="1849"/>
      <c r="T78" s="1849"/>
      <c r="U78" s="1849"/>
      <c r="V78" s="1849"/>
    </row>
    <row r="79" spans="1:22" ht="13.5" thickBot="1">
      <c r="A79" s="3937" t="s">
        <v>422</v>
      </c>
      <c r="B79" s="3937"/>
      <c r="C79" s="3937"/>
      <c r="D79" s="3937"/>
      <c r="E79" s="3937"/>
      <c r="F79" s="42"/>
      <c r="G79" s="42"/>
      <c r="H79" s="970"/>
      <c r="I79" s="308"/>
      <c r="J79" s="1856"/>
      <c r="K79" s="3991">
        <f>K77+1</f>
        <v>6</v>
      </c>
      <c r="L79" s="3970" t="s">
        <v>2647</v>
      </c>
      <c r="M79" s="2690" t="s">
        <v>417</v>
      </c>
      <c r="N79" s="1215"/>
      <c r="O79" s="1216" t="e">
        <f ca="1">N69-O77</f>
        <v>#VALUE!</v>
      </c>
      <c r="P79" s="1217"/>
      <c r="Q79" s="1849"/>
      <c r="R79" s="1849"/>
      <c r="S79" s="1849"/>
      <c r="T79" s="1849"/>
      <c r="U79" s="1849"/>
      <c r="V79" s="1849"/>
    </row>
    <row r="80" spans="1:22" ht="12.75">
      <c r="A80" s="3938" t="s">
        <v>423</v>
      </c>
      <c r="B80" s="3939"/>
      <c r="C80" s="961"/>
      <c r="D80" s="961" t="s">
        <v>424</v>
      </c>
      <c r="E80" s="363" t="s">
        <v>425</v>
      </c>
      <c r="F80" s="42"/>
      <c r="G80" s="42"/>
      <c r="H80" s="970"/>
      <c r="I80" s="308"/>
      <c r="J80" s="1849"/>
      <c r="K80" s="3992"/>
      <c r="L80" s="3970"/>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f ca="1">ROUND((C82+C83)/(1+'数据-取费表'!C42),0)</f>
        <v>12308</v>
      </c>
      <c r="D81" s="366"/>
      <c r="E81" s="367"/>
      <c r="F81" s="42"/>
      <c r="G81" s="42"/>
      <c r="H81" s="970"/>
      <c r="I81" s="308"/>
      <c r="J81" s="1849"/>
      <c r="K81" s="2685">
        <f>K79+1</f>
        <v>7</v>
      </c>
      <c r="L81" s="3968" t="s">
        <v>2648</v>
      </c>
      <c r="M81" s="3969"/>
      <c r="N81" s="1219"/>
      <c r="O81" s="1220" t="e">
        <f ca="1">ROUND(O79*10000/'数据-汇总表'!E3,0)</f>
        <v>#VALUE!</v>
      </c>
      <c r="P81" s="1221"/>
      <c r="Q81" s="1849"/>
      <c r="R81" s="1849"/>
      <c r="S81" s="1849"/>
      <c r="T81" s="1849"/>
      <c r="U81" s="1849"/>
      <c r="V81" s="1849"/>
    </row>
    <row r="82" spans="1:26" ht="13.5" thickTop="1">
      <c r="A82" s="368" t="s">
        <v>1615</v>
      </c>
      <c r="B82" s="369" t="s">
        <v>427</v>
      </c>
      <c r="C82" s="370">
        <f ca="1">D63</f>
        <v>12923</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3984"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2689</v>
      </c>
      <c r="F84" s="42"/>
      <c r="G84" s="42"/>
      <c r="H84" s="970"/>
      <c r="I84" s="308"/>
      <c r="J84" s="1849"/>
      <c r="K84" s="3984"/>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f ca="1">C81-C84</f>
        <v>12308</v>
      </c>
      <c r="D85" s="371" t="s">
        <v>19</v>
      </c>
      <c r="E85" s="372"/>
      <c r="F85" s="42"/>
      <c r="G85" s="42"/>
      <c r="H85" s="970"/>
      <c r="I85" s="308"/>
      <c r="J85" s="1849"/>
      <c r="K85" s="3984"/>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f ca="1">IF(C85&lt;=0,0,ROUND(C85*D86,0))</f>
        <v>677</v>
      </c>
      <c r="D86" s="382">
        <f>'数据-取费表'!B41</f>
        <v>5.5000000000000007E-2</v>
      </c>
      <c r="E86" s="383"/>
      <c r="F86" s="42"/>
      <c r="G86" s="42"/>
      <c r="H86" s="970"/>
      <c r="I86" s="308"/>
      <c r="J86" s="1849"/>
      <c r="K86" s="3984"/>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3984"/>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3963" t="s">
        <v>432</v>
      </c>
      <c r="B88" s="3964"/>
      <c r="C88" s="3964"/>
      <c r="D88" s="3964"/>
      <c r="E88" s="3964"/>
      <c r="F88" s="3964"/>
      <c r="G88" s="3964"/>
      <c r="H88" s="3964"/>
      <c r="I88" s="1228"/>
      <c r="J88" s="1857"/>
      <c r="K88" s="3984"/>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3938" t="s">
        <v>423</v>
      </c>
      <c r="B89" s="3939"/>
      <c r="C89" s="961"/>
      <c r="D89" s="961" t="s">
        <v>424</v>
      </c>
      <c r="E89" s="384" t="s">
        <v>433</v>
      </c>
      <c r="F89" s="385"/>
      <c r="G89" s="385"/>
      <c r="H89" s="386"/>
      <c r="I89" s="1229"/>
      <c r="J89" s="1859"/>
      <c r="K89" s="3984"/>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f ca="1">ROUND(D63/(1+'数据-取费表'!C42),0)</f>
        <v>12308</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f ca="1">C92+C96</f>
        <v>62</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3920" t="s">
        <v>441</v>
      </c>
      <c r="F94" s="3919"/>
      <c r="G94" s="3919"/>
      <c r="H94" s="3962"/>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f ca="1">ROUND(D63*D96/(1+'数据-取费表'!C42),0)</f>
        <v>62</v>
      </c>
      <c r="D96" s="399">
        <f>'数据-取费表'!B43</f>
        <v>5.000000000000001E-3</v>
      </c>
      <c r="E96" s="3954" t="s">
        <v>2204</v>
      </c>
      <c r="F96" s="3955"/>
      <c r="G96" s="3955"/>
      <c r="H96" s="3956"/>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f ca="1">C90-C91</f>
        <v>12246</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f ca="1">IF(C97&lt;=0,0,C97/C91)</f>
        <v>197.51612903225808</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f ca="1">ROUND(IF(C97&lt;=0,0,IF(C98&gt;=200%,C97*60%-C91*35%,IF(C98&gt;=100%,C97*50%-C91*15%,IF(C98&gt;=50%,C97*40%-C91*5%,IF(C98&lt;50%,C97*30%,0))))),0)</f>
        <v>7326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3963" t="s">
        <v>448</v>
      </c>
      <c r="B101" s="3964"/>
      <c r="C101" s="3964"/>
      <c r="D101" s="3964"/>
      <c r="E101" s="3964"/>
      <c r="F101" s="3964"/>
      <c r="G101" s="3964"/>
      <c r="H101" s="3964"/>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3938" t="s">
        <v>423</v>
      </c>
      <c r="B102" s="3939"/>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f ca="1">ROUND(D63/(1+'数据-取费表'!C42),0)</f>
        <v>12308</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f ca="1">IF(H106="仅含出让金",C105+C108+C109+C110+C111+C112,C105+C109+C110+C111+C112)</f>
        <v>62</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2" t="s">
        <v>2766</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3914" t="s">
        <v>2738</v>
      </c>
      <c r="H108" s="3915"/>
      <c r="I108" s="2786"/>
      <c r="J108" s="1854"/>
      <c r="K108" s="3152" t="s">
        <v>2767</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3957" t="s">
        <v>456</v>
      </c>
      <c r="F109" s="3955"/>
      <c r="G109" s="3955"/>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3">
        <v>0</v>
      </c>
      <c r="E110" s="3957" t="s">
        <v>458</v>
      </c>
      <c r="F110" s="3955"/>
      <c r="G110" s="3955"/>
      <c r="H110" s="3956"/>
      <c r="I110" s="11"/>
      <c r="J110" s="1854"/>
      <c r="K110" s="3153" t="s">
        <v>2768</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f ca="1">ROUND(D63*D111/(1+'数据-取费表'!C42),0)</f>
        <v>62</v>
      </c>
      <c r="D111" s="399">
        <f>'数据-取费表'!B43</f>
        <v>5.000000000000001E-3</v>
      </c>
      <c r="E111" s="3954" t="s">
        <v>2204</v>
      </c>
      <c r="F111" s="3955"/>
      <c r="G111" s="3955"/>
      <c r="H111" s="3956"/>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3957" t="s">
        <v>2222</v>
      </c>
      <c r="F112" s="3955"/>
      <c r="G112" s="3955"/>
      <c r="H112" s="3956"/>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f ca="1">ROUND(C103-C104,0)</f>
        <v>12246</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f ca="1">IF(C113&lt;=0,0,C113/C104)</f>
        <v>197.51612903225808</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f ca="1">ROUND(IF(C113&lt;=0,0,IF(C114&gt;=200%,C113*60%-C104*35%,IF(C114&gt;=100%,C113*50%-C104*15%,IF(C114&gt;=50%,C113*40%-C104*5%,IF(C114&lt;50%,C113*30%,0))))),0)</f>
        <v>7326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7"/>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31" s="1862" customFormat="1" ht="18" customHeight="1">
      <c r="A2" s="1921" t="s">
        <v>461</v>
      </c>
      <c r="B2" s="1925">
        <f ca="1">C36</f>
        <v>496</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794</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180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12</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SUM(C10:K10)</f>
        <v>0</v>
      </c>
      <c r="D6" s="2475"/>
      <c r="E6" s="2475"/>
      <c r="F6" s="2475"/>
      <c r="G6" s="2475"/>
      <c r="H6" s="2475"/>
      <c r="I6" s="2475"/>
      <c r="J6" s="2475"/>
      <c r="K6" s="2477"/>
      <c r="L6" s="3112"/>
      <c r="M6" s="3112"/>
      <c r="N6" s="3112"/>
      <c r="O6" s="3112"/>
      <c r="P6" s="3112"/>
      <c r="Q6" s="3112"/>
      <c r="R6" s="3112"/>
      <c r="S6" s="3112"/>
      <c r="T6" s="3112"/>
      <c r="U6" s="3112"/>
      <c r="V6" s="3112"/>
      <c r="W6" s="3112"/>
      <c r="X6" s="3112"/>
      <c r="Y6" s="3112"/>
      <c r="Z6" s="3112"/>
    </row>
    <row r="7" spans="1:31" s="1933" customFormat="1" ht="15">
      <c r="A7" s="2478" t="s">
        <v>464</v>
      </c>
      <c r="B7" s="2479" t="s">
        <v>465</v>
      </c>
      <c r="C7" s="429"/>
      <c r="D7" s="429"/>
      <c r="E7" s="429"/>
      <c r="F7" s="429"/>
      <c r="G7" s="429"/>
      <c r="H7" s="429"/>
      <c r="I7" s="429"/>
      <c r="J7" s="429"/>
      <c r="K7" s="430"/>
      <c r="AA7" s="1932"/>
      <c r="AB7" s="1932"/>
      <c r="AC7" s="1932"/>
      <c r="AD7" s="1932"/>
      <c r="AE7" s="1932"/>
    </row>
    <row r="8" spans="1:31" s="1935" customFormat="1" ht="13.5" customHeight="1">
      <c r="A8" s="772" t="s">
        <v>1636</v>
      </c>
      <c r="B8" s="258" t="s">
        <v>466</v>
      </c>
      <c r="C8" s="2480"/>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2"/>
      <c r="M11" s="3112"/>
      <c r="N11" s="3112"/>
      <c r="O11" s="3112"/>
      <c r="P11" s="3112"/>
      <c r="Q11" s="3112"/>
      <c r="R11" s="3112"/>
      <c r="S11" s="3112"/>
      <c r="T11" s="3112"/>
      <c r="U11" s="3112"/>
      <c r="V11" s="3112"/>
      <c r="W11" s="3112"/>
      <c r="X11" s="3112"/>
      <c r="Y11" s="3112"/>
      <c r="Z11" s="3112"/>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3"/>
      <c r="M12" s="3113"/>
      <c r="N12" s="3113"/>
      <c r="O12" s="3113"/>
      <c r="P12" s="3113"/>
      <c r="Q12" s="3113"/>
      <c r="R12" s="3113"/>
      <c r="S12" s="3113"/>
      <c r="T12" s="3113"/>
      <c r="U12" s="3113"/>
      <c r="V12" s="3113"/>
      <c r="W12" s="3113"/>
      <c r="X12" s="3113"/>
      <c r="Y12" s="3113"/>
      <c r="Z12" s="3113"/>
    </row>
    <row r="13" spans="1:31" s="1936" customFormat="1" ht="13.5" customHeight="1">
      <c r="A13" s="2488" t="s">
        <v>1639</v>
      </c>
      <c r="B13" s="2489" t="s">
        <v>473</v>
      </c>
      <c r="C13" s="442">
        <f ca="1">IF(B1="",'数据-取费表'!P16,INDIRECT("'数据-取费表'!p"&amp;$K$1)+INDIRECT("'数据-取费表'!t"&amp;$K$1))</f>
        <v>0</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0</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113</v>
      </c>
      <c r="D16" s="2490">
        <f ca="1">IF(B1="",'数据-汇总表'!E3,INDIRECT("'数据-取费表'!K"&amp;$K$1)+INDIRECT("'数据-取费表'!S"&amp;$K$1))</f>
        <v>6250.48</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0</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113</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156</v>
      </c>
      <c r="D19" s="2500">
        <f ca="1">D16</f>
        <v>6250.48</v>
      </c>
      <c r="E19" s="2454">
        <f>'数据-取费表'!B32</f>
        <v>250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-770</v>
      </c>
      <c r="D20" s="2500"/>
      <c r="E20" s="2454"/>
      <c r="F20" s="2501"/>
      <c r="G20" s="2703"/>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97</v>
      </c>
      <c r="D22" s="2490">
        <f ca="1">IF(B1="",'数据-汇总表'!E6,IF(INDIRECT("'数据-取费表'!c"&amp;$K$1)="住宅",INDIRECT("'数据-取费表'!s"&amp;$K$1),INDIRECT("'数据-取费表'!k"&amp;$K$1)+INDIRECT("'数据-取费表'!s"&amp;$K$1)))</f>
        <v>6250.48</v>
      </c>
      <c r="E22" s="53">
        <f>'数据-取费表'!B28</f>
        <v>155</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-10</v>
      </c>
      <c r="D23" s="460"/>
      <c r="E23" s="460"/>
      <c r="F23" s="2502">
        <f>'数据-取费表'!B37</f>
        <v>0.02</v>
      </c>
      <c r="G23" s="2458" t="s">
        <v>2206</v>
      </c>
      <c r="H23" s="2459"/>
      <c r="I23" s="2459"/>
      <c r="J23" s="2459"/>
      <c r="K23" s="2460"/>
      <c r="L23" s="3114"/>
      <c r="M23" s="3114"/>
      <c r="N23" s="3114"/>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ROUND(C6*F24,0)</f>
        <v>0</v>
      </c>
      <c r="D24" s="467"/>
      <c r="E24" s="465"/>
      <c r="F24" s="2502">
        <f>'数据-取费表'!B38</f>
        <v>0.02</v>
      </c>
      <c r="G24" s="2467" t="s">
        <v>491</v>
      </c>
      <c r="H24" s="2461"/>
      <c r="I24" s="2461"/>
      <c r="J24" s="2461"/>
      <c r="K24" s="276"/>
      <c r="L24" s="3114"/>
      <c r="M24" s="3114"/>
      <c r="N24" s="3114"/>
      <c r="O24" s="1937"/>
      <c r="P24" s="1937"/>
      <c r="Q24" s="1937"/>
      <c r="R24" s="1937"/>
      <c r="S24" s="1937"/>
      <c r="T24" s="1937"/>
      <c r="U24" s="1937"/>
      <c r="V24" s="1937"/>
      <c r="W24" s="1937"/>
      <c r="X24" s="1937"/>
      <c r="Y24" s="1937"/>
      <c r="Z24" s="1937"/>
    </row>
    <row r="25" spans="1:26" s="1939" customFormat="1" ht="13.5" customHeight="1">
      <c r="A25" s="2496" t="s">
        <v>1651</v>
      </c>
      <c r="B25" s="2675" t="s">
        <v>2597</v>
      </c>
      <c r="C25" s="3184">
        <f>F25</f>
        <v>3.0499999999999999E-2</v>
      </c>
      <c r="D25" s="454" t="s">
        <v>2593</v>
      </c>
      <c r="E25" s="461"/>
      <c r="F25" s="2502">
        <f>'数据-取费表'!B48+'数据-取费表'!B49</f>
        <v>3.0499999999999999E-2</v>
      </c>
      <c r="G25" s="2466" t="s">
        <v>2069</v>
      </c>
      <c r="H25" s="2459"/>
      <c r="I25" s="2459"/>
      <c r="J25" s="2459"/>
      <c r="K25" s="2460"/>
      <c r="L25" s="3115"/>
      <c r="M25" s="3115"/>
      <c r="N25" s="3115"/>
      <c r="O25" s="3115"/>
      <c r="P25" s="3115"/>
      <c r="Q25" s="3115"/>
      <c r="R25" s="3115"/>
      <c r="S25" s="3115"/>
      <c r="T25" s="3115"/>
      <c r="U25" s="3115"/>
      <c r="V25" s="3115"/>
      <c r="W25" s="3115"/>
      <c r="X25" s="3115"/>
      <c r="Y25" s="3115"/>
      <c r="Z25" s="3115"/>
    </row>
    <row r="26" spans="1:26" s="1938" customFormat="1" ht="13.5" customHeight="1">
      <c r="A26" s="2496" t="s">
        <v>1652</v>
      </c>
      <c r="B26" s="2676" t="s">
        <v>2598</v>
      </c>
      <c r="C26" s="2503">
        <f ca="1">C28</f>
        <v>0</v>
      </c>
      <c r="D26" s="459">
        <f ca="1">C27</f>
        <v>0</v>
      </c>
      <c r="E26" s="461" t="s">
        <v>487</v>
      </c>
      <c r="F26" s="463">
        <f ca="1">'数据-取费表'!B40</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4"/>
      <c r="M26" s="3114"/>
      <c r="N26" s="3114"/>
      <c r="O26" s="3114"/>
      <c r="P26" s="3114"/>
      <c r="Q26" s="3114"/>
      <c r="R26" s="3114"/>
      <c r="S26" s="3114"/>
      <c r="T26" s="3114"/>
      <c r="U26" s="3114"/>
      <c r="V26" s="3114"/>
      <c r="W26" s="3114"/>
      <c r="X26" s="3114"/>
      <c r="Y26" s="3114"/>
      <c r="Z26" s="3114"/>
    </row>
    <row r="27" spans="1:26" s="1940" customFormat="1" ht="13.5" customHeight="1">
      <c r="A27" s="772" t="s">
        <v>1647</v>
      </c>
      <c r="B27" s="2504" t="s">
        <v>488</v>
      </c>
      <c r="C27" s="2505">
        <f ca="1">ROUND(IF('数据-取费表'!B22&lt;=1,(1+C25)*F26*'数据-取费表'!B24,(1+C25)*(POWER((1+F26),'数据-取费表'!B24)-1)),4)</f>
        <v>0</v>
      </c>
      <c r="D27" s="464"/>
      <c r="E27" s="465"/>
      <c r="F27" s="466"/>
      <c r="G27" s="2358" t="str">
        <f>IF('数据-取费表'!B22&lt;=1,"（1+取得税费率/(1+5%)）×年利率×建设期","（1+取得税费率）/(1+5%)×((1+年利率)^建设期-1)")</f>
        <v>（1+取得税费率）/(1+5%)×((1+年利率)^建设期-1)</v>
      </c>
      <c r="H27" s="2461"/>
      <c r="I27" s="2461"/>
      <c r="J27" s="2461"/>
      <c r="K27" s="276"/>
      <c r="L27" s="3116"/>
      <c r="M27" s="3116"/>
      <c r="N27" s="3116"/>
      <c r="O27" s="3116"/>
      <c r="P27" s="3116"/>
      <c r="Q27" s="3116"/>
      <c r="R27" s="3116"/>
      <c r="S27" s="3116"/>
      <c r="T27" s="3116"/>
      <c r="U27" s="3116"/>
      <c r="V27" s="3116"/>
      <c r="W27" s="3116"/>
      <c r="X27" s="3116"/>
      <c r="Y27" s="3116"/>
      <c r="Z27" s="3116"/>
    </row>
    <row r="28" spans="1:26" s="1940" customFormat="1" ht="13.5" customHeight="1">
      <c r="A28" s="772" t="s">
        <v>1648</v>
      </c>
      <c r="B28" s="2504" t="s">
        <v>2600</v>
      </c>
      <c r="C28" s="2506">
        <f ca="1">ROUND(IF('数据-取费表'!B22&lt;=1,(C18+C19+C20+C23+C24)*F26*'数据-取费表'!B24/2,(C18+C19+C20+C23+C24)*(POWER((1+F26),'数据-取费表'!B24/2)-1)),0)</f>
        <v>0</v>
      </c>
      <c r="D28" s="464"/>
      <c r="E28" s="465"/>
      <c r="F28" s="466"/>
      <c r="G28" s="2358" t="str">
        <f>IF('数据-取费表'!B22&lt;=1,"（1）-（4）项×年利率×建设期÷2","（1）-（4）项×((1+年利率)^(建设期÷2)-1)")</f>
        <v>（1）-（4）项×((1+年利率)^(建设期÷2)-1)</v>
      </c>
      <c r="H28" s="2461"/>
      <c r="I28" s="2461"/>
      <c r="J28" s="2461"/>
      <c r="K28" s="276"/>
      <c r="L28" s="3116"/>
      <c r="M28" s="3116"/>
      <c r="N28" s="3116"/>
      <c r="O28" s="3116"/>
      <c r="P28" s="3116"/>
      <c r="Q28" s="3116"/>
      <c r="R28" s="3116"/>
      <c r="S28" s="3116"/>
      <c r="T28" s="3116"/>
      <c r="U28" s="3116"/>
      <c r="V28" s="3116"/>
      <c r="W28" s="3116"/>
      <c r="X28" s="3116"/>
      <c r="Y28" s="3116"/>
      <c r="Z28" s="3116"/>
    </row>
    <row r="29" spans="1:26" s="1940" customFormat="1" ht="13.5" customHeight="1">
      <c r="A29" s="2507" t="s">
        <v>1653</v>
      </c>
      <c r="B29" s="2497" t="s">
        <v>489</v>
      </c>
      <c r="C29" s="2498">
        <f>ROUND(C6*F29/(1+'数据-取费表'!C42),0)</f>
        <v>0</v>
      </c>
      <c r="D29" s="460"/>
      <c r="E29" s="460"/>
      <c r="F29" s="2677">
        <f>'数据-取费表'!B41</f>
        <v>5.5000000000000007E-2</v>
      </c>
      <c r="G29" s="2467" t="s">
        <v>490</v>
      </c>
      <c r="H29" s="2459"/>
      <c r="I29" s="2459"/>
      <c r="J29" s="2459"/>
      <c r="K29" s="2460"/>
      <c r="L29" s="3116"/>
      <c r="M29" s="3116"/>
      <c r="N29" s="3116"/>
      <c r="O29" s="3116"/>
      <c r="P29" s="3116"/>
      <c r="Q29" s="3116"/>
      <c r="R29" s="3116"/>
      <c r="S29" s="3116"/>
      <c r="T29" s="3116"/>
      <c r="U29" s="3116"/>
      <c r="V29" s="3116"/>
      <c r="W29" s="3116"/>
      <c r="X29" s="3116"/>
      <c r="Y29" s="3116"/>
      <c r="Z29" s="3116"/>
    </row>
    <row r="30" spans="1:26" s="1941" customFormat="1" ht="13.5" customHeight="1">
      <c r="A30" s="1513" t="s">
        <v>1654</v>
      </c>
      <c r="B30" s="2508" t="s">
        <v>492</v>
      </c>
      <c r="C30" s="2503">
        <f ca="1">C31</f>
        <v>-511</v>
      </c>
      <c r="D30" s="469">
        <f ca="1">C32</f>
        <v>3.0499999999999999E-2</v>
      </c>
      <c r="E30" s="461" t="s">
        <v>487</v>
      </c>
      <c r="F30" s="463"/>
      <c r="G30" s="2466" t="s">
        <v>2716</v>
      </c>
      <c r="H30" s="2459"/>
      <c r="I30" s="2459"/>
      <c r="J30" s="2459"/>
      <c r="K30" s="2460"/>
      <c r="L30" s="3117"/>
      <c r="M30" s="3117"/>
      <c r="N30" s="3117"/>
      <c r="O30" s="3117"/>
      <c r="P30" s="3117"/>
      <c r="Q30" s="3117"/>
      <c r="R30" s="3117"/>
      <c r="S30" s="3117"/>
      <c r="T30" s="3117"/>
      <c r="U30" s="3117"/>
      <c r="V30" s="3117"/>
      <c r="W30" s="3117"/>
      <c r="X30" s="3117"/>
      <c r="Y30" s="3117"/>
      <c r="Z30" s="3117"/>
    </row>
    <row r="31" spans="1:26" s="1940" customFormat="1" ht="13.5" customHeight="1">
      <c r="A31" s="772" t="s">
        <v>1647</v>
      </c>
      <c r="B31" s="2504"/>
      <c r="C31" s="442">
        <f ca="1">C18+C19+C20+C23+C24+C26+C29</f>
        <v>-511</v>
      </c>
      <c r="D31" s="464"/>
      <c r="E31" s="465"/>
      <c r="F31" s="466"/>
      <c r="G31" s="258"/>
      <c r="H31" s="2461"/>
      <c r="I31" s="2461"/>
      <c r="J31" s="2461"/>
      <c r="K31" s="276"/>
      <c r="L31" s="3116"/>
      <c r="M31" s="3116"/>
      <c r="N31" s="3116"/>
      <c r="O31" s="3116"/>
      <c r="P31" s="3116"/>
      <c r="Q31" s="3116"/>
      <c r="R31" s="3116"/>
      <c r="S31" s="3116"/>
      <c r="T31" s="3116"/>
      <c r="U31" s="3116"/>
      <c r="V31" s="3116"/>
      <c r="W31" s="3116"/>
      <c r="X31" s="3116"/>
      <c r="Y31" s="3116"/>
      <c r="Z31" s="3116"/>
    </row>
    <row r="32" spans="1:26" s="1940" customFormat="1" ht="13.5" customHeight="1">
      <c r="A32" s="772" t="s">
        <v>1648</v>
      </c>
      <c r="B32" s="2504"/>
      <c r="C32" s="53">
        <f ca="1">ROUND(C25+D26,4)</f>
        <v>3.0499999999999999E-2</v>
      </c>
      <c r="D32" s="464"/>
      <c r="E32" s="465"/>
      <c r="F32" s="466"/>
      <c r="G32" s="258"/>
      <c r="H32" s="2461"/>
      <c r="I32" s="2461"/>
      <c r="J32" s="2461"/>
      <c r="K32" s="276"/>
      <c r="L32" s="3116"/>
      <c r="M32" s="3116"/>
      <c r="N32" s="3116"/>
      <c r="O32" s="3116"/>
      <c r="P32" s="3116"/>
      <c r="Q32" s="3116"/>
      <c r="R32" s="3116"/>
      <c r="S32" s="3116"/>
      <c r="T32" s="3116"/>
      <c r="U32" s="3116"/>
      <c r="V32" s="3116"/>
      <c r="W32" s="3116"/>
      <c r="X32" s="3116"/>
      <c r="Y32" s="3116"/>
      <c r="Z32" s="3116"/>
    </row>
    <row r="33" spans="1:26" s="1942" customFormat="1" ht="13.5" customHeight="1">
      <c r="A33" s="2674" t="s">
        <v>2595</v>
      </c>
      <c r="B33" s="2672" t="s">
        <v>2594</v>
      </c>
      <c r="C33" s="470">
        <f ca="1">C35</f>
        <v>-61</v>
      </c>
      <c r="D33" s="459">
        <f ca="1">C34</f>
        <v>0.1237</v>
      </c>
      <c r="E33" s="461" t="s">
        <v>487</v>
      </c>
      <c r="F33" s="471">
        <f ca="1">IF(B1="",'数据-取费表'!Q16,INDIRECT("'数据-取费表'!q"&amp;$K$1))</f>
        <v>0.12</v>
      </c>
      <c r="G33" s="2462"/>
      <c r="H33" s="2463"/>
      <c r="I33" s="2463"/>
      <c r="J33" s="2463"/>
      <c r="K33" s="2464"/>
      <c r="L33" s="3118"/>
      <c r="M33" s="3118"/>
      <c r="N33" s="3118"/>
      <c r="O33" s="3118"/>
      <c r="P33" s="3118"/>
      <c r="Q33" s="3118"/>
      <c r="R33" s="3118"/>
      <c r="S33" s="3118"/>
      <c r="T33" s="3118"/>
      <c r="U33" s="3118"/>
      <c r="V33" s="3118"/>
      <c r="W33" s="3118"/>
      <c r="X33" s="3118"/>
      <c r="Y33" s="3118"/>
      <c r="Z33" s="3118"/>
    </row>
    <row r="34" spans="1:26" s="1943" customFormat="1" ht="13.5" customHeight="1">
      <c r="A34" s="368" t="s">
        <v>1647</v>
      </c>
      <c r="B34" s="2509" t="s">
        <v>493</v>
      </c>
      <c r="C34" s="464">
        <f ca="1">ROUND((1+C25)*F33,4)</f>
        <v>0.1237</v>
      </c>
      <c r="D34" s="464"/>
      <c r="E34" s="465"/>
      <c r="F34" s="472"/>
      <c r="G34" s="258" t="s">
        <v>2070</v>
      </c>
      <c r="H34" s="2461"/>
      <c r="I34" s="2461"/>
      <c r="J34" s="2461"/>
      <c r="K34" s="276"/>
      <c r="L34" s="3119"/>
      <c r="M34" s="3119"/>
      <c r="N34" s="3119"/>
      <c r="O34" s="3119"/>
      <c r="P34" s="3119"/>
      <c r="Q34" s="3119"/>
      <c r="R34" s="3119"/>
      <c r="S34" s="3119"/>
      <c r="T34" s="3119"/>
      <c r="U34" s="3119"/>
      <c r="V34" s="3119"/>
      <c r="W34" s="3119"/>
      <c r="X34" s="3119"/>
      <c r="Y34" s="3119"/>
      <c r="Z34" s="3119"/>
    </row>
    <row r="35" spans="1:26" s="1943" customFormat="1" ht="13.5" customHeight="1" thickBot="1">
      <c r="A35" s="1514" t="s">
        <v>1648</v>
      </c>
      <c r="B35" s="2673" t="s">
        <v>2601</v>
      </c>
      <c r="C35" s="1506">
        <f ca="1">ROUND((C18+C19+C20+C23+C24)*F33,0)</f>
        <v>-61</v>
      </c>
      <c r="D35" s="1507"/>
      <c r="E35" s="2510"/>
      <c r="F35" s="1508"/>
      <c r="G35" s="2468"/>
      <c r="H35" s="2469"/>
      <c r="I35" s="2469"/>
      <c r="J35" s="2469"/>
      <c r="K35" s="2470"/>
      <c r="L35" s="3119"/>
      <c r="M35" s="3119"/>
      <c r="N35" s="3119"/>
      <c r="O35" s="3119"/>
      <c r="P35" s="3119"/>
      <c r="Q35" s="3119"/>
      <c r="R35" s="3119"/>
      <c r="S35" s="3119"/>
      <c r="T35" s="3119"/>
      <c r="U35" s="3119"/>
      <c r="V35" s="3119"/>
      <c r="W35" s="3119"/>
      <c r="X35" s="3119"/>
      <c r="Y35" s="3119"/>
      <c r="Z35" s="3119"/>
    </row>
    <row r="36" spans="1:26" s="1905" customFormat="1" ht="13.5" customHeight="1" thickBot="1">
      <c r="A36" s="281" t="s">
        <v>1635</v>
      </c>
      <c r="B36" s="2472"/>
      <c r="C36" s="2511">
        <f ca="1">ROUND((C6-C30-C33)/(1+D30+D33),0)</f>
        <v>496</v>
      </c>
      <c r="D36" s="2472"/>
      <c r="E36" s="2472"/>
      <c r="F36" s="2472"/>
      <c r="G36" s="2471" t="s">
        <v>2602</v>
      </c>
      <c r="H36" s="2472"/>
      <c r="I36" s="2472"/>
      <c r="J36" s="2472"/>
      <c r="K36" s="2473"/>
      <c r="L36" s="3113"/>
      <c r="M36" s="3113"/>
      <c r="N36" s="3113"/>
      <c r="O36" s="3113"/>
      <c r="P36" s="3113"/>
      <c r="Q36" s="3113"/>
      <c r="R36" s="3113"/>
      <c r="S36" s="3113"/>
      <c r="T36" s="3113"/>
      <c r="U36" s="3113"/>
      <c r="V36" s="3113"/>
      <c r="W36" s="3113"/>
      <c r="X36" s="3113"/>
      <c r="Y36" s="3113"/>
      <c r="Z36" s="3113"/>
    </row>
    <row r="37" spans="1:26" s="1935" customFormat="1">
      <c r="A37" s="3120"/>
      <c r="C37" s="3121"/>
      <c r="E37" s="3120"/>
    </row>
    <row r="38" spans="1:26" s="1935" customFormat="1" ht="12.75" customHeight="1">
      <c r="A38" s="3120"/>
      <c r="C38" s="3121"/>
      <c r="E38" s="3120"/>
    </row>
    <row r="39" spans="1:26" s="1935" customFormat="1">
      <c r="A39" s="3120"/>
      <c r="C39" s="3121"/>
      <c r="E39" s="3120"/>
    </row>
    <row r="40" spans="1:26" s="1935" customFormat="1">
      <c r="A40" s="3120"/>
      <c r="C40" s="3121"/>
      <c r="E40" s="3120"/>
    </row>
    <row r="41" spans="1:26" s="1935" customFormat="1">
      <c r="A41" s="3120"/>
      <c r="C41" s="3121"/>
      <c r="E41" s="3120"/>
    </row>
    <row r="42" spans="1:26" s="1935" customFormat="1">
      <c r="A42" s="3120"/>
      <c r="C42" s="3121"/>
      <c r="E42" s="3120"/>
    </row>
    <row r="43" spans="1:26" s="1935" customFormat="1">
      <c r="A43" s="3120"/>
      <c r="C43" s="3121"/>
      <c r="E43" s="3120"/>
    </row>
    <row r="44" spans="1:26" s="1935" customFormat="1">
      <c r="A44" s="3120"/>
      <c r="C44" s="3121"/>
      <c r="E44" s="3120"/>
    </row>
    <row r="45" spans="1:26" s="1935" customFormat="1">
      <c r="A45" s="3120"/>
      <c r="C45" s="3121"/>
      <c r="E45" s="3120"/>
    </row>
    <row r="46" spans="1:26" s="1935" customFormat="1">
      <c r="A46" s="3120"/>
      <c r="C46" s="3121"/>
      <c r="E46" s="3120"/>
    </row>
    <row r="47" spans="1:26" s="1935" customFormat="1">
      <c r="A47" s="3120"/>
      <c r="C47" s="3121"/>
      <c r="E47" s="3120"/>
    </row>
    <row r="48" spans="1:26"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row r="213" spans="1:5" s="1935" customFormat="1">
      <c r="A213" s="3120"/>
      <c r="C213" s="3121"/>
      <c r="E213" s="3120"/>
    </row>
    <row r="214" spans="1:5" s="1935" customFormat="1">
      <c r="A214" s="3120"/>
      <c r="C214" s="3121"/>
      <c r="E214" s="3120"/>
    </row>
    <row r="215" spans="1:5" s="1935" customFormat="1">
      <c r="A215" s="3120"/>
      <c r="C215" s="3121"/>
      <c r="E215" s="3120"/>
    </row>
    <row r="216" spans="1:5" s="1935" customFormat="1">
      <c r="A216" s="3120"/>
      <c r="C216" s="3121"/>
      <c r="E216" s="3120"/>
    </row>
    <row r="217" spans="1:5" s="1935" customFormat="1">
      <c r="A217" s="3120"/>
      <c r="C217" s="3121"/>
      <c r="E217" s="3120"/>
    </row>
    <row r="218" spans="1:5" s="1935" customFormat="1">
      <c r="A218" s="3120"/>
      <c r="C218" s="3121"/>
      <c r="E218" s="3120"/>
    </row>
    <row r="219" spans="1:5" s="1935" customFormat="1">
      <c r="A219" s="3120"/>
      <c r="C219" s="3121"/>
      <c r="E219" s="3120"/>
    </row>
    <row r="220" spans="1:5" s="1935" customFormat="1">
      <c r="A220" s="3120"/>
      <c r="C220" s="3121"/>
      <c r="E220" s="3120"/>
    </row>
    <row r="221" spans="1:5" s="1935" customFormat="1">
      <c r="A221" s="3120"/>
      <c r="C221" s="3121"/>
      <c r="E221" s="3120"/>
    </row>
    <row r="222" spans="1:5" s="1935" customFormat="1">
      <c r="A222" s="3120"/>
      <c r="C222" s="3121"/>
      <c r="E222" s="3120"/>
    </row>
    <row r="223" spans="1:5" s="1935" customFormat="1">
      <c r="A223" s="3120"/>
      <c r="C223" s="3121"/>
      <c r="E223" s="3120"/>
    </row>
    <row r="224" spans="1:5" s="1935" customFormat="1">
      <c r="A224" s="3120"/>
      <c r="C224" s="3121"/>
      <c r="E224" s="3120"/>
    </row>
    <row r="225" spans="1:5" s="1935" customFormat="1">
      <c r="A225" s="3120"/>
      <c r="C225" s="3121"/>
      <c r="E225" s="3120"/>
    </row>
    <row r="226" spans="1:5" s="1935" customFormat="1">
      <c r="A226" s="3120"/>
      <c r="C226" s="3121"/>
      <c r="E226" s="3120"/>
    </row>
    <row r="227" spans="1:5" s="1935" customFormat="1">
      <c r="A227" s="3120"/>
      <c r="C227" s="3121"/>
      <c r="E227" s="3120"/>
    </row>
    <row r="228" spans="1:5" s="1935" customFormat="1">
      <c r="A228" s="3120"/>
      <c r="C228" s="3121"/>
      <c r="E228" s="3120"/>
    </row>
    <row r="229" spans="1:5" s="1935" customFormat="1">
      <c r="A229" s="3120"/>
      <c r="C229" s="3121"/>
      <c r="E229" s="3120"/>
    </row>
    <row r="230" spans="1:5" s="1935" customFormat="1">
      <c r="A230" s="3120"/>
      <c r="C230" s="3121"/>
      <c r="E230" s="3120"/>
    </row>
    <row r="231" spans="1:5" s="1935" customFormat="1">
      <c r="A231" s="3120"/>
      <c r="C231" s="3121"/>
      <c r="E231" s="3120"/>
    </row>
    <row r="232" spans="1:5" s="1935" customFormat="1">
      <c r="A232" s="3120"/>
      <c r="C232" s="3121"/>
      <c r="E232" s="3120"/>
    </row>
    <row r="233" spans="1:5" s="1935" customFormat="1">
      <c r="A233" s="3120"/>
      <c r="C233" s="3121"/>
      <c r="E233" s="3120"/>
    </row>
    <row r="234" spans="1:5" s="1935" customFormat="1">
      <c r="A234" s="3120"/>
      <c r="C234" s="3121"/>
      <c r="E234" s="3120"/>
    </row>
    <row r="235" spans="1:5" s="1935" customFormat="1">
      <c r="A235" s="3120"/>
      <c r="C235" s="3121"/>
      <c r="E235" s="3120"/>
    </row>
    <row r="236" spans="1:5" s="1935" customFormat="1">
      <c r="A236" s="3120"/>
      <c r="C236" s="3121"/>
      <c r="E236" s="3120"/>
    </row>
    <row r="237" spans="1:5" s="1935" customFormat="1">
      <c r="A237" s="3120"/>
      <c r="C237" s="3121"/>
      <c r="E237" s="3120"/>
    </row>
    <row r="238" spans="1:5" s="1935" customFormat="1">
      <c r="A238" s="3120"/>
      <c r="C238" s="3121"/>
      <c r="E238" s="3120"/>
    </row>
    <row r="239" spans="1:5" s="1935" customFormat="1">
      <c r="A239" s="3120"/>
      <c r="C239" s="3121"/>
      <c r="E239" s="3120"/>
    </row>
    <row r="240" spans="1:5" s="1935" customFormat="1">
      <c r="A240" s="3120"/>
      <c r="C240" s="3121"/>
      <c r="E240" s="3120"/>
    </row>
    <row r="241" spans="1:5" s="1935" customFormat="1">
      <c r="A241" s="3120"/>
      <c r="C241" s="3121"/>
      <c r="E241" s="3120"/>
    </row>
    <row r="242" spans="1:5" s="1935" customFormat="1">
      <c r="A242" s="3120"/>
      <c r="C242" s="3121"/>
      <c r="E242" s="3120"/>
    </row>
    <row r="243" spans="1:5" s="1935" customFormat="1">
      <c r="A243" s="3120"/>
      <c r="C243" s="3121"/>
      <c r="E243" s="3120"/>
    </row>
    <row r="244" spans="1:5" s="1935" customFormat="1">
      <c r="A244" s="3120"/>
      <c r="C244" s="3121"/>
      <c r="E244" s="3120"/>
    </row>
    <row r="245" spans="1:5" s="1935" customFormat="1">
      <c r="A245" s="3120"/>
      <c r="C245" s="3121"/>
      <c r="E245" s="3120"/>
    </row>
    <row r="246" spans="1:5" s="1935" customFormat="1">
      <c r="A246" s="3120"/>
      <c r="C246" s="3121"/>
      <c r="E246" s="3120"/>
    </row>
    <row r="247" spans="1:5" s="1935" customFormat="1">
      <c r="A247" s="3120"/>
      <c r="C247" s="3121"/>
      <c r="E247" s="3120"/>
    </row>
    <row r="248" spans="1:5" s="1935" customFormat="1">
      <c r="A248" s="3120"/>
      <c r="C248" s="3121"/>
      <c r="E248" s="3120"/>
    </row>
    <row r="249" spans="1:5" s="1935" customFormat="1">
      <c r="A249" s="3120"/>
      <c r="C249" s="3121"/>
      <c r="E249" s="3120"/>
    </row>
    <row r="250" spans="1:5" s="1935" customFormat="1">
      <c r="A250" s="3120"/>
      <c r="C250" s="3121"/>
      <c r="E250" s="3120"/>
    </row>
    <row r="251" spans="1:5" s="1935" customFormat="1">
      <c r="A251" s="3120"/>
      <c r="C251" s="3121"/>
      <c r="E251" s="3120"/>
    </row>
    <row r="252" spans="1:5" s="1935" customFormat="1">
      <c r="A252" s="3120"/>
      <c r="C252" s="3121"/>
      <c r="E252" s="3120"/>
    </row>
    <row r="253" spans="1:5" s="1935" customFormat="1">
      <c r="A253" s="3120"/>
      <c r="C253" s="3121"/>
      <c r="E253" s="3120"/>
    </row>
    <row r="254" spans="1:5" s="1935" customFormat="1">
      <c r="A254" s="3120"/>
      <c r="C254" s="3121"/>
      <c r="E254" s="3120"/>
    </row>
    <row r="255" spans="1:5" s="1935" customFormat="1">
      <c r="A255" s="3120"/>
      <c r="C255" s="3121"/>
      <c r="E255" s="3120"/>
    </row>
    <row r="256" spans="1:5" s="1935" customFormat="1">
      <c r="A256" s="3120"/>
      <c r="C256" s="3121"/>
      <c r="E256" s="3120"/>
    </row>
    <row r="257" spans="1:5" s="1935" customFormat="1">
      <c r="A257" s="3120"/>
      <c r="C257" s="3121"/>
      <c r="E257" s="3120"/>
    </row>
    <row r="258" spans="1:5" s="1935" customFormat="1">
      <c r="A258" s="3120"/>
      <c r="C258" s="3121"/>
      <c r="E258" s="3120"/>
    </row>
    <row r="259" spans="1:5" s="1935" customFormat="1">
      <c r="A259" s="3120"/>
      <c r="C259" s="3121"/>
      <c r="E259" s="3120"/>
    </row>
    <row r="260" spans="1:5" s="1935" customFormat="1">
      <c r="A260" s="3120"/>
      <c r="C260" s="3121"/>
      <c r="E260" s="3120"/>
    </row>
    <row r="261" spans="1:5" s="1935" customFormat="1">
      <c r="A261" s="3120"/>
      <c r="C261" s="3121"/>
      <c r="E261" s="3120"/>
    </row>
    <row r="262" spans="1:5" s="1935" customFormat="1">
      <c r="A262" s="3120"/>
      <c r="C262" s="3121"/>
      <c r="E262" s="3120"/>
    </row>
    <row r="263" spans="1:5" s="1935" customFormat="1">
      <c r="A263" s="3120"/>
      <c r="C263" s="3121"/>
      <c r="E263" s="3120"/>
    </row>
    <row r="264" spans="1:5" s="1935" customFormat="1">
      <c r="A264" s="3120"/>
      <c r="C264" s="3121"/>
      <c r="E264" s="3120"/>
    </row>
    <row r="265" spans="1:5" s="1935" customFormat="1">
      <c r="A265" s="3120"/>
      <c r="C265" s="3121"/>
      <c r="E265" s="3120"/>
    </row>
    <row r="266" spans="1:5" s="1935" customFormat="1">
      <c r="A266" s="3120"/>
      <c r="C266" s="3121"/>
      <c r="E266" s="3120"/>
    </row>
    <row r="267" spans="1:5" s="1935" customFormat="1">
      <c r="A267" s="3120"/>
      <c r="C267" s="3121"/>
      <c r="E267" s="3120"/>
    </row>
    <row r="268" spans="1:5" s="1935" customFormat="1">
      <c r="A268" s="3120"/>
      <c r="C268" s="3121"/>
      <c r="E268" s="3120"/>
    </row>
    <row r="269" spans="1:5" s="1935" customFormat="1">
      <c r="A269" s="3120"/>
      <c r="C269" s="3121"/>
      <c r="E269" s="3120"/>
    </row>
    <row r="270" spans="1:5" s="1935" customFormat="1">
      <c r="A270" s="3120"/>
      <c r="C270" s="3121"/>
      <c r="E270" s="3120"/>
    </row>
    <row r="271" spans="1:5" s="1935" customFormat="1">
      <c r="A271" s="3120"/>
      <c r="C271" s="3121"/>
      <c r="E271" s="3120"/>
    </row>
    <row r="272" spans="1:5" s="1935" customFormat="1">
      <c r="A272" s="3120"/>
      <c r="C272" s="3121"/>
      <c r="E272" s="3120"/>
    </row>
    <row r="273" spans="1:5" s="1935" customFormat="1">
      <c r="A273" s="3120"/>
      <c r="C273" s="3121"/>
      <c r="E273" s="3120"/>
    </row>
    <row r="274" spans="1:5" s="1935" customFormat="1">
      <c r="A274" s="3120"/>
      <c r="C274" s="3121"/>
      <c r="E274" s="3120"/>
    </row>
    <row r="275" spans="1:5" s="1935" customFormat="1">
      <c r="A275" s="3120"/>
      <c r="C275" s="3121"/>
      <c r="E275" s="3120"/>
    </row>
    <row r="276" spans="1:5" s="1935" customFormat="1">
      <c r="A276" s="3120"/>
      <c r="C276" s="3121"/>
      <c r="E276" s="3120"/>
    </row>
    <row r="277" spans="1:5" s="1935" customFormat="1">
      <c r="A277" s="3120"/>
      <c r="C277" s="3121"/>
      <c r="E277" s="3120"/>
    </row>
    <row r="278" spans="1:5" s="1935" customFormat="1">
      <c r="A278" s="3120"/>
      <c r="C278" s="3121"/>
      <c r="E278" s="3120"/>
    </row>
    <row r="279" spans="1:5" s="1935" customFormat="1">
      <c r="A279" s="3120"/>
      <c r="C279" s="3121"/>
      <c r="E279" s="3120"/>
    </row>
    <row r="280" spans="1:5" s="1935" customFormat="1">
      <c r="A280" s="3120"/>
      <c r="C280" s="3121"/>
      <c r="E280" s="3120"/>
    </row>
    <row r="281" spans="1:5" s="1935" customFormat="1">
      <c r="A281" s="3120"/>
      <c r="C281" s="3121"/>
      <c r="E281" s="3120"/>
    </row>
    <row r="282" spans="1:5" s="1935" customFormat="1">
      <c r="A282" s="3120"/>
      <c r="C282" s="3121"/>
      <c r="E282" s="3120"/>
    </row>
    <row r="283" spans="1:5" s="1935" customFormat="1">
      <c r="A283" s="3120"/>
      <c r="C283" s="3121"/>
      <c r="E283" s="3120"/>
    </row>
    <row r="284" spans="1:5" s="1935" customFormat="1">
      <c r="A284" s="3120"/>
      <c r="C284" s="3121"/>
      <c r="E284" s="3120"/>
    </row>
    <row r="285" spans="1:5" s="1935" customFormat="1">
      <c r="A285" s="3120"/>
      <c r="C285" s="3121"/>
      <c r="E285" s="3120"/>
    </row>
    <row r="286" spans="1:5" s="1935" customFormat="1">
      <c r="A286" s="3120"/>
      <c r="C286" s="3121"/>
      <c r="E286" s="3120"/>
    </row>
    <row r="287" spans="1:5" s="1935" customFormat="1">
      <c r="A287" s="3120"/>
      <c r="C287" s="3121"/>
      <c r="E287" s="3120"/>
    </row>
    <row r="288" spans="1:5" s="1935" customFormat="1">
      <c r="A288" s="3120"/>
      <c r="C288" s="3121"/>
      <c r="E288" s="3120"/>
    </row>
    <row r="289" spans="1:5" s="1935" customFormat="1">
      <c r="A289" s="3120"/>
      <c r="C289" s="3121"/>
      <c r="E289" s="3120"/>
    </row>
    <row r="290" spans="1:5" s="1935" customFormat="1">
      <c r="A290" s="3120"/>
      <c r="C290" s="3121"/>
      <c r="E290" s="3120"/>
    </row>
    <row r="291" spans="1:5" s="1935" customFormat="1">
      <c r="A291" s="3120"/>
      <c r="C291" s="3121"/>
      <c r="E291" s="3120"/>
    </row>
    <row r="292" spans="1:5" s="1935" customFormat="1">
      <c r="A292" s="3120"/>
      <c r="C292" s="3121"/>
      <c r="E292" s="3120"/>
    </row>
    <row r="293" spans="1:5" s="1935" customFormat="1">
      <c r="A293" s="3120"/>
      <c r="C293" s="3121"/>
      <c r="E293" s="3120"/>
    </row>
    <row r="294" spans="1:5" s="1935" customFormat="1">
      <c r="A294" s="3120"/>
      <c r="C294" s="3121"/>
      <c r="E294" s="3120"/>
    </row>
    <row r="295" spans="1:5" s="1935" customFormat="1">
      <c r="A295" s="3120"/>
      <c r="C295" s="3121"/>
      <c r="E295" s="3120"/>
    </row>
    <row r="296" spans="1:5" s="1935" customFormat="1">
      <c r="A296" s="3120"/>
      <c r="C296" s="3121"/>
      <c r="E296" s="3120"/>
    </row>
    <row r="297" spans="1:5" s="1935" customFormat="1">
      <c r="A297" s="3120"/>
      <c r="C297" s="3121"/>
      <c r="E297" s="3120"/>
    </row>
    <row r="298" spans="1:5" s="1935" customFormat="1">
      <c r="A298" s="3120"/>
      <c r="C298" s="3121"/>
      <c r="E298" s="3120"/>
    </row>
    <row r="299" spans="1:5" s="1935" customFormat="1">
      <c r="A299" s="3120"/>
      <c r="C299" s="3121"/>
      <c r="E299" s="3120"/>
    </row>
    <row r="300" spans="1:5" s="1935" customFormat="1">
      <c r="A300" s="3120"/>
      <c r="C300" s="3121"/>
      <c r="E300" s="3120"/>
    </row>
    <row r="301" spans="1:5" s="1935" customFormat="1">
      <c r="A301" s="3120"/>
      <c r="C301" s="3121"/>
      <c r="E301" s="3120"/>
    </row>
    <row r="302" spans="1:5" s="1935" customFormat="1">
      <c r="A302" s="3120"/>
      <c r="C302" s="3121"/>
      <c r="E302" s="3120"/>
    </row>
    <row r="303" spans="1:5" s="1935" customFormat="1">
      <c r="A303" s="3120"/>
      <c r="C303" s="3121"/>
      <c r="E303" s="3120"/>
    </row>
    <row r="304" spans="1:5" s="1935" customFormat="1">
      <c r="A304" s="3120"/>
      <c r="C304" s="3121"/>
      <c r="E304" s="3120"/>
    </row>
    <row r="305" spans="1:5" s="1935" customFormat="1">
      <c r="A305" s="3120"/>
      <c r="C305" s="3121"/>
      <c r="E305" s="3120"/>
    </row>
    <row r="306" spans="1:5" s="1935" customFormat="1">
      <c r="A306" s="3120"/>
      <c r="C306" s="3121"/>
      <c r="E306" s="3120"/>
    </row>
    <row r="307" spans="1:5" s="1935" customFormat="1">
      <c r="A307" s="3120"/>
      <c r="C307" s="3121"/>
      <c r="E307" s="3120"/>
    </row>
    <row r="308" spans="1:5" s="1935" customFormat="1">
      <c r="A308" s="3120"/>
      <c r="C308" s="3121"/>
      <c r="E308" s="3120"/>
    </row>
    <row r="309" spans="1:5" s="1935" customFormat="1">
      <c r="A309" s="3120"/>
      <c r="C309" s="3121"/>
      <c r="E309" s="3120"/>
    </row>
    <row r="310" spans="1:5" s="1935" customFormat="1">
      <c r="A310" s="3120"/>
      <c r="C310" s="3121"/>
      <c r="E310" s="3120"/>
    </row>
    <row r="311" spans="1:5" s="1935" customFormat="1">
      <c r="A311" s="3120"/>
      <c r="C311" s="3121"/>
      <c r="E311" s="3120"/>
    </row>
    <row r="312" spans="1:5" s="1935" customFormat="1">
      <c r="A312" s="3120"/>
      <c r="C312" s="3121"/>
      <c r="E312" s="3120"/>
    </row>
    <row r="313" spans="1:5" s="1935" customFormat="1">
      <c r="A313" s="3120"/>
      <c r="C313" s="3121"/>
      <c r="E313" s="3120"/>
    </row>
    <row r="314" spans="1:5" s="1935" customFormat="1">
      <c r="A314" s="3120"/>
      <c r="C314" s="3121"/>
      <c r="E314" s="3120"/>
    </row>
    <row r="315" spans="1:5" s="1935" customFormat="1">
      <c r="A315" s="3120"/>
      <c r="C315" s="3121"/>
      <c r="E315" s="3120"/>
    </row>
    <row r="316" spans="1:5" s="1935" customFormat="1">
      <c r="A316" s="3120"/>
      <c r="C316" s="3121"/>
      <c r="E316" s="3120"/>
    </row>
    <row r="317" spans="1:5" s="1935" customFormat="1">
      <c r="A317" s="3120"/>
      <c r="C317" s="3121"/>
      <c r="E317" s="3120"/>
    </row>
    <row r="318" spans="1:5" s="1935" customFormat="1">
      <c r="A318" s="3120"/>
      <c r="C318" s="3121"/>
      <c r="E318" s="3120"/>
    </row>
    <row r="319" spans="1:5" s="1935" customFormat="1">
      <c r="A319" s="3120"/>
      <c r="C319" s="3121"/>
      <c r="E319" s="3120"/>
    </row>
    <row r="320" spans="1:5" s="1935" customFormat="1">
      <c r="A320" s="3120"/>
      <c r="C320" s="3121"/>
      <c r="E320" s="3120"/>
    </row>
    <row r="321" spans="1:5" s="1935" customFormat="1">
      <c r="A321" s="3120"/>
      <c r="C321" s="3121"/>
      <c r="E321" s="3120"/>
    </row>
    <row r="322" spans="1:5" s="1935" customFormat="1">
      <c r="A322" s="3120"/>
      <c r="C322" s="3121"/>
      <c r="E322" s="3120"/>
    </row>
    <row r="323" spans="1:5" s="1935" customFormat="1">
      <c r="A323" s="3120"/>
      <c r="C323" s="3121"/>
      <c r="E323" s="3120"/>
    </row>
    <row r="324" spans="1:5" s="1935" customFormat="1">
      <c r="A324" s="3120"/>
      <c r="C324" s="3121"/>
      <c r="E324" s="3120"/>
    </row>
    <row r="325" spans="1:5" s="1935" customFormat="1">
      <c r="A325" s="3120"/>
      <c r="C325" s="3121"/>
      <c r="E325" s="3120"/>
    </row>
    <row r="326" spans="1:5" s="1935" customFormat="1">
      <c r="A326" s="3120"/>
      <c r="C326" s="3121"/>
      <c r="E326" s="3120"/>
    </row>
    <row r="327" spans="1:5" s="1935" customFormat="1">
      <c r="A327" s="3120"/>
      <c r="C327" s="3121"/>
      <c r="E327" s="3120"/>
    </row>
    <row r="328" spans="1:5" s="1935" customFormat="1">
      <c r="A328" s="3120"/>
      <c r="C328" s="3121"/>
      <c r="E328" s="3120"/>
    </row>
    <row r="329" spans="1:5" s="1935" customFormat="1">
      <c r="A329" s="3120"/>
      <c r="C329" s="3121"/>
      <c r="E329" s="3120"/>
    </row>
    <row r="330" spans="1:5" s="1935" customFormat="1">
      <c r="A330" s="3120"/>
      <c r="C330" s="3121"/>
      <c r="E330" s="3120"/>
    </row>
    <row r="331" spans="1:5" s="1935" customFormat="1">
      <c r="A331" s="3120"/>
      <c r="C331" s="3121"/>
      <c r="E331" s="3120"/>
    </row>
    <row r="332" spans="1:5" s="1935" customFormat="1">
      <c r="A332" s="3120"/>
      <c r="C332" s="3121"/>
      <c r="E332" s="3120"/>
    </row>
    <row r="333" spans="1:5" s="1935" customFormat="1">
      <c r="A333" s="3120"/>
      <c r="C333" s="3121"/>
      <c r="E333" s="3120"/>
    </row>
    <row r="334" spans="1:5" s="1935" customFormat="1">
      <c r="A334" s="3120"/>
      <c r="C334" s="3121"/>
      <c r="E334" s="3120"/>
    </row>
    <row r="335" spans="1:5" s="1935" customFormat="1">
      <c r="A335" s="3120"/>
      <c r="C335" s="3121"/>
      <c r="E335" s="3120"/>
    </row>
    <row r="336" spans="1:5" s="1935" customFormat="1">
      <c r="A336" s="3120"/>
      <c r="C336" s="3121"/>
      <c r="E336" s="3120"/>
    </row>
    <row r="337" spans="1:5" s="1935" customFormat="1">
      <c r="A337" s="3120"/>
      <c r="C337" s="3121"/>
      <c r="E337" s="3120"/>
    </row>
    <row r="338" spans="1:5" s="1935" customFormat="1">
      <c r="A338" s="3120"/>
      <c r="C338" s="3121"/>
      <c r="E338" s="3120"/>
    </row>
    <row r="339" spans="1:5" s="1935" customFormat="1">
      <c r="A339" s="3120"/>
      <c r="C339" s="3121"/>
      <c r="E339" s="3120"/>
    </row>
    <row r="340" spans="1:5" s="1935" customFormat="1">
      <c r="A340" s="3120"/>
      <c r="C340" s="3121"/>
      <c r="E340" s="3120"/>
    </row>
    <row r="341" spans="1:5" s="1935" customFormat="1">
      <c r="A341" s="3120"/>
      <c r="C341" s="3121"/>
      <c r="E341" s="3120"/>
    </row>
    <row r="342" spans="1:5" s="1935" customFormat="1">
      <c r="A342" s="3120"/>
      <c r="C342" s="3121"/>
      <c r="E342" s="3120"/>
    </row>
    <row r="343" spans="1:5" s="1935" customFormat="1">
      <c r="A343" s="3120"/>
      <c r="C343" s="3121"/>
      <c r="E343" s="3120"/>
    </row>
    <row r="344" spans="1:5" s="1935" customFormat="1">
      <c r="A344" s="3120"/>
      <c r="C344" s="3121"/>
      <c r="E344" s="3120"/>
    </row>
    <row r="345" spans="1:5" s="1935" customFormat="1">
      <c r="A345" s="3120"/>
      <c r="C345" s="3121"/>
      <c r="E345" s="3120"/>
    </row>
    <row r="346" spans="1:5" s="1935" customFormat="1">
      <c r="A346" s="3120"/>
      <c r="C346" s="3121"/>
      <c r="E346" s="3120"/>
    </row>
    <row r="347" spans="1:5" s="1935" customFormat="1">
      <c r="A347" s="3120"/>
      <c r="C347" s="3121"/>
      <c r="E347" s="3120"/>
    </row>
    <row r="348" spans="1:5" s="1935" customFormat="1">
      <c r="A348" s="3120"/>
      <c r="C348" s="3121"/>
      <c r="E348" s="3120"/>
    </row>
    <row r="349" spans="1:5" s="1935" customFormat="1">
      <c r="A349" s="3120"/>
      <c r="C349" s="3121"/>
      <c r="E349" s="3120"/>
    </row>
    <row r="350" spans="1:5" s="1935" customFormat="1">
      <c r="A350" s="3120"/>
      <c r="C350" s="3121"/>
      <c r="E350" s="3120"/>
    </row>
    <row r="351" spans="1:5" s="1935" customFormat="1">
      <c r="A351" s="3120"/>
      <c r="C351" s="3121"/>
      <c r="E351" s="3120"/>
    </row>
    <row r="352" spans="1:5" s="1935" customFormat="1">
      <c r="A352" s="3120"/>
      <c r="C352" s="3121"/>
      <c r="E352" s="3120"/>
    </row>
    <row r="353" spans="1:5" s="1935" customFormat="1">
      <c r="A353" s="3120"/>
      <c r="C353" s="3121"/>
      <c r="E353" s="3120"/>
    </row>
    <row r="354" spans="1:5" s="1935" customFormat="1">
      <c r="A354" s="3120"/>
      <c r="C354" s="3121"/>
      <c r="E354" s="3120"/>
    </row>
    <row r="355" spans="1:5" s="1935" customFormat="1">
      <c r="A355" s="3120"/>
      <c r="C355" s="3121"/>
      <c r="E355" s="3120"/>
    </row>
    <row r="356" spans="1:5" s="1935" customFormat="1">
      <c r="A356" s="3120"/>
      <c r="C356" s="3121"/>
      <c r="E356" s="3120"/>
    </row>
    <row r="357" spans="1:5" s="1935" customFormat="1">
      <c r="A357" s="3120"/>
      <c r="C357" s="3121"/>
      <c r="E357" s="3120"/>
    </row>
    <row r="358" spans="1:5" s="1935" customFormat="1">
      <c r="A358" s="3120"/>
      <c r="C358" s="3121"/>
      <c r="E358" s="3120"/>
    </row>
    <row r="359" spans="1:5" s="1935" customFormat="1">
      <c r="A359" s="3120"/>
      <c r="C359" s="3121"/>
      <c r="E359" s="3120"/>
    </row>
    <row r="360" spans="1:5" s="1935" customFormat="1">
      <c r="A360" s="3120"/>
      <c r="C360" s="3121"/>
      <c r="E360" s="3120"/>
    </row>
    <row r="361" spans="1:5" s="1935" customFormat="1">
      <c r="A361" s="3120"/>
      <c r="C361" s="3121"/>
      <c r="E361" s="3120"/>
    </row>
    <row r="362" spans="1:5" s="1935" customFormat="1">
      <c r="A362" s="3120"/>
      <c r="C362" s="3121"/>
      <c r="E362" s="3120"/>
    </row>
    <row r="363" spans="1:5" s="1935" customFormat="1">
      <c r="A363" s="3120"/>
      <c r="C363" s="3121"/>
      <c r="E363" s="3120"/>
    </row>
    <row r="364" spans="1:5" s="1935" customFormat="1">
      <c r="A364" s="3120"/>
      <c r="C364" s="3121"/>
      <c r="E364" s="3120"/>
    </row>
    <row r="365" spans="1:5" s="1935" customFormat="1">
      <c r="A365" s="3120"/>
      <c r="C365" s="3121"/>
      <c r="E365" s="3120"/>
    </row>
    <row r="366" spans="1:5" s="1935" customFormat="1">
      <c r="A366" s="3120"/>
      <c r="C366" s="3121"/>
      <c r="E366" s="3120"/>
    </row>
    <row r="367" spans="1:5" s="1935" customFormat="1">
      <c r="A367" s="3120"/>
      <c r="C367" s="3121"/>
      <c r="E367" s="3120"/>
    </row>
    <row r="368" spans="1:5" s="1935" customFormat="1">
      <c r="A368" s="3120"/>
      <c r="C368" s="3121"/>
      <c r="E368" s="3120"/>
    </row>
    <row r="369" spans="1:5" s="1935" customFormat="1">
      <c r="A369" s="3120"/>
      <c r="C369" s="3121"/>
      <c r="E369" s="3120"/>
    </row>
    <row r="370" spans="1:5" s="1935" customFormat="1">
      <c r="A370" s="3120"/>
      <c r="C370" s="3121"/>
      <c r="E370" s="3120"/>
    </row>
    <row r="371" spans="1:5" s="1935" customFormat="1">
      <c r="A371" s="3120"/>
      <c r="C371" s="3121"/>
      <c r="E371" s="3120"/>
    </row>
    <row r="372" spans="1:5" s="1935" customFormat="1">
      <c r="A372" s="3120"/>
      <c r="C372" s="3121"/>
      <c r="E372" s="3120"/>
    </row>
    <row r="373" spans="1:5" s="1935" customFormat="1">
      <c r="A373" s="3120"/>
      <c r="C373" s="3121"/>
      <c r="E373" s="3120"/>
    </row>
    <row r="374" spans="1:5" s="1935" customFormat="1">
      <c r="A374" s="3120"/>
      <c r="C374" s="3121"/>
      <c r="E374" s="3120"/>
    </row>
    <row r="375" spans="1:5" s="1935" customFormat="1">
      <c r="A375" s="3120"/>
      <c r="C375" s="3121"/>
      <c r="E375" s="3120"/>
    </row>
    <row r="376" spans="1:5" s="1935" customFormat="1">
      <c r="A376" s="3120"/>
      <c r="C376" s="3121"/>
      <c r="E376" s="3120"/>
    </row>
    <row r="377" spans="1:5" s="1935" customFormat="1">
      <c r="A377" s="3120"/>
      <c r="C377" s="3121"/>
      <c r="E377" s="3120"/>
    </row>
    <row r="378" spans="1:5" s="1935" customFormat="1">
      <c r="A378" s="3120"/>
      <c r="C378" s="3121"/>
      <c r="E378" s="3120"/>
    </row>
    <row r="379" spans="1:5" s="1935" customFormat="1">
      <c r="A379" s="3120"/>
      <c r="C379" s="3121"/>
      <c r="E379" s="3120"/>
    </row>
    <row r="380" spans="1:5" s="1935" customFormat="1">
      <c r="A380" s="3120"/>
      <c r="C380" s="3121"/>
      <c r="E380" s="3120"/>
    </row>
    <row r="381" spans="1:5" s="1935" customFormat="1">
      <c r="A381" s="3120"/>
      <c r="C381" s="3121"/>
      <c r="E381" s="3120"/>
    </row>
    <row r="382" spans="1:5" s="1935" customFormat="1">
      <c r="A382" s="3120"/>
      <c r="C382" s="3121"/>
      <c r="E382" s="3120"/>
    </row>
    <row r="383" spans="1:5" s="1935" customFormat="1">
      <c r="A383" s="3120"/>
      <c r="C383" s="3121"/>
      <c r="E383" s="3120"/>
    </row>
    <row r="384" spans="1:5" s="1935" customFormat="1">
      <c r="A384" s="3120"/>
      <c r="C384" s="3121"/>
      <c r="E384" s="3120"/>
    </row>
    <row r="385" spans="1:5" s="1935" customFormat="1">
      <c r="A385" s="3120"/>
      <c r="C385" s="3121"/>
      <c r="E385" s="3120"/>
    </row>
    <row r="386" spans="1:5" s="1935" customFormat="1">
      <c r="A386" s="3120"/>
      <c r="C386" s="3121"/>
      <c r="E386" s="3120"/>
    </row>
    <row r="387" spans="1:5" s="1935" customFormat="1">
      <c r="A387" s="3120"/>
      <c r="C387" s="3121"/>
      <c r="E387" s="3120"/>
    </row>
    <row r="388" spans="1:5" s="1935" customFormat="1">
      <c r="A388" s="3120"/>
      <c r="C388" s="3121"/>
      <c r="E388" s="3120"/>
    </row>
    <row r="389" spans="1:5" s="1935" customFormat="1">
      <c r="A389" s="3120"/>
      <c r="C389" s="3121"/>
      <c r="E389" s="3120"/>
    </row>
    <row r="390" spans="1:5" s="1935" customFormat="1">
      <c r="A390" s="3120"/>
      <c r="C390" s="3121"/>
      <c r="E390" s="3120"/>
    </row>
    <row r="391" spans="1:5" s="1935" customFormat="1">
      <c r="A391" s="3120"/>
      <c r="C391" s="3121"/>
      <c r="E391" s="3120"/>
    </row>
    <row r="392" spans="1:5" s="1935" customFormat="1">
      <c r="A392" s="3120"/>
      <c r="C392" s="3121"/>
      <c r="E392" s="3120"/>
    </row>
    <row r="393" spans="1:5" s="1935" customFormat="1">
      <c r="A393" s="3120"/>
      <c r="C393" s="3121"/>
      <c r="E393" s="3120"/>
    </row>
    <row r="394" spans="1:5" s="1935" customFormat="1">
      <c r="A394" s="3120"/>
      <c r="C394" s="3121"/>
      <c r="E394" s="3120"/>
    </row>
    <row r="395" spans="1:5" s="1935" customFormat="1">
      <c r="A395" s="3120"/>
      <c r="C395" s="3121"/>
      <c r="E395" s="3120"/>
    </row>
    <row r="396" spans="1:5" s="1935" customFormat="1">
      <c r="A396" s="3120"/>
      <c r="C396" s="3121"/>
      <c r="E396" s="3120"/>
    </row>
    <row r="397" spans="1:5" s="1935" customFormat="1">
      <c r="A397" s="3120"/>
      <c r="C397" s="3121"/>
      <c r="E397" s="3120"/>
    </row>
    <row r="398" spans="1:5" s="1935" customFormat="1">
      <c r="A398" s="3120"/>
      <c r="C398" s="3121"/>
      <c r="E398" s="3120"/>
    </row>
    <row r="399" spans="1:5" s="1935" customFormat="1">
      <c r="A399" s="3120"/>
      <c r="C399" s="3121"/>
      <c r="E399" s="3120"/>
    </row>
    <row r="400" spans="1:5" s="1935" customFormat="1">
      <c r="A400" s="3120"/>
      <c r="C400" s="3121"/>
      <c r="E400" s="3120"/>
    </row>
    <row r="401" spans="1:5" s="1935" customFormat="1">
      <c r="A401" s="3120"/>
      <c r="C401" s="3121"/>
      <c r="E401" s="3120"/>
    </row>
    <row r="402" spans="1:5" s="1935" customFormat="1">
      <c r="A402" s="3120"/>
      <c r="C402" s="3121"/>
      <c r="E402" s="3120"/>
    </row>
    <row r="403" spans="1:5" s="1935" customFormat="1">
      <c r="A403" s="3120"/>
      <c r="C403" s="3121"/>
      <c r="E403" s="3120"/>
    </row>
    <row r="404" spans="1:5" s="1935" customFormat="1">
      <c r="A404" s="3120"/>
      <c r="C404" s="3121"/>
      <c r="E404" s="3120"/>
    </row>
    <row r="405" spans="1:5" s="1935" customFormat="1">
      <c r="A405" s="3120"/>
      <c r="C405" s="3121"/>
      <c r="E405" s="3120"/>
    </row>
    <row r="406" spans="1:5" s="1935" customFormat="1">
      <c r="A406" s="3120"/>
      <c r="C406" s="3121"/>
      <c r="E406" s="3120"/>
    </row>
    <row r="407" spans="1:5" s="1935" customFormat="1">
      <c r="A407" s="3120"/>
      <c r="C407" s="3121"/>
      <c r="E407" s="3120"/>
    </row>
    <row r="408" spans="1:5" s="1935" customFormat="1">
      <c r="A408" s="3120"/>
      <c r="C408" s="3121"/>
      <c r="E408" s="3120"/>
    </row>
    <row r="409" spans="1:5" s="1935" customFormat="1">
      <c r="A409" s="3120"/>
      <c r="C409" s="3121"/>
      <c r="E409" s="3120"/>
    </row>
    <row r="410" spans="1:5" s="1935" customFormat="1">
      <c r="A410" s="3120"/>
      <c r="C410" s="3121"/>
      <c r="E410" s="3120"/>
    </row>
    <row r="411" spans="1:5" s="1935" customFormat="1">
      <c r="A411" s="3120"/>
      <c r="C411" s="3121"/>
      <c r="E411" s="3120"/>
    </row>
    <row r="412" spans="1:5" s="1935" customFormat="1">
      <c r="A412" s="3120"/>
      <c r="C412" s="3121"/>
      <c r="E412" s="3120"/>
    </row>
    <row r="413" spans="1:5" s="1935" customFormat="1">
      <c r="A413" s="3120"/>
      <c r="C413" s="3121"/>
      <c r="E413" s="3120"/>
    </row>
    <row r="414" spans="1:5" s="1935" customFormat="1">
      <c r="A414" s="3120"/>
      <c r="C414" s="3121"/>
      <c r="E414" s="3120"/>
    </row>
    <row r="415" spans="1:5" s="1935" customFormat="1">
      <c r="A415" s="3120"/>
      <c r="C415" s="3121"/>
      <c r="E415" s="3120"/>
    </row>
    <row r="416" spans="1:5" s="1935" customFormat="1">
      <c r="A416" s="3120"/>
      <c r="C416" s="3121"/>
      <c r="E416" s="3120"/>
    </row>
    <row r="417" spans="1:5" s="1935" customFormat="1">
      <c r="A417" s="3120"/>
      <c r="C417" s="3121"/>
      <c r="E417" s="3120"/>
    </row>
    <row r="418" spans="1:5" s="1935" customFormat="1">
      <c r="A418" s="3120"/>
      <c r="C418" s="3121"/>
      <c r="E418" s="3120"/>
    </row>
    <row r="419" spans="1:5" s="1935" customFormat="1">
      <c r="A419" s="3120"/>
      <c r="C419" s="3121"/>
      <c r="E419" s="3120"/>
    </row>
    <row r="420" spans="1:5" s="1935" customFormat="1">
      <c r="A420" s="3120"/>
      <c r="C420" s="3121"/>
      <c r="E420" s="3120"/>
    </row>
    <row r="421" spans="1:5" s="1935" customFormat="1">
      <c r="A421" s="3120"/>
      <c r="C421" s="3121"/>
      <c r="E421" s="3120"/>
    </row>
    <row r="422" spans="1:5" s="1935" customFormat="1">
      <c r="A422" s="3120"/>
      <c r="C422" s="3121"/>
      <c r="E422" s="3120"/>
    </row>
    <row r="423" spans="1:5" s="1935" customFormat="1">
      <c r="A423" s="3120"/>
      <c r="C423" s="3121"/>
      <c r="E423" s="3120"/>
    </row>
    <row r="424" spans="1:5" s="1935" customFormat="1">
      <c r="A424" s="3120"/>
      <c r="C424" s="3121"/>
      <c r="E424" s="3120"/>
    </row>
    <row r="425" spans="1:5" s="1935" customFormat="1">
      <c r="A425" s="3120"/>
      <c r="C425" s="3121"/>
      <c r="E425" s="3120"/>
    </row>
    <row r="426" spans="1:5" s="1935" customFormat="1">
      <c r="A426" s="3120"/>
      <c r="C426" s="3121"/>
      <c r="E426" s="3120"/>
    </row>
    <row r="427" spans="1:5" s="1935" customFormat="1">
      <c r="A427" s="3120"/>
      <c r="C427" s="3121"/>
      <c r="E427" s="3120"/>
    </row>
    <row r="428" spans="1:5" s="1935" customFormat="1">
      <c r="A428" s="3120"/>
      <c r="C428" s="3121"/>
      <c r="E428" s="3120"/>
    </row>
    <row r="429" spans="1:5" s="1935" customFormat="1">
      <c r="A429" s="3120"/>
      <c r="C429" s="3121"/>
      <c r="E429" s="3120"/>
    </row>
    <row r="430" spans="1:5" s="1935" customFormat="1">
      <c r="A430" s="3120"/>
      <c r="C430" s="3121"/>
      <c r="E430" s="3120"/>
    </row>
    <row r="431" spans="1:5" s="1935" customFormat="1">
      <c r="A431" s="3120"/>
      <c r="C431" s="3121"/>
      <c r="E431" s="3120"/>
    </row>
    <row r="432" spans="1:5" s="1935" customFormat="1">
      <c r="A432" s="3120"/>
      <c r="C432" s="3121"/>
      <c r="E432" s="3120"/>
    </row>
    <row r="433" spans="1:5" s="1935" customFormat="1">
      <c r="A433" s="3120"/>
      <c r="C433" s="3121"/>
      <c r="E433" s="3120"/>
    </row>
    <row r="434" spans="1:5" s="1935" customFormat="1">
      <c r="A434" s="3120"/>
      <c r="C434" s="3121"/>
      <c r="E434" s="3120"/>
    </row>
    <row r="435" spans="1:5" s="1935" customFormat="1">
      <c r="A435" s="3120"/>
      <c r="C435" s="3121"/>
      <c r="E435" s="3120"/>
    </row>
    <row r="436" spans="1:5" s="1935" customFormat="1">
      <c r="A436" s="3120"/>
      <c r="C436" s="3121"/>
      <c r="E436" s="3120"/>
    </row>
    <row r="437" spans="1:5" s="1935" customFormat="1">
      <c r="A437" s="3120"/>
      <c r="C437" s="3121"/>
      <c r="E437" s="3120"/>
    </row>
    <row r="438" spans="1:5" s="1935" customFormat="1">
      <c r="A438" s="3120"/>
      <c r="C438" s="3121"/>
      <c r="E438" s="3120"/>
    </row>
    <row r="439" spans="1:5" s="1935" customFormat="1">
      <c r="A439" s="3120"/>
      <c r="C439" s="3121"/>
      <c r="E439" s="3120"/>
    </row>
    <row r="440" spans="1:5" s="1935" customFormat="1">
      <c r="A440" s="3120"/>
      <c r="C440" s="3121"/>
      <c r="E440" s="3120"/>
    </row>
    <row r="441" spans="1:5" s="1935" customFormat="1">
      <c r="A441" s="3120"/>
      <c r="C441" s="3121"/>
      <c r="E441" s="3120"/>
    </row>
    <row r="442" spans="1:5" s="1935" customFormat="1">
      <c r="A442" s="3120"/>
      <c r="C442" s="3121"/>
      <c r="E442" s="3120"/>
    </row>
    <row r="443" spans="1:5" s="1935" customFormat="1">
      <c r="A443" s="3120"/>
      <c r="C443" s="3121"/>
      <c r="E443" s="3120"/>
    </row>
    <row r="444" spans="1:5" s="1935" customFormat="1">
      <c r="A444" s="3120"/>
      <c r="C444" s="3121"/>
      <c r="E444" s="3120"/>
    </row>
    <row r="445" spans="1:5" s="1935" customFormat="1">
      <c r="A445" s="3120"/>
      <c r="C445" s="3121"/>
      <c r="E445" s="3120"/>
    </row>
    <row r="446" spans="1:5" s="1935" customFormat="1">
      <c r="A446" s="3120"/>
      <c r="C446" s="3121"/>
      <c r="E446" s="3120"/>
    </row>
    <row r="447" spans="1:5" s="1935" customFormat="1">
      <c r="A447" s="3120"/>
      <c r="C447" s="3121"/>
      <c r="E447" s="3120"/>
    </row>
    <row r="448" spans="1:5" s="1935" customFormat="1">
      <c r="A448" s="3120"/>
      <c r="C448" s="3121"/>
      <c r="E448" s="3120"/>
    </row>
    <row r="449" spans="1:5" s="1935" customFormat="1">
      <c r="A449" s="3120"/>
      <c r="C449" s="3121"/>
      <c r="E449" s="3120"/>
    </row>
    <row r="450" spans="1:5" s="1935" customFormat="1">
      <c r="A450" s="3120"/>
      <c r="C450" s="3121"/>
      <c r="E450" s="3120"/>
    </row>
    <row r="451" spans="1:5" s="1935" customFormat="1">
      <c r="A451" s="3120"/>
      <c r="C451" s="3121"/>
      <c r="E451" s="3120"/>
    </row>
    <row r="452" spans="1:5" s="1935" customFormat="1">
      <c r="A452" s="3120"/>
      <c r="C452" s="3121"/>
      <c r="E452" s="3120"/>
    </row>
    <row r="453" spans="1:5" s="1935" customFormat="1">
      <c r="A453" s="3120"/>
      <c r="C453" s="3121"/>
      <c r="E453" s="3120"/>
    </row>
    <row r="454" spans="1:5" s="1935" customFormat="1">
      <c r="A454" s="3120"/>
      <c r="C454" s="3121"/>
      <c r="E454" s="3120"/>
    </row>
    <row r="455" spans="1:5" s="1935" customFormat="1">
      <c r="A455" s="3120"/>
      <c r="C455" s="3121"/>
      <c r="E455" s="3120"/>
    </row>
    <row r="456" spans="1:5" s="1935" customFormat="1">
      <c r="A456" s="3120"/>
      <c r="C456" s="3121"/>
      <c r="E456" s="3120"/>
    </row>
    <row r="457" spans="1:5" s="1935" customFormat="1">
      <c r="A457" s="3120"/>
      <c r="C457" s="3121"/>
      <c r="E457" s="3120"/>
    </row>
    <row r="458" spans="1:5" s="1935" customFormat="1">
      <c r="A458" s="3120"/>
      <c r="C458" s="3121"/>
      <c r="E458" s="3120"/>
    </row>
    <row r="459" spans="1:5" s="1935" customFormat="1">
      <c r="A459" s="3120"/>
      <c r="C459" s="3121"/>
      <c r="E459" s="3120"/>
    </row>
    <row r="460" spans="1:5" s="1935" customFormat="1">
      <c r="A460" s="3120"/>
      <c r="C460" s="3121"/>
      <c r="E460" s="3120"/>
    </row>
    <row r="461" spans="1:5" s="1935" customFormat="1">
      <c r="A461" s="3120"/>
      <c r="C461" s="3121"/>
      <c r="E461" s="3120"/>
    </row>
    <row r="462" spans="1:5" s="1935" customFormat="1">
      <c r="A462" s="3120"/>
      <c r="C462" s="3121"/>
      <c r="E462" s="3120"/>
    </row>
    <row r="463" spans="1:5" s="1935" customFormat="1">
      <c r="A463" s="3120"/>
      <c r="C463" s="3121"/>
      <c r="E463" s="3120"/>
    </row>
    <row r="464" spans="1:5" s="1935" customFormat="1">
      <c r="A464" s="3120"/>
      <c r="C464" s="3121"/>
      <c r="E464" s="3120"/>
    </row>
    <row r="465" spans="1:5" s="1935" customFormat="1">
      <c r="A465" s="3120"/>
      <c r="C465" s="3121"/>
      <c r="E465" s="3120"/>
    </row>
    <row r="466" spans="1:5" s="1935" customFormat="1">
      <c r="A466" s="3120"/>
      <c r="C466" s="3121"/>
      <c r="E466" s="3120"/>
    </row>
    <row r="467" spans="1:5" s="1935" customFormat="1">
      <c r="A467" s="3120"/>
      <c r="C467" s="3121"/>
      <c r="E467" s="3120"/>
    </row>
    <row r="468" spans="1:5" s="1935" customFormat="1">
      <c r="A468" s="3120"/>
      <c r="C468" s="3121"/>
      <c r="E468" s="3120"/>
    </row>
    <row r="469" spans="1:5" s="1935" customFormat="1">
      <c r="A469" s="3120"/>
      <c r="C469" s="3121"/>
      <c r="E469" s="3120"/>
    </row>
    <row r="470" spans="1:5" s="1935" customFormat="1">
      <c r="A470" s="3120"/>
      <c r="C470" s="3121"/>
      <c r="E470" s="3120"/>
    </row>
    <row r="471" spans="1:5" s="1935" customFormat="1">
      <c r="A471" s="3120"/>
      <c r="C471" s="3121"/>
      <c r="E471" s="3120"/>
    </row>
    <row r="472" spans="1:5" s="1935" customFormat="1">
      <c r="A472" s="3120"/>
      <c r="C472" s="3121"/>
      <c r="E472" s="3120"/>
    </row>
    <row r="473" spans="1:5" s="1935" customFormat="1">
      <c r="A473" s="3120"/>
      <c r="C473" s="3121"/>
      <c r="E473" s="3120"/>
    </row>
    <row r="474" spans="1:5" s="1935" customFormat="1">
      <c r="A474" s="3120"/>
      <c r="C474" s="3121"/>
      <c r="E474" s="3120"/>
    </row>
    <row r="475" spans="1:5" s="1935" customFormat="1">
      <c r="A475" s="3120"/>
      <c r="C475" s="3121"/>
      <c r="E475" s="3120"/>
    </row>
    <row r="476" spans="1:5" s="1935" customFormat="1">
      <c r="A476" s="3120"/>
      <c r="C476" s="3121"/>
      <c r="E476" s="3120"/>
    </row>
    <row r="477" spans="1:5" s="1935" customFormat="1">
      <c r="A477" s="3120"/>
      <c r="C477" s="3121"/>
      <c r="E477" s="3120"/>
    </row>
    <row r="478" spans="1:5" s="1935" customFormat="1">
      <c r="A478" s="3120"/>
      <c r="C478" s="3121"/>
      <c r="E478" s="3120"/>
    </row>
    <row r="479" spans="1:5" s="1935" customFormat="1">
      <c r="A479" s="3120"/>
      <c r="C479" s="3121"/>
      <c r="E479" s="3120"/>
    </row>
    <row r="480" spans="1:5" s="1935" customFormat="1">
      <c r="A480" s="3120"/>
      <c r="C480" s="3121"/>
      <c r="E480" s="3120"/>
    </row>
    <row r="481" spans="1:5" s="1935" customFormat="1">
      <c r="A481" s="3120"/>
      <c r="C481" s="3121"/>
      <c r="E481" s="3120"/>
    </row>
    <row r="482" spans="1:5" s="1935" customFormat="1">
      <c r="A482" s="3120"/>
      <c r="C482" s="3121"/>
      <c r="E482" s="3120"/>
    </row>
    <row r="483" spans="1:5" s="1935" customFormat="1">
      <c r="A483" s="3120"/>
      <c r="C483" s="3121"/>
      <c r="E483" s="3120"/>
    </row>
    <row r="484" spans="1:5" s="1935" customFormat="1">
      <c r="A484" s="3120"/>
      <c r="C484" s="3121"/>
      <c r="E484" s="3120"/>
    </row>
    <row r="485" spans="1:5" s="1935" customFormat="1">
      <c r="A485" s="3120"/>
      <c r="C485" s="3121"/>
      <c r="E485" s="3120"/>
    </row>
    <row r="486" spans="1:5" s="1935" customFormat="1">
      <c r="A486" s="3120"/>
      <c r="C486" s="3121"/>
      <c r="E486" s="3120"/>
    </row>
    <row r="487" spans="1:5" s="1935" customFormat="1">
      <c r="A487" s="3120"/>
      <c r="C487" s="3121"/>
      <c r="E487" s="3120"/>
    </row>
    <row r="488" spans="1:5" s="1935" customFormat="1">
      <c r="A488" s="3120"/>
      <c r="C488" s="3121"/>
      <c r="E488" s="3120"/>
    </row>
    <row r="489" spans="1:5" s="1935" customFormat="1">
      <c r="A489" s="3120"/>
      <c r="C489" s="3121"/>
      <c r="E489" s="3120"/>
    </row>
    <row r="490" spans="1:5" s="1935" customFormat="1">
      <c r="A490" s="3120"/>
      <c r="C490" s="3121"/>
      <c r="E490" s="312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28"/>
  <sheetViews>
    <sheetView tabSelected="1" workbookViewId="0">
      <selection activeCell="E10" sqref="E10"/>
    </sheetView>
  </sheetViews>
  <sheetFormatPr defaultColWidth="8.875" defaultRowHeight="13.5"/>
  <cols>
    <col min="1" max="1" width="8.875" style="3435"/>
    <col min="2" max="2" width="9.5" style="3435" bestFit="1" customWidth="1"/>
    <col min="3" max="3" width="34.125" style="3435" customWidth="1"/>
    <col min="4" max="4" width="14.875" style="3435" customWidth="1"/>
    <col min="5" max="5" width="14" style="3435" customWidth="1"/>
    <col min="6" max="6" width="8.875" style="3435"/>
    <col min="7" max="7" width="17" style="3435" customWidth="1"/>
    <col min="8" max="16384" width="8.875" style="3435"/>
  </cols>
  <sheetData>
    <row r="1" spans="1:7">
      <c r="A1" s="3998" t="s">
        <v>3240</v>
      </c>
      <c r="B1" s="3998"/>
      <c r="C1" s="3998"/>
      <c r="D1" s="3998"/>
      <c r="E1" s="3998"/>
      <c r="F1" s="3998"/>
      <c r="G1" s="3998"/>
    </row>
    <row r="2" spans="1:7">
      <c r="A2" s="3432" t="s">
        <v>3169</v>
      </c>
      <c r="B2" s="3433" t="s">
        <v>3170</v>
      </c>
      <c r="C2" s="3434" t="s">
        <v>3171</v>
      </c>
      <c r="D2" s="3432" t="s">
        <v>3172</v>
      </c>
      <c r="E2" s="3432"/>
      <c r="F2" s="3432"/>
    </row>
    <row r="3" spans="1:7">
      <c r="A3" s="3432">
        <f>[7]基准地价修正!$C$33</f>
        <v>1768</v>
      </c>
      <c r="B3" s="3433">
        <v>0</v>
      </c>
      <c r="C3" s="3432">
        <f>ROUND(A6*(1-C6),0)</f>
        <v>706</v>
      </c>
      <c r="D3" s="3432">
        <v>0.4</v>
      </c>
      <c r="E3" s="3432" t="s">
        <v>3173</v>
      </c>
      <c r="F3" s="3432" t="s">
        <v>3174</v>
      </c>
    </row>
    <row r="4" spans="1:7">
      <c r="A4" s="3432">
        <v>0.7</v>
      </c>
      <c r="B4" s="3433">
        <f>1-A4</f>
        <v>0.30000000000000004</v>
      </c>
      <c r="C4" s="3432" t="s">
        <v>3175</v>
      </c>
      <c r="D4" s="3432"/>
      <c r="E4" s="3436">
        <f ca="1">A3*D3+C5*D5</f>
        <v>3523.6000000000004</v>
      </c>
      <c r="F4" s="3437">
        <f ca="1">E4/15</f>
        <v>234.90666666666669</v>
      </c>
    </row>
    <row r="5" spans="1:7">
      <c r="A5" s="3432"/>
      <c r="B5" s="3433"/>
      <c r="C5" s="3432">
        <f ca="1">成本逼近法!B4</f>
        <v>4694</v>
      </c>
      <c r="D5" s="3432">
        <f>1-D3</f>
        <v>0.6</v>
      </c>
      <c r="E5" s="3432"/>
      <c r="F5" s="3432"/>
    </row>
    <row r="6" spans="1:7">
      <c r="A6" s="3435">
        <f>ROUND(A3*A4+B3*B4,0)</f>
        <v>1238</v>
      </c>
      <c r="B6" s="3435">
        <f>A6*'[3]数据-汇总表'!D3</f>
        <v>46145088.200000003</v>
      </c>
      <c r="C6" s="3438">
        <v>0.43</v>
      </c>
      <c r="E6" s="3439"/>
    </row>
    <row r="8" spans="1:7">
      <c r="B8" s="3999" t="s">
        <v>3176</v>
      </c>
      <c r="C8" s="3999"/>
      <c r="D8" s="3999"/>
    </row>
    <row r="9" spans="1:7">
      <c r="B9" s="3433" t="s">
        <v>3177</v>
      </c>
      <c r="C9" s="3433" t="s">
        <v>2634</v>
      </c>
      <c r="D9" s="3433" t="s">
        <v>3178</v>
      </c>
    </row>
    <row r="10" spans="1:7">
      <c r="B10" s="3433">
        <v>1</v>
      </c>
      <c r="C10" s="3433" t="s">
        <v>3179</v>
      </c>
      <c r="D10" s="3440">
        <f ca="1">ROUND(E4*'数据-基础表'!A3/10000,0)</f>
        <v>9701</v>
      </c>
      <c r="E10" s="3435">
        <v>9699</v>
      </c>
      <c r="F10" s="4213">
        <f ca="1">D10-E10</f>
        <v>2</v>
      </c>
    </row>
    <row r="11" spans="1:7">
      <c r="B11" s="3433">
        <v>2</v>
      </c>
      <c r="C11" s="3433" t="s">
        <v>3180</v>
      </c>
      <c r="D11" s="3440">
        <f>'数据-基础表'!B3*0.1</f>
        <v>625.048</v>
      </c>
    </row>
    <row r="12" spans="1:7">
      <c r="B12" s="3433">
        <v>3</v>
      </c>
      <c r="C12" s="3433" t="s">
        <v>3181</v>
      </c>
      <c r="D12" s="3440">
        <v>0</v>
      </c>
    </row>
    <row r="13" spans="1:7">
      <c r="B13" s="3433">
        <v>4</v>
      </c>
      <c r="C13" s="3433" t="s">
        <v>3182</v>
      </c>
      <c r="D13" s="3440">
        <v>0</v>
      </c>
    </row>
    <row r="14" spans="1:7" ht="13.5" customHeight="1">
      <c r="B14" s="3433">
        <v>5</v>
      </c>
      <c r="C14" s="3433" t="s">
        <v>3183</v>
      </c>
      <c r="D14" s="3440">
        <f>ROUND(停产停业损失补偿!G9,0)</f>
        <v>2878</v>
      </c>
      <c r="G14" s="3441" t="s">
        <v>3184</v>
      </c>
    </row>
    <row r="15" spans="1:7">
      <c r="B15" s="3433">
        <v>6</v>
      </c>
      <c r="C15" s="3433" t="s">
        <v>3185</v>
      </c>
      <c r="D15" s="3440">
        <v>0</v>
      </c>
    </row>
    <row r="16" spans="1:7" ht="14.25" customHeight="1">
      <c r="B16" s="3433">
        <v>7</v>
      </c>
      <c r="C16" s="3433" t="s">
        <v>3186</v>
      </c>
      <c r="D16" s="3440">
        <f>ROUND('数据-汇总表'!E6*50/10000,0)</f>
        <v>31</v>
      </c>
      <c r="G16" s="3441" t="s">
        <v>3187</v>
      </c>
    </row>
    <row r="17" spans="1:7">
      <c r="B17" s="4000" t="s">
        <v>3188</v>
      </c>
      <c r="C17" s="4000"/>
      <c r="D17" s="3440">
        <f ca="1">ROUND(SUM(D10:D16),0)</f>
        <v>13235</v>
      </c>
    </row>
    <row r="18" spans="1:7">
      <c r="B18" s="4000" t="s">
        <v>3189</v>
      </c>
      <c r="C18" s="4000"/>
      <c r="D18" s="3433">
        <f ca="1">ROUND(D17*10000/'[4]数据-基础表'!A3,0)</f>
        <v>5983</v>
      </c>
    </row>
    <row r="19" spans="1:7">
      <c r="B19" s="4000" t="s">
        <v>3174</v>
      </c>
      <c r="C19" s="4000"/>
      <c r="D19" s="3433">
        <f ca="1">ROUND(D18/15,0)</f>
        <v>399</v>
      </c>
    </row>
    <row r="23" spans="1:7">
      <c r="D23" s="3435">
        <f ca="1">D17-9573.6936</f>
        <v>3661.3063999999995</v>
      </c>
    </row>
    <row r="25" spans="1:7">
      <c r="A25" s="3998" t="s">
        <v>3241</v>
      </c>
      <c r="B25" s="3998"/>
      <c r="C25" s="3998"/>
      <c r="D25" s="3998"/>
      <c r="E25" s="3998"/>
      <c r="F25" s="3998"/>
      <c r="G25" s="3998"/>
    </row>
    <row r="26" spans="1:7" s="3811" customFormat="1">
      <c r="A26" s="3433" t="s">
        <v>3242</v>
      </c>
      <c r="B26" s="3433" t="s">
        <v>3172</v>
      </c>
      <c r="C26" s="3433" t="s">
        <v>3173</v>
      </c>
      <c r="D26" s="3816" t="s">
        <v>3468</v>
      </c>
      <c r="E26" s="3816" t="s">
        <v>3470</v>
      </c>
      <c r="F26" s="3816" t="s">
        <v>3471</v>
      </c>
    </row>
    <row r="27" spans="1:7" s="3811" customFormat="1">
      <c r="A27" s="3433" t="s">
        <v>3169</v>
      </c>
      <c r="B27" s="3433">
        <v>0.3</v>
      </c>
      <c r="C27" s="3433">
        <f>[7]基准地价修正50!$C$33</f>
        <v>1946</v>
      </c>
      <c r="D27" s="3816">
        <f>C27*'数据-基础表'!A3/10000</f>
        <v>5357.5325999999995</v>
      </c>
      <c r="E27" s="3996">
        <f ca="1">D27*B27+D28*B28</f>
        <v>2863.045278808092</v>
      </c>
      <c r="F27" s="3996">
        <f ca="1">ROUND(E27*10000/'数据-基础表'!B3,0)</f>
        <v>4581</v>
      </c>
    </row>
    <row r="28" spans="1:7" s="3811" customFormat="1">
      <c r="A28" s="3433" t="s">
        <v>3170</v>
      </c>
      <c r="B28" s="3433">
        <f>1-B27</f>
        <v>0.7</v>
      </c>
      <c r="C28" s="3433">
        <f ca="1">'剩余法-现房'!B3</f>
        <v>2870</v>
      </c>
      <c r="D28" s="3816">
        <f ca="1">'剩余法-现房'!B2</f>
        <v>1793.9792840115606</v>
      </c>
      <c r="E28" s="3997"/>
      <c r="F28" s="3997"/>
    </row>
  </sheetData>
  <mergeCells count="8">
    <mergeCell ref="E27:E28"/>
    <mergeCell ref="F27:F28"/>
    <mergeCell ref="A1:G1"/>
    <mergeCell ref="A25:G25"/>
    <mergeCell ref="B8:D8"/>
    <mergeCell ref="B17:C17"/>
    <mergeCell ref="B18:C18"/>
    <mergeCell ref="B19:C19"/>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823" t="str">
        <f>项目基本情况!B1</f>
        <v>北京市出让国有建设用地使用权市场价格预评估</v>
      </c>
      <c r="C37" s="3823"/>
      <c r="D37" s="3823"/>
      <c r="E37" s="3823"/>
      <c r="F37" s="3823"/>
      <c r="G37" s="3823"/>
      <c r="H37" s="3823"/>
      <c r="I37" s="3823"/>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B2:G24"/>
  <sheetViews>
    <sheetView workbookViewId="0">
      <selection activeCell="F14" sqref="F14"/>
    </sheetView>
  </sheetViews>
  <sheetFormatPr defaultRowHeight="13.5"/>
  <cols>
    <col min="1" max="1" width="9" style="3435"/>
    <col min="2" max="2" width="18.875" style="3435" customWidth="1"/>
    <col min="3" max="3" width="13.125" style="3435" customWidth="1"/>
    <col min="4" max="4" width="12.75" style="3435" bestFit="1" customWidth="1"/>
    <col min="5" max="5" width="11.25" style="3435" customWidth="1"/>
    <col min="6" max="6" width="11.75" style="3435" customWidth="1"/>
    <col min="7" max="7" width="9" style="3435"/>
    <col min="8" max="8" width="9.5" style="3435" bestFit="1" customWidth="1"/>
    <col min="9" max="16384" width="9" style="3435"/>
  </cols>
  <sheetData>
    <row r="2" spans="2:7" ht="27" customHeight="1">
      <c r="B2" s="4001" t="s">
        <v>3472</v>
      </c>
      <c r="C2" s="4001"/>
      <c r="D2" s="4001"/>
      <c r="E2" s="4001"/>
    </row>
    <row r="3" spans="2:7">
      <c r="B3" s="4000" t="s">
        <v>3473</v>
      </c>
      <c r="C3" s="4000"/>
      <c r="D3" s="4000">
        <v>1</v>
      </c>
      <c r="E3" s="4000"/>
    </row>
    <row r="4" spans="2:7">
      <c r="B4" s="4000" t="s">
        <v>3474</v>
      </c>
      <c r="C4" s="4000"/>
      <c r="D4" s="4000">
        <v>30</v>
      </c>
      <c r="E4" s="4000"/>
    </row>
    <row r="5" spans="2:7">
      <c r="B5" s="4000" t="s">
        <v>3475</v>
      </c>
      <c r="C5" s="4000"/>
      <c r="D5" s="4000">
        <f>'数据-基础表'!B3</f>
        <v>6250.48</v>
      </c>
      <c r="E5" s="4000"/>
    </row>
    <row r="6" spans="2:7">
      <c r="B6" s="4000" t="s">
        <v>3476</v>
      </c>
      <c r="C6" s="4000"/>
      <c r="D6" s="4000">
        <f>ROUND(D3*D4*D5/10000,2)</f>
        <v>18.75</v>
      </c>
      <c r="E6" s="4000"/>
    </row>
    <row r="8" spans="2:7" ht="27" customHeight="1">
      <c r="B8" s="4001" t="s">
        <v>3477</v>
      </c>
      <c r="C8" s="4001"/>
      <c r="D8" s="4001"/>
      <c r="E8" s="4001"/>
      <c r="G8" s="3435" t="s">
        <v>3478</v>
      </c>
    </row>
    <row r="9" spans="2:7">
      <c r="B9" s="3818"/>
      <c r="C9" s="3819" t="s">
        <v>3479</v>
      </c>
      <c r="D9" s="3820" t="s">
        <v>3490</v>
      </c>
      <c r="E9" s="3820" t="s">
        <v>3480</v>
      </c>
      <c r="G9" s="3817">
        <f>ROUND((D6+C14+D19)*D24,2)</f>
        <v>2878.43</v>
      </c>
    </row>
    <row r="10" spans="2:7">
      <c r="B10" s="3818" t="s">
        <v>3491</v>
      </c>
      <c r="C10" s="3821">
        <f>[8]利润表!$C$26</f>
        <v>1265212.1899999976</v>
      </c>
      <c r="D10" s="3820" t="s">
        <v>3481</v>
      </c>
      <c r="E10" s="3822">
        <f>ROUND(C10/12,2)</f>
        <v>105434.35</v>
      </c>
    </row>
    <row r="11" spans="2:7">
      <c r="B11" s="3818" t="s">
        <v>3492</v>
      </c>
      <c r="C11" s="3819" t="s">
        <v>3481</v>
      </c>
      <c r="D11" s="3821">
        <f>[8]利润表!$D$26</f>
        <v>30544958.320000034</v>
      </c>
      <c r="E11" s="3822">
        <f>ROUND(D11/9,2)</f>
        <v>3393884.26</v>
      </c>
    </row>
    <row r="12" spans="2:7">
      <c r="B12" s="3818" t="s">
        <v>3482</v>
      </c>
      <c r="C12" s="4003">
        <f>ROUND((E10*3+E11*9)/12,2)</f>
        <v>2571771.7799999998</v>
      </c>
      <c r="D12" s="4003"/>
      <c r="E12" s="4003"/>
    </row>
    <row r="13" spans="2:7">
      <c r="B13" s="3818" t="s">
        <v>3483</v>
      </c>
      <c r="C13" s="4004">
        <v>1.2</v>
      </c>
      <c r="D13" s="4004"/>
      <c r="E13" s="4004"/>
    </row>
    <row r="14" spans="2:7">
      <c r="B14" s="3818" t="s">
        <v>3476</v>
      </c>
      <c r="C14" s="4004">
        <f>ROUND(C12*C13/10000,2)</f>
        <v>308.61</v>
      </c>
      <c r="D14" s="4004"/>
      <c r="E14" s="4004"/>
    </row>
    <row r="16" spans="2:7" ht="27" customHeight="1">
      <c r="B16" s="4001" t="s">
        <v>3484</v>
      </c>
      <c r="C16" s="4001"/>
      <c r="D16" s="4001"/>
      <c r="E16" s="4001"/>
    </row>
    <row r="17" spans="2:5">
      <c r="B17" s="4000" t="s">
        <v>3485</v>
      </c>
      <c r="C17" s="4000"/>
      <c r="D17" s="4000">
        <v>66</v>
      </c>
      <c r="E17" s="4000"/>
    </row>
    <row r="18" spans="2:5">
      <c r="B18" s="4000" t="s">
        <v>3486</v>
      </c>
      <c r="C18" s="4000"/>
      <c r="D18" s="4000">
        <v>2320</v>
      </c>
      <c r="E18" s="4000"/>
    </row>
    <row r="19" spans="2:5">
      <c r="B19" s="4000" t="s">
        <v>3476</v>
      </c>
      <c r="C19" s="4000"/>
      <c r="D19" s="4002">
        <f>ROUND(D17*D18/10000,2)</f>
        <v>15.31</v>
      </c>
      <c r="E19" s="4002"/>
    </row>
    <row r="21" spans="2:5" ht="27" customHeight="1">
      <c r="B21" s="4001" t="s">
        <v>3487</v>
      </c>
      <c r="C21" s="4001"/>
      <c r="D21" s="4001"/>
      <c r="E21" s="4001"/>
    </row>
    <row r="22" spans="2:5">
      <c r="B22" s="4000" t="s">
        <v>3488</v>
      </c>
      <c r="C22" s="4000"/>
      <c r="D22" s="4000">
        <v>7</v>
      </c>
      <c r="E22" s="4000"/>
    </row>
    <row r="23" spans="2:5">
      <c r="B23" s="4000" t="s">
        <v>3489</v>
      </c>
      <c r="C23" s="4000"/>
      <c r="D23" s="4000">
        <v>1.2</v>
      </c>
      <c r="E23" s="4000"/>
    </row>
    <row r="24" spans="2:5">
      <c r="B24" s="4000" t="s">
        <v>3188</v>
      </c>
      <c r="C24" s="4000"/>
      <c r="D24" s="4000">
        <f>D22*D23</f>
        <v>8.4</v>
      </c>
      <c r="E24" s="4000"/>
    </row>
  </sheetData>
  <mergeCells count="27">
    <mergeCell ref="C14:E14"/>
    <mergeCell ref="B2:E2"/>
    <mergeCell ref="B3:C3"/>
    <mergeCell ref="D3:E3"/>
    <mergeCell ref="B4:C4"/>
    <mergeCell ref="D4:E4"/>
    <mergeCell ref="B5:C5"/>
    <mergeCell ref="D5:E5"/>
    <mergeCell ref="B6:C6"/>
    <mergeCell ref="D6:E6"/>
    <mergeCell ref="B8:E8"/>
    <mergeCell ref="C12:E12"/>
    <mergeCell ref="C13:E13"/>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s>
  <phoneticPr fontId="22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F18" sqref="F18"/>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12923</v>
      </c>
      <c r="C2" s="3176"/>
      <c r="D2" s="3176"/>
      <c r="E2" s="3176"/>
      <c r="F2" s="3176"/>
      <c r="G2" s="3176"/>
    </row>
    <row r="3" spans="1:25" s="1880" customFormat="1" ht="18" customHeight="1">
      <c r="A3" s="1281" t="s">
        <v>1476</v>
      </c>
      <c r="B3" s="418">
        <f ca="1">ROUND(B2*10000/'数据-汇总表'!E3,0)</f>
        <v>20675</v>
      </c>
      <c r="C3" s="3176"/>
      <c r="D3" s="3176"/>
      <c r="E3" s="3176"/>
      <c r="F3" s="3176"/>
      <c r="G3" s="3176"/>
    </row>
    <row r="4" spans="1:25" s="1880" customFormat="1" ht="18" customHeight="1">
      <c r="A4" s="419" t="s">
        <v>462</v>
      </c>
      <c r="B4" s="420">
        <f ca="1">ROUND(B2*10000/'数据-汇总表'!D3,0)</f>
        <v>4694</v>
      </c>
      <c r="C4" s="3135"/>
      <c r="D4" s="3176"/>
      <c r="E4" s="3176"/>
      <c r="F4" s="3176"/>
      <c r="G4" s="3176"/>
    </row>
    <row r="5" spans="1:25" s="1880" customFormat="1" ht="18" customHeight="1" thickBot="1">
      <c r="A5" s="422"/>
      <c r="B5" s="423">
        <f ca="1">ROUND(B2/('数据-汇总表'!D3/666.67),0)</f>
        <v>313</v>
      </c>
      <c r="C5" s="424" t="s">
        <v>463</v>
      </c>
      <c r="D5" s="3176"/>
      <c r="E5" s="3176"/>
      <c r="F5" s="3176"/>
      <c r="G5" s="3176"/>
    </row>
    <row r="6" spans="1:25" s="2001" customFormat="1" ht="13.5" customHeight="1">
      <c r="A6" s="714"/>
      <c r="B6" s="715" t="s">
        <v>577</v>
      </c>
      <c r="C6" s="716" t="s">
        <v>578</v>
      </c>
      <c r="D6" s="716" t="s">
        <v>579</v>
      </c>
      <c r="E6" s="717" t="s">
        <v>580</v>
      </c>
      <c r="F6" s="717" t="s">
        <v>581</v>
      </c>
      <c r="G6" s="3175" t="s">
        <v>2772</v>
      </c>
    </row>
    <row r="7" spans="1:25" s="2001" customFormat="1" ht="13.5" customHeight="1">
      <c r="A7" s="2260">
        <v>1</v>
      </c>
      <c r="B7" s="718" t="s">
        <v>582</v>
      </c>
      <c r="C7" s="719">
        <f>C8+C9</f>
        <v>10409</v>
      </c>
      <c r="D7" s="719"/>
      <c r="E7" s="720"/>
      <c r="F7" s="720"/>
      <c r="G7" s="2269" t="s">
        <v>3235</v>
      </c>
    </row>
    <row r="8" spans="1:25" s="2001" customFormat="1" ht="13.5" customHeight="1">
      <c r="A8" s="2260" t="s">
        <v>2209</v>
      </c>
      <c r="B8" s="2263" t="s">
        <v>2211</v>
      </c>
      <c r="C8" s="3179">
        <f t="shared" ref="C8:C9" si="0">ROUND(D8*E8/10000,0)</f>
        <v>10409</v>
      </c>
      <c r="D8" s="3179">
        <f>'数据-基础表'!A3</f>
        <v>27531</v>
      </c>
      <c r="E8" s="3180">
        <f>'比较法-工业'!C44</f>
        <v>3781</v>
      </c>
      <c r="F8" s="720"/>
      <c r="G8" s="721"/>
    </row>
    <row r="9" spans="1:25" s="2001" customFormat="1" ht="13.5" customHeight="1">
      <c r="A9" s="2260" t="s">
        <v>2210</v>
      </c>
      <c r="B9" s="2263" t="s">
        <v>2212</v>
      </c>
      <c r="C9" s="3179">
        <f t="shared" si="0"/>
        <v>0</v>
      </c>
      <c r="D9" s="3179">
        <v>0</v>
      </c>
      <c r="E9" s="3180">
        <v>0</v>
      </c>
      <c r="F9" s="720"/>
      <c r="G9" s="721"/>
    </row>
    <row r="10" spans="1:25" s="2001" customFormat="1" ht="36">
      <c r="A10" s="2260">
        <v>2</v>
      </c>
      <c r="B10" s="718" t="s">
        <v>586</v>
      </c>
      <c r="C10" s="719">
        <f>C11+C14+C15</f>
        <v>867</v>
      </c>
      <c r="D10" s="729"/>
      <c r="E10" s="719"/>
      <c r="F10" s="730"/>
      <c r="G10" s="728" t="s">
        <v>587</v>
      </c>
    </row>
    <row r="11" spans="1:25" s="2001" customFormat="1" ht="13.5" customHeight="1">
      <c r="A11" s="2260" t="s">
        <v>2209</v>
      </c>
      <c r="B11" s="722" t="s">
        <v>583</v>
      </c>
      <c r="C11" s="723">
        <f>'数据-取费表'!B29</f>
        <v>867</v>
      </c>
      <c r="D11" s="724"/>
      <c r="E11" s="723"/>
      <c r="F11" s="725"/>
      <c r="G11" s="2268" t="s">
        <v>2220</v>
      </c>
    </row>
    <row r="12" spans="1:25" s="2001" customFormat="1" ht="13.5" customHeight="1">
      <c r="A12" s="2266" t="s">
        <v>2217</v>
      </c>
      <c r="B12" s="726" t="s">
        <v>584</v>
      </c>
      <c r="C12" s="727">
        <f>ROUND(D12*E12/10000,0)</f>
        <v>0</v>
      </c>
      <c r="D12" s="3179">
        <f>'数据-汇总表'!E5</f>
        <v>0</v>
      </c>
      <c r="E12" s="3179">
        <f>'数据-取费表'!B27</f>
        <v>0</v>
      </c>
      <c r="F12" s="725"/>
      <c r="G12" s="728"/>
    </row>
    <row r="13" spans="1:25" s="2001" customFormat="1" ht="13.5" customHeight="1">
      <c r="A13" s="2266" t="s">
        <v>2216</v>
      </c>
      <c r="B13" s="726" t="s">
        <v>585</v>
      </c>
      <c r="C13" s="727">
        <f>ROUND(D13*E13/10000,0)</f>
        <v>867</v>
      </c>
      <c r="D13" s="3179">
        <f>D8</f>
        <v>27531</v>
      </c>
      <c r="E13" s="3179">
        <v>315</v>
      </c>
      <c r="F13" s="725"/>
      <c r="G13" s="728"/>
    </row>
    <row r="14" spans="1:25" s="2001" customFormat="1" ht="13.5" customHeight="1">
      <c r="A14" s="2260" t="s">
        <v>2210</v>
      </c>
      <c r="B14" s="2265" t="s">
        <v>2213</v>
      </c>
      <c r="C14" s="3181">
        <f t="shared" ref="C14:C15" si="1">ROUND(D14*E14/10000,0)</f>
        <v>0</v>
      </c>
      <c r="D14" s="3179">
        <v>0</v>
      </c>
      <c r="E14" s="3180">
        <v>0</v>
      </c>
      <c r="F14" s="2264"/>
      <c r="G14" s="2267" t="s">
        <v>2218</v>
      </c>
    </row>
    <row r="15" spans="1:25" s="2001" customFormat="1" ht="13.5" customHeight="1">
      <c r="A15" s="2260" t="s">
        <v>2215</v>
      </c>
      <c r="B15" s="2265" t="s">
        <v>2214</v>
      </c>
      <c r="C15" s="3181">
        <f t="shared" si="1"/>
        <v>0</v>
      </c>
      <c r="D15" s="3179">
        <v>0</v>
      </c>
      <c r="E15" s="3180">
        <v>0</v>
      </c>
      <c r="F15" s="2264"/>
      <c r="G15" s="2267" t="s">
        <v>2219</v>
      </c>
    </row>
    <row r="16" spans="1:25" s="2002" customFormat="1" ht="48">
      <c r="A16" s="2260">
        <v>3</v>
      </c>
      <c r="B16" s="718" t="s">
        <v>588</v>
      </c>
      <c r="C16" s="3181">
        <f t="shared" ref="C16" si="2">ROUND(D16*E16/10000,0)</f>
        <v>0</v>
      </c>
      <c r="D16" s="3179">
        <v>0</v>
      </c>
      <c r="E16" s="3180">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472</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1015</v>
      </c>
      <c r="D18" s="731"/>
      <c r="E18" s="732"/>
      <c r="F18" s="1252">
        <v>0.09</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12763</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1532</v>
      </c>
      <c r="D20" s="729"/>
      <c r="E20" s="719"/>
      <c r="F20" s="1252">
        <v>0.12</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14295</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12923</v>
      </c>
      <c r="D22" s="729"/>
      <c r="E22" s="719"/>
      <c r="F22" s="735">
        <f>'数据-取费表'!AP16</f>
        <v>0.90400000000000003</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12923</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78" customFormat="1">
      <c r="A24" s="3177"/>
      <c r="D24" s="1822"/>
      <c r="E24" s="1822"/>
    </row>
    <row r="25" spans="1:25" s="3178" customFormat="1">
      <c r="A25" s="3177"/>
      <c r="D25" s="1822"/>
      <c r="E25" s="1822"/>
    </row>
    <row r="26" spans="1:25" s="3178" customFormat="1">
      <c r="A26" s="3177"/>
      <c r="D26" s="1822"/>
      <c r="E26" s="1822"/>
    </row>
    <row r="27" spans="1:25" s="3178" customFormat="1">
      <c r="A27" s="3177"/>
      <c r="D27" s="1822"/>
      <c r="E27" s="1822"/>
    </row>
    <row r="28" spans="1:25" s="3178" customFormat="1">
      <c r="A28" s="3177"/>
      <c r="D28" s="1822"/>
      <c r="E28" s="1822"/>
    </row>
    <row r="29" spans="1:25" s="3178" customFormat="1">
      <c r="A29" s="3177"/>
      <c r="D29" s="1822"/>
      <c r="E29" s="1822"/>
    </row>
    <row r="30" spans="1:25" s="3178" customFormat="1">
      <c r="A30" s="3177"/>
      <c r="D30" s="1822"/>
      <c r="E30" s="1822"/>
    </row>
    <row r="31" spans="1:25" s="3178" customFormat="1">
      <c r="A31" s="3177"/>
      <c r="D31" s="1822"/>
      <c r="E31" s="1822"/>
    </row>
    <row r="32" spans="1:25" s="3178" customFormat="1">
      <c r="A32" s="3177"/>
      <c r="D32" s="1822"/>
      <c r="E32" s="1822"/>
    </row>
    <row r="33" spans="1:5" s="3178" customFormat="1">
      <c r="A33" s="3177"/>
      <c r="D33" s="1822"/>
      <c r="E33" s="1822"/>
    </row>
    <row r="34" spans="1:5" s="3178" customFormat="1">
      <c r="A34" s="3177"/>
      <c r="D34" s="1822"/>
      <c r="E34" s="1822"/>
    </row>
    <row r="35" spans="1:5" s="3178" customFormat="1">
      <c r="A35" s="3177"/>
      <c r="D35" s="1822"/>
      <c r="E35" s="1822"/>
    </row>
    <row r="36" spans="1:5" s="3178" customFormat="1">
      <c r="A36" s="3177"/>
      <c r="D36" s="1822"/>
      <c r="E36" s="1822"/>
    </row>
    <row r="37" spans="1:5" s="3178" customFormat="1">
      <c r="A37" s="3177"/>
      <c r="D37" s="1822"/>
      <c r="E37" s="1822"/>
    </row>
    <row r="38" spans="1:5" s="3178" customFormat="1">
      <c r="A38" s="3177"/>
      <c r="D38" s="1822"/>
      <c r="E38" s="1822"/>
    </row>
    <row r="39" spans="1:5" s="3178" customFormat="1">
      <c r="A39" s="3177"/>
      <c r="D39" s="1822"/>
      <c r="E39" s="1822"/>
    </row>
    <row r="40" spans="1:5" s="3178" customFormat="1">
      <c r="A40" s="3177"/>
      <c r="D40" s="1822"/>
      <c r="E40" s="1822"/>
    </row>
    <row r="41" spans="1:5" s="3178" customFormat="1">
      <c r="A41" s="3177"/>
      <c r="D41" s="1822"/>
      <c r="E41" s="1822"/>
    </row>
    <row r="42" spans="1:5" s="3178" customFormat="1">
      <c r="A42" s="3177"/>
      <c r="D42" s="1822"/>
      <c r="E42" s="1822"/>
    </row>
    <row r="43" spans="1:5" s="3178" customFormat="1">
      <c r="A43" s="3177"/>
      <c r="D43" s="1822"/>
      <c r="E43" s="1822"/>
    </row>
    <row r="44" spans="1:5" s="3178" customFormat="1">
      <c r="A44" s="3177"/>
      <c r="D44" s="1822"/>
      <c r="E44" s="1822"/>
    </row>
    <row r="45" spans="1:5" s="3178" customFormat="1">
      <c r="A45" s="3177"/>
      <c r="D45" s="1822"/>
      <c r="E45" s="1822"/>
    </row>
    <row r="46" spans="1:5" s="3178" customFormat="1">
      <c r="A46" s="3177"/>
      <c r="D46" s="1822"/>
      <c r="E46" s="1822"/>
    </row>
    <row r="47" spans="1:5" s="3178" customFormat="1">
      <c r="A47" s="3177"/>
      <c r="D47" s="1822"/>
      <c r="E47" s="1822"/>
    </row>
    <row r="48" spans="1:5" s="3178" customFormat="1">
      <c r="A48" s="3177"/>
      <c r="D48" s="1822"/>
      <c r="E48" s="1822"/>
    </row>
    <row r="49" spans="1:5" s="3178" customFormat="1">
      <c r="A49" s="3177"/>
      <c r="D49" s="1822"/>
      <c r="E49" s="1822"/>
    </row>
    <row r="50" spans="1:5" s="3178" customFormat="1">
      <c r="A50" s="3177"/>
      <c r="D50" s="1822"/>
      <c r="E50" s="1822"/>
    </row>
    <row r="51" spans="1:5" s="3178" customFormat="1">
      <c r="A51" s="3177"/>
      <c r="D51" s="1822"/>
      <c r="E51" s="1822"/>
    </row>
    <row r="52" spans="1:5" s="3178" customFormat="1">
      <c r="A52" s="3177"/>
      <c r="D52" s="1822"/>
      <c r="E52" s="1822"/>
    </row>
    <row r="53" spans="1:5" s="3178" customFormat="1">
      <c r="A53" s="3177"/>
      <c r="D53" s="1822"/>
      <c r="E53" s="1822"/>
    </row>
    <row r="54" spans="1:5" s="3178" customFormat="1">
      <c r="A54" s="3177"/>
      <c r="D54" s="1822"/>
      <c r="E54" s="1822"/>
    </row>
    <row r="55" spans="1:5" s="3178" customFormat="1">
      <c r="A55" s="3177"/>
      <c r="D55" s="1822"/>
      <c r="E55" s="1822"/>
    </row>
    <row r="56" spans="1:5" s="3178" customFormat="1">
      <c r="A56" s="3177"/>
      <c r="D56" s="1822"/>
      <c r="E56" s="1822"/>
    </row>
    <row r="57" spans="1:5" s="3178" customFormat="1">
      <c r="A57" s="3177"/>
      <c r="D57" s="1822"/>
      <c r="E57" s="1822"/>
    </row>
    <row r="58" spans="1:5" s="3178" customFormat="1">
      <c r="A58" s="3177"/>
      <c r="D58" s="1822"/>
      <c r="E58" s="1822"/>
    </row>
    <row r="59" spans="1:5" s="3178" customFormat="1">
      <c r="A59" s="3177"/>
      <c r="D59" s="1822"/>
      <c r="E59" s="1822"/>
    </row>
    <row r="60" spans="1:5" s="3178" customFormat="1">
      <c r="A60" s="3177"/>
      <c r="D60" s="1822"/>
      <c r="E60" s="1822"/>
    </row>
    <row r="61" spans="1:5" s="3178" customFormat="1">
      <c r="A61" s="3177"/>
      <c r="D61" s="1822"/>
      <c r="E61" s="1822"/>
    </row>
    <row r="62" spans="1:5" s="3178" customFormat="1">
      <c r="A62" s="3177"/>
      <c r="D62" s="1822"/>
      <c r="E62" s="1822"/>
    </row>
    <row r="63" spans="1:5" s="3178" customFormat="1">
      <c r="A63" s="3177"/>
      <c r="D63" s="1822"/>
      <c r="E63" s="18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262"/>
  <sheetViews>
    <sheetView view="pageBreakPreview" topLeftCell="B26" zoomScale="70" zoomScaleNormal="50" zoomScaleSheetLayoutView="70" workbookViewId="0">
      <selection activeCell="K39" sqref="K39"/>
    </sheetView>
  </sheetViews>
  <sheetFormatPr defaultColWidth="9" defaultRowHeight="14.25"/>
  <cols>
    <col min="1" max="1" width="13.375" style="3475" customWidth="1"/>
    <col min="2" max="2" width="15.75" style="3475" customWidth="1"/>
    <col min="3" max="3" width="14.375" style="3475" customWidth="1"/>
    <col min="4" max="4" width="12.25" style="3475" customWidth="1"/>
    <col min="5" max="5" width="14.375" style="3475" customWidth="1"/>
    <col min="6" max="6" width="12.25" style="3475" customWidth="1"/>
    <col min="7" max="7" width="14.5" style="3475" customWidth="1"/>
    <col min="8" max="8" width="12.25" style="3475" customWidth="1"/>
    <col min="9" max="9" width="14.5" style="3475" customWidth="1"/>
    <col min="10" max="10" width="12.25" style="3475" customWidth="1"/>
    <col min="11" max="11" width="12.25" style="3804" customWidth="1"/>
    <col min="12" max="12" width="12.25" style="3805" customWidth="1"/>
    <col min="13" max="15" width="12.25" style="3475" customWidth="1"/>
    <col min="16" max="16" width="4.75" style="3475" customWidth="1"/>
    <col min="17" max="17" width="19.5" style="3475" customWidth="1"/>
    <col min="18" max="22" width="6.125" style="3475" customWidth="1"/>
    <col min="23" max="23" width="5.75" style="3475" customWidth="1"/>
    <col min="24" max="24" width="4.25" style="3475" customWidth="1"/>
    <col min="25" max="25" width="3.5" style="3475" customWidth="1"/>
    <col min="26" max="26" width="19.75" style="3475" customWidth="1"/>
    <col min="27" max="28" width="9.375" style="3475" customWidth="1"/>
    <col min="29" max="16384" width="9" style="3475"/>
  </cols>
  <sheetData>
    <row r="1" spans="1:29" s="3453" customFormat="1" ht="28.5" customHeight="1">
      <c r="A1" s="3442" t="s">
        <v>494</v>
      </c>
      <c r="B1" s="3443"/>
      <c r="C1" s="3444" t="s">
        <v>761</v>
      </c>
      <c r="D1" s="3445" t="s">
        <v>3190</v>
      </c>
      <c r="E1" s="3446"/>
      <c r="F1" s="3447"/>
      <c r="G1" s="3446"/>
      <c r="H1" s="3446"/>
      <c r="I1" s="3446"/>
      <c r="J1" s="3446"/>
      <c r="K1" s="3448"/>
      <c r="L1" s="3449"/>
      <c r="M1" s="3450"/>
      <c r="N1" s="3450"/>
      <c r="O1" s="3450"/>
      <c r="P1" s="3451"/>
      <c r="Q1" s="3451"/>
      <c r="R1" s="3451"/>
      <c r="S1" s="3451"/>
      <c r="T1" s="3451"/>
      <c r="U1" s="3451"/>
      <c r="V1" s="3451"/>
      <c r="W1" s="3451"/>
      <c r="X1" s="3451"/>
      <c r="Y1" s="3451"/>
      <c r="Z1" s="3451"/>
      <c r="AA1" s="3451"/>
      <c r="AB1" s="3451"/>
      <c r="AC1" s="3452"/>
    </row>
    <row r="2" spans="1:29" s="3453" customFormat="1" ht="28.5" customHeight="1">
      <c r="A2" s="3454" t="s">
        <v>3191</v>
      </c>
      <c r="B2" s="3455">
        <f>F63</f>
        <v>14093</v>
      </c>
      <c r="C2" s="3456"/>
      <c r="D2" s="3456"/>
      <c r="E2" s="3456"/>
      <c r="F2" s="3457"/>
      <c r="G2" s="3456"/>
      <c r="H2" s="3456"/>
      <c r="I2" s="3456"/>
      <c r="J2" s="3456"/>
      <c r="K2" s="3458"/>
      <c r="L2" s="3459"/>
      <c r="M2" s="3451"/>
      <c r="N2" s="3451"/>
      <c r="O2" s="3451"/>
      <c r="P2" s="3451"/>
      <c r="Q2" s="3451"/>
      <c r="R2" s="3451"/>
      <c r="S2" s="3451"/>
      <c r="T2" s="3451"/>
      <c r="U2" s="3451"/>
      <c r="V2" s="3451"/>
      <c r="W2" s="3451"/>
      <c r="X2" s="3451"/>
      <c r="Y2" s="3451"/>
      <c r="Z2" s="3451"/>
      <c r="AA2" s="3451"/>
      <c r="AB2" s="3451"/>
      <c r="AC2" s="3452"/>
    </row>
    <row r="3" spans="1:29" s="3453" customFormat="1" ht="28.5" customHeight="1">
      <c r="A3" s="3460" t="s">
        <v>3192</v>
      </c>
      <c r="B3" s="3461">
        <f>ROUND(B2*10000/'[3]数据-汇总表'!E3,0)</f>
        <v>11265</v>
      </c>
      <c r="C3" s="3462"/>
      <c r="D3" s="3462"/>
      <c r="E3" s="3462"/>
      <c r="F3" s="3462"/>
      <c r="G3" s="3456"/>
      <c r="H3" s="3456"/>
      <c r="I3" s="3456"/>
      <c r="J3" s="3456"/>
      <c r="K3" s="3458"/>
      <c r="L3" s="3459"/>
      <c r="M3" s="3451"/>
      <c r="N3" s="3451"/>
      <c r="O3" s="3451"/>
      <c r="P3" s="3451"/>
      <c r="Q3" s="3451"/>
      <c r="R3" s="3451"/>
      <c r="S3" s="3451"/>
      <c r="T3" s="3451"/>
      <c r="U3" s="3451"/>
      <c r="V3" s="3451"/>
      <c r="W3" s="3451"/>
      <c r="X3" s="3451"/>
      <c r="Y3" s="3451"/>
      <c r="Z3" s="3451"/>
      <c r="AA3" s="3451"/>
      <c r="AB3" s="3452"/>
      <c r="AC3" s="3452"/>
    </row>
    <row r="4" spans="1:29" s="3453" customFormat="1" ht="28.5" customHeight="1">
      <c r="A4" s="3463" t="s">
        <v>3193</v>
      </c>
      <c r="B4" s="3464">
        <f>IF(B43="单位面积地价",C45,ROUND(B2*10000/'[3]数据-汇总表'!D3,0))</f>
        <v>3781</v>
      </c>
      <c r="C4" s="3462"/>
      <c r="D4" s="3462"/>
      <c r="E4" s="3462"/>
      <c r="F4" s="3462"/>
      <c r="G4" s="3456"/>
      <c r="H4" s="3456"/>
      <c r="I4" s="3456"/>
      <c r="J4" s="3456"/>
      <c r="K4" s="3458"/>
      <c r="L4" s="3459"/>
      <c r="M4" s="3451"/>
      <c r="N4" s="3451"/>
      <c r="O4" s="3451"/>
      <c r="P4" s="3451"/>
      <c r="Q4" s="3451"/>
      <c r="R4" s="3451"/>
      <c r="S4" s="3451"/>
      <c r="T4" s="3451"/>
      <c r="U4" s="3451"/>
      <c r="V4" s="3451"/>
      <c r="W4" s="3451"/>
      <c r="X4" s="3451"/>
      <c r="Y4" s="3451"/>
      <c r="Z4" s="3451"/>
      <c r="AA4" s="3451"/>
      <c r="AB4" s="3451"/>
      <c r="AC4" s="3452"/>
    </row>
    <row r="5" spans="1:29" s="3453" customFormat="1" ht="28.5" customHeight="1" thickBot="1">
      <c r="A5" s="3465"/>
      <c r="B5" s="3466">
        <f>ROUND(B2/('[3]数据-汇总表'!D3/666.67),0)</f>
        <v>252</v>
      </c>
      <c r="C5" s="3467" t="s">
        <v>3194</v>
      </c>
      <c r="D5" s="3462"/>
      <c r="E5" s="3462"/>
      <c r="F5" s="3462"/>
      <c r="G5" s="3456"/>
      <c r="H5" s="3456"/>
      <c r="I5" s="3456"/>
      <c r="J5" s="3456"/>
      <c r="K5" s="3458"/>
      <c r="L5" s="3459"/>
      <c r="M5" s="3451"/>
      <c r="N5" s="3451"/>
      <c r="O5" s="3451"/>
      <c r="P5" s="3451"/>
      <c r="Q5" s="3451"/>
      <c r="R5" s="3451"/>
      <c r="S5" s="3451"/>
      <c r="T5" s="3451"/>
      <c r="U5" s="3451"/>
      <c r="V5" s="3451"/>
      <c r="W5" s="3451"/>
      <c r="X5" s="3451"/>
      <c r="Y5" s="3451"/>
      <c r="Z5" s="3451"/>
      <c r="AA5" s="3451"/>
      <c r="AB5" s="3468"/>
      <c r="AC5" s="3452"/>
    </row>
    <row r="6" spans="1:29" ht="15">
      <c r="A6" s="3469" t="s">
        <v>499</v>
      </c>
      <c r="B6" s="3470"/>
      <c r="C6" s="4033" t="s">
        <v>500</v>
      </c>
      <c r="D6" s="4034"/>
      <c r="E6" s="4035" t="s">
        <v>501</v>
      </c>
      <c r="F6" s="4036"/>
      <c r="G6" s="4033" t="s">
        <v>502</v>
      </c>
      <c r="H6" s="4034"/>
      <c r="I6" s="4033" t="s">
        <v>503</v>
      </c>
      <c r="J6" s="4034"/>
      <c r="K6" s="3471" t="s">
        <v>504</v>
      </c>
      <c r="L6" s="3472"/>
      <c r="M6" s="3473"/>
      <c r="N6" s="3473"/>
      <c r="O6" s="3473"/>
      <c r="P6" s="4037" t="s">
        <v>505</v>
      </c>
      <c r="Q6" s="4038"/>
      <c r="R6" s="4023" t="s">
        <v>501</v>
      </c>
      <c r="S6" s="4024"/>
      <c r="T6" s="4023" t="s">
        <v>502</v>
      </c>
      <c r="U6" s="4024"/>
      <c r="V6" s="4019" t="s">
        <v>503</v>
      </c>
      <c r="W6" s="4019"/>
      <c r="X6" s="3474"/>
      <c r="Y6" s="4023" t="s">
        <v>505</v>
      </c>
      <c r="Z6" s="4024"/>
      <c r="AA6" s="4029" t="s">
        <v>501</v>
      </c>
      <c r="AB6" s="4030" t="s">
        <v>502</v>
      </c>
      <c r="AC6" s="4029" t="s">
        <v>503</v>
      </c>
    </row>
    <row r="7" spans="1:29" ht="15">
      <c r="A7" s="3476"/>
      <c r="B7" s="3477"/>
      <c r="C7" s="4043" t="s">
        <v>2678</v>
      </c>
      <c r="D7" s="4044"/>
      <c r="E7" s="4045" t="str">
        <f>[3]土地案例!F24</f>
        <v>大兴区黄村镇三合庄改造区土地一级开发项目DX00-0202-6008、6009
地块</v>
      </c>
      <c r="F7" s="4046"/>
      <c r="G7" s="4043" t="str">
        <f>[3]土地案例!F29</f>
        <v>昌平区六环路土城出口土城新村改造
土地一级开发项目核A-04、A-05、A-07地块</v>
      </c>
      <c r="H7" s="4044"/>
      <c r="I7" s="4047" t="s">
        <v>3195</v>
      </c>
      <c r="J7" s="4044"/>
      <c r="K7" s="3471"/>
      <c r="L7" s="3472"/>
      <c r="M7" s="3473"/>
      <c r="N7" s="3473"/>
      <c r="O7" s="3473"/>
      <c r="P7" s="4039"/>
      <c r="Q7" s="4040"/>
      <c r="R7" s="4025"/>
      <c r="S7" s="4026"/>
      <c r="T7" s="4025"/>
      <c r="U7" s="4026"/>
      <c r="V7" s="4019"/>
      <c r="W7" s="4019"/>
      <c r="X7" s="3474"/>
      <c r="Y7" s="4025"/>
      <c r="Z7" s="4026"/>
      <c r="AA7" s="4030"/>
      <c r="AB7" s="4030"/>
      <c r="AC7" s="4030"/>
    </row>
    <row r="8" spans="1:29" ht="15.75" thickBot="1">
      <c r="A8" s="3478"/>
      <c r="B8" s="3479"/>
      <c r="C8" s="4048" t="s">
        <v>2682</v>
      </c>
      <c r="D8" s="4049"/>
      <c r="E8" s="4050" t="s">
        <v>2682</v>
      </c>
      <c r="F8" s="4051"/>
      <c r="G8" s="4048" t="s">
        <v>2682</v>
      </c>
      <c r="H8" s="4049"/>
      <c r="I8" s="4048" t="s">
        <v>2682</v>
      </c>
      <c r="J8" s="4049"/>
      <c r="K8" s="3471" t="s">
        <v>506</v>
      </c>
      <c r="L8" s="3472"/>
      <c r="M8" s="3473"/>
      <c r="N8" s="3473"/>
      <c r="O8" s="3473"/>
      <c r="P8" s="4041"/>
      <c r="Q8" s="4042"/>
      <c r="R8" s="4025"/>
      <c r="S8" s="4026"/>
      <c r="T8" s="4027"/>
      <c r="U8" s="4028"/>
      <c r="V8" s="4019"/>
      <c r="W8" s="4019"/>
      <c r="X8" s="3474"/>
      <c r="Y8" s="4027"/>
      <c r="Z8" s="4028"/>
      <c r="AA8" s="4031"/>
      <c r="AB8" s="4031"/>
      <c r="AC8" s="4031"/>
    </row>
    <row r="9" spans="1:29" s="3494" customFormat="1" ht="15.75" thickBot="1">
      <c r="A9" s="3480"/>
      <c r="B9" s="3481" t="s">
        <v>507</v>
      </c>
      <c r="C9" s="3482">
        <f>'数据-取费表'!B2</f>
        <v>44867</v>
      </c>
      <c r="D9" s="3483">
        <v>100</v>
      </c>
      <c r="E9" s="3484">
        <v>43221</v>
      </c>
      <c r="F9" s="3485">
        <f>SUMIF(67:67,YEAR(E9)&amp;"-"&amp;INT((MONTH(E9)+2)/3),68:68)</f>
        <v>97.6</v>
      </c>
      <c r="G9" s="3486">
        <v>43435</v>
      </c>
      <c r="H9" s="3483">
        <f>SUMIF(67:67,YEAR(G9)&amp;"-"&amp;INT((MONTH(G9)+2)/3),68:68)</f>
        <v>98.7</v>
      </c>
      <c r="I9" s="3486">
        <v>43344</v>
      </c>
      <c r="J9" s="3483">
        <f>SUMIF(67:67,YEAR(I9)&amp;"-"&amp;INT((MONTH(I9)+2)/3),68:68)</f>
        <v>98.3</v>
      </c>
      <c r="K9" s="3487"/>
      <c r="L9" s="3488"/>
      <c r="M9" s="3489"/>
      <c r="N9" s="3489"/>
      <c r="O9" s="3489"/>
      <c r="P9" s="4020" t="s">
        <v>508</v>
      </c>
      <c r="Q9" s="4032"/>
      <c r="R9" s="3490" t="s">
        <v>8</v>
      </c>
      <c r="S9" s="3491">
        <f t="shared" ref="S9:S17" si="0">F9</f>
        <v>97.6</v>
      </c>
      <c r="T9" s="3490" t="s">
        <v>8</v>
      </c>
      <c r="U9" s="3491">
        <f t="shared" ref="U9:U17" si="1">H9</f>
        <v>98.7</v>
      </c>
      <c r="V9" s="3490" t="s">
        <v>8</v>
      </c>
      <c r="W9" s="3491">
        <f t="shared" ref="W9:W17" si="2">J9</f>
        <v>98.3</v>
      </c>
      <c r="X9" s="3492"/>
      <c r="Y9" s="4020" t="s">
        <v>508</v>
      </c>
      <c r="Z9" s="4021"/>
      <c r="AA9" s="3493">
        <f>D9/F9</f>
        <v>1.0245901639344264</v>
      </c>
      <c r="AB9" s="3493">
        <f>D9/H9</f>
        <v>1.0131712259371835</v>
      </c>
      <c r="AC9" s="3493">
        <f>D9/J9</f>
        <v>1.0172939979654121</v>
      </c>
    </row>
    <row r="10" spans="1:29" s="3494" customFormat="1" ht="15.75" thickBot="1">
      <c r="A10" s="3495"/>
      <c r="B10" s="3496" t="s">
        <v>509</v>
      </c>
      <c r="C10" s="3497" t="s">
        <v>510</v>
      </c>
      <c r="D10" s="3483">
        <v>100</v>
      </c>
      <c r="E10" s="3497" t="s">
        <v>3196</v>
      </c>
      <c r="F10" s="3485">
        <f>SUMIF(70:70,E10,71:71)-SUMIF(70:70,C10,71:71)+100</f>
        <v>100</v>
      </c>
      <c r="G10" s="3497" t="s">
        <v>3196</v>
      </c>
      <c r="H10" s="3483">
        <f>SUMIF(70:70,G10,71:71)-SUMIF(70:70,C10,71:71)+100</f>
        <v>100</v>
      </c>
      <c r="I10" s="3497" t="s">
        <v>3196</v>
      </c>
      <c r="J10" s="3483">
        <f>SUMIF(70:70,I10,71:71)-SUMIF(70:70,C10,71:71)+100</f>
        <v>100</v>
      </c>
      <c r="K10" s="3487"/>
      <c r="L10" s="3488"/>
      <c r="M10" s="3489"/>
      <c r="N10" s="3489"/>
      <c r="O10" s="3489"/>
      <c r="P10" s="4020" t="s">
        <v>511</v>
      </c>
      <c r="Q10" s="4021"/>
      <c r="R10" s="3490" t="s">
        <v>8</v>
      </c>
      <c r="S10" s="3491">
        <f t="shared" si="0"/>
        <v>100</v>
      </c>
      <c r="T10" s="3490" t="s">
        <v>8</v>
      </c>
      <c r="U10" s="3491">
        <f t="shared" si="1"/>
        <v>100</v>
      </c>
      <c r="V10" s="3490" t="s">
        <v>8</v>
      </c>
      <c r="W10" s="3491">
        <f t="shared" si="2"/>
        <v>100</v>
      </c>
      <c r="X10" s="3492"/>
      <c r="Y10" s="4020" t="s">
        <v>511</v>
      </c>
      <c r="Z10" s="4021"/>
      <c r="AA10" s="3493">
        <f t="shared" ref="AA10:AA42" si="3">D10/F10</f>
        <v>1</v>
      </c>
      <c r="AB10" s="3493">
        <f t="shared" ref="AB10:AB42" si="4">D10/H10</f>
        <v>1</v>
      </c>
      <c r="AC10" s="3493">
        <f t="shared" ref="AC10:AC42" si="5">D10/J10</f>
        <v>1</v>
      </c>
    </row>
    <row r="11" spans="1:29" s="3494" customFormat="1" ht="15.75" hidden="1" thickBot="1">
      <c r="A11" s="3498"/>
      <c r="B11" s="3499" t="s">
        <v>2522</v>
      </c>
      <c r="C11" s="3500"/>
      <c r="D11" s="3501">
        <v>100</v>
      </c>
      <c r="E11" s="3500"/>
      <c r="F11" s="3501">
        <f>SUMIF(72:72,E11,73:73)-SUMIF(72:72,C11,73:73)+100</f>
        <v>100</v>
      </c>
      <c r="G11" s="3500"/>
      <c r="H11" s="3501">
        <f>SUMIF(72:72,G11,73:73)-SUMIF(72:72,C11,73:73)+100</f>
        <v>100</v>
      </c>
      <c r="I11" s="3500"/>
      <c r="J11" s="3501">
        <f>SUMIF(72:72,I11,73:73)-SUMIF(72:72,C11,73:73)+100</f>
        <v>100</v>
      </c>
      <c r="K11" s="3487"/>
      <c r="L11" s="3488"/>
      <c r="M11" s="3489"/>
      <c r="N11" s="3489"/>
      <c r="O11" s="3502"/>
      <c r="P11" s="4010" t="s">
        <v>513</v>
      </c>
      <c r="Q11" s="3503" t="str">
        <f t="shared" ref="Q11:Q17" si="6">B11</f>
        <v>用途</v>
      </c>
      <c r="R11" s="3490" t="s">
        <v>8</v>
      </c>
      <c r="S11" s="3491">
        <f t="shared" si="0"/>
        <v>100</v>
      </c>
      <c r="T11" s="3490" t="s">
        <v>8</v>
      </c>
      <c r="U11" s="3491">
        <f t="shared" si="1"/>
        <v>100</v>
      </c>
      <c r="V11" s="3490" t="s">
        <v>8</v>
      </c>
      <c r="W11" s="3491">
        <f t="shared" si="2"/>
        <v>100</v>
      </c>
      <c r="X11" s="3492"/>
      <c r="Y11" s="4022" t="s">
        <v>514</v>
      </c>
      <c r="Z11" s="3493" t="str">
        <f t="shared" ref="Z11:Z17" si="7">Q11</f>
        <v>用途</v>
      </c>
      <c r="AA11" s="3493">
        <f t="shared" si="3"/>
        <v>1</v>
      </c>
      <c r="AB11" s="3493">
        <f t="shared" si="4"/>
        <v>1</v>
      </c>
      <c r="AC11" s="3493">
        <f t="shared" si="5"/>
        <v>1</v>
      </c>
    </row>
    <row r="12" spans="1:29" s="3511" customFormat="1" ht="27.75" hidden="1" thickBot="1">
      <c r="A12" s="3504"/>
      <c r="B12" s="3496" t="s">
        <v>2523</v>
      </c>
      <c r="C12" s="3505"/>
      <c r="D12" s="3506">
        <v>100</v>
      </c>
      <c r="E12" s="3505"/>
      <c r="F12" s="3506">
        <f>ROUND(100/'[3]数据-取费表'!G16,0)</f>
        <v>114</v>
      </c>
      <c r="G12" s="3505"/>
      <c r="H12" s="3506">
        <f>ROUND(100/'[3]数据-取费表'!G16,0)</f>
        <v>114</v>
      </c>
      <c r="I12" s="3505"/>
      <c r="J12" s="3506">
        <f>ROUND(100/'[3]数据-取费表'!G16,0)</f>
        <v>114</v>
      </c>
      <c r="K12" s="3507"/>
      <c r="L12" s="3508"/>
      <c r="M12" s="3509"/>
      <c r="N12" s="3509"/>
      <c r="O12" s="3510"/>
      <c r="P12" s="4010"/>
      <c r="Q12" s="3503" t="str">
        <f t="shared" si="6"/>
        <v>土地使用年限（年）</v>
      </c>
      <c r="R12" s="3490" t="s">
        <v>8</v>
      </c>
      <c r="S12" s="3491">
        <f t="shared" si="0"/>
        <v>114</v>
      </c>
      <c r="T12" s="3490" t="s">
        <v>8</v>
      </c>
      <c r="U12" s="3491">
        <f t="shared" si="1"/>
        <v>114</v>
      </c>
      <c r="V12" s="3490" t="s">
        <v>8</v>
      </c>
      <c r="W12" s="3491">
        <f t="shared" si="2"/>
        <v>114</v>
      </c>
      <c r="X12" s="3492"/>
      <c r="Y12" s="4022"/>
      <c r="Z12" s="3493" t="str">
        <f t="shared" si="7"/>
        <v>土地使用年限（年）</v>
      </c>
      <c r="AA12" s="3493">
        <f t="shared" si="3"/>
        <v>0.8771929824561403</v>
      </c>
      <c r="AB12" s="3493">
        <f t="shared" si="4"/>
        <v>0.8771929824561403</v>
      </c>
      <c r="AC12" s="3493">
        <f t="shared" si="5"/>
        <v>0.8771929824561403</v>
      </c>
    </row>
    <row r="13" spans="1:29" ht="15.75" hidden="1" thickBot="1">
      <c r="A13" s="3512"/>
      <c r="B13" s="3496" t="s">
        <v>2524</v>
      </c>
      <c r="C13" s="3513">
        <v>1</v>
      </c>
      <c r="D13" s="3506">
        <v>100</v>
      </c>
      <c r="E13" s="3513">
        <f>C13</f>
        <v>1</v>
      </c>
      <c r="F13" s="3506">
        <f>LOOKUP(E13,77:77,78:78)-LOOKUP(C13,77:77,78:78)+100</f>
        <v>100</v>
      </c>
      <c r="G13" s="3514">
        <f>C13</f>
        <v>1</v>
      </c>
      <c r="H13" s="3506">
        <f>LOOKUP(G13,77:77,78:78)-LOOKUP(C13,77:77,78:78)+100</f>
        <v>100</v>
      </c>
      <c r="I13" s="3513">
        <f>C13</f>
        <v>1</v>
      </c>
      <c r="J13" s="3506">
        <f>LOOKUP(I13,77:77,78:78)-LOOKUP(C13,77:77,78:78)+100</f>
        <v>100</v>
      </c>
      <c r="K13" s="3515"/>
      <c r="L13" s="3516"/>
      <c r="M13" s="3473"/>
      <c r="N13" s="3473"/>
      <c r="O13" s="3517"/>
      <c r="P13" s="4010"/>
      <c r="Q13" s="3503" t="str">
        <f t="shared" si="6"/>
        <v>容积率</v>
      </c>
      <c r="R13" s="3490" t="s">
        <v>8</v>
      </c>
      <c r="S13" s="3491">
        <f t="shared" si="0"/>
        <v>100</v>
      </c>
      <c r="T13" s="3490" t="s">
        <v>8</v>
      </c>
      <c r="U13" s="3491">
        <f t="shared" si="1"/>
        <v>100</v>
      </c>
      <c r="V13" s="3490" t="s">
        <v>8</v>
      </c>
      <c r="W13" s="3491">
        <f t="shared" si="2"/>
        <v>100</v>
      </c>
      <c r="X13" s="3492"/>
      <c r="Y13" s="4022"/>
      <c r="Z13" s="3493" t="str">
        <f t="shared" si="7"/>
        <v>容积率</v>
      </c>
      <c r="AA13" s="3493">
        <f t="shared" si="3"/>
        <v>1</v>
      </c>
      <c r="AB13" s="3493">
        <f t="shared" si="4"/>
        <v>1</v>
      </c>
      <c r="AC13" s="3493">
        <f t="shared" si="5"/>
        <v>1</v>
      </c>
    </row>
    <row r="14" spans="1:29" s="3494" customFormat="1" ht="15.75" hidden="1" thickBot="1">
      <c r="A14" s="3518"/>
      <c r="B14" s="3519">
        <v>111</v>
      </c>
      <c r="C14" s="3505"/>
      <c r="D14" s="3520">
        <v>100</v>
      </c>
      <c r="E14" s="3521"/>
      <c r="F14" s="3506">
        <f>SUMIF(79:79,E14,80:80)-SUMIF(79:79,C14,80:80)+100</f>
        <v>100</v>
      </c>
      <c r="G14" s="3522"/>
      <c r="H14" s="3506">
        <f>SUMIF(79:79,G14,80:80)-SUMIF(79:79,C14,80:80)+100</f>
        <v>100</v>
      </c>
      <c r="I14" s="3521"/>
      <c r="J14" s="3506">
        <f>SUMIF(79:79,I14,80:80)-SUMIF(79:79,C14,80:80)+100</f>
        <v>100</v>
      </c>
      <c r="K14" s="3507"/>
      <c r="L14" s="3488"/>
      <c r="M14" s="3489"/>
      <c r="N14" s="3489"/>
      <c r="O14" s="3502"/>
      <c r="P14" s="4010"/>
      <c r="Q14" s="3503">
        <f t="shared" si="6"/>
        <v>111</v>
      </c>
      <c r="R14" s="3490" t="s">
        <v>8</v>
      </c>
      <c r="S14" s="3491">
        <f t="shared" si="0"/>
        <v>100</v>
      </c>
      <c r="T14" s="3490" t="s">
        <v>8</v>
      </c>
      <c r="U14" s="3491">
        <f t="shared" si="1"/>
        <v>100</v>
      </c>
      <c r="V14" s="3490" t="s">
        <v>8</v>
      </c>
      <c r="W14" s="3491">
        <f t="shared" si="2"/>
        <v>100</v>
      </c>
      <c r="X14" s="3492"/>
      <c r="Y14" s="4022"/>
      <c r="Z14" s="3493">
        <f t="shared" si="7"/>
        <v>111</v>
      </c>
      <c r="AA14" s="3493">
        <f>D14/F14</f>
        <v>1</v>
      </c>
      <c r="AB14" s="3493">
        <f>D14/H14</f>
        <v>1</v>
      </c>
      <c r="AC14" s="3493">
        <f>D14/J14</f>
        <v>1</v>
      </c>
    </row>
    <row r="15" spans="1:29" ht="15.75" hidden="1" thickBot="1">
      <c r="A15" s="3518"/>
      <c r="B15" s="3519">
        <v>111</v>
      </c>
      <c r="C15" s="3523"/>
      <c r="D15" s="3524">
        <v>100</v>
      </c>
      <c r="E15" s="3521"/>
      <c r="F15" s="3506">
        <f>SUMIF(81:81,E15,82:82)-SUMIF(81:81,C15,82:82)+100</f>
        <v>100</v>
      </c>
      <c r="G15" s="3522"/>
      <c r="H15" s="3524">
        <f>SUMIF(81:81,G15,82:82)-SUMIF(81:81,C15,82:82)+100</f>
        <v>100</v>
      </c>
      <c r="I15" s="3521"/>
      <c r="J15" s="3524">
        <f>SUMIF(81:81,I15,82:82)-SUMIF(81:81,C15,82:82)+100</f>
        <v>100</v>
      </c>
      <c r="K15" s="3507"/>
      <c r="L15" s="3525"/>
      <c r="M15" s="3473"/>
      <c r="N15" s="3473"/>
      <c r="O15" s="3517"/>
      <c r="P15" s="4010"/>
      <c r="Q15" s="3503">
        <f t="shared" si="6"/>
        <v>111</v>
      </c>
      <c r="R15" s="3490" t="s">
        <v>8</v>
      </c>
      <c r="S15" s="3491">
        <f t="shared" si="0"/>
        <v>100</v>
      </c>
      <c r="T15" s="3490" t="s">
        <v>8</v>
      </c>
      <c r="U15" s="3491">
        <f t="shared" si="1"/>
        <v>100</v>
      </c>
      <c r="V15" s="3490" t="s">
        <v>8</v>
      </c>
      <c r="W15" s="3491">
        <f t="shared" si="2"/>
        <v>100</v>
      </c>
      <c r="X15" s="3492"/>
      <c r="Y15" s="4022"/>
      <c r="Z15" s="3493">
        <f t="shared" si="7"/>
        <v>111</v>
      </c>
      <c r="AA15" s="3493">
        <f t="shared" si="3"/>
        <v>1</v>
      </c>
      <c r="AB15" s="3493">
        <f t="shared" si="4"/>
        <v>1</v>
      </c>
      <c r="AC15" s="3493">
        <f t="shared" si="5"/>
        <v>1</v>
      </c>
    </row>
    <row r="16" spans="1:29" ht="15.75" hidden="1" thickBot="1">
      <c r="A16" s="3526"/>
      <c r="B16" s="3527">
        <v>111</v>
      </c>
      <c r="C16" s="3528"/>
      <c r="D16" s="3529">
        <v>100</v>
      </c>
      <c r="E16" s="3521"/>
      <c r="F16" s="3529">
        <f>SUMIF(83:83,E16,84:84)-SUMIF(83:83,C16,84:84)+100</f>
        <v>100</v>
      </c>
      <c r="G16" s="3522"/>
      <c r="H16" s="3529">
        <f>SUMIF(83:83,G16,84:84)-SUMIF(83:83,C16,84:84)+100</f>
        <v>100</v>
      </c>
      <c r="I16" s="3521"/>
      <c r="J16" s="3529">
        <f>SUMIF(83:83,I16,84:84)-SUMIF(83:83,C16,84:84)+100</f>
        <v>100</v>
      </c>
      <c r="K16" s="3507"/>
      <c r="L16" s="3525"/>
      <c r="M16" s="3473"/>
      <c r="N16" s="3473"/>
      <c r="O16" s="3517"/>
      <c r="P16" s="4010"/>
      <c r="Q16" s="3503">
        <f t="shared" si="6"/>
        <v>111</v>
      </c>
      <c r="R16" s="3490" t="s">
        <v>8</v>
      </c>
      <c r="S16" s="3491">
        <f t="shared" si="0"/>
        <v>100</v>
      </c>
      <c r="T16" s="3490" t="s">
        <v>8</v>
      </c>
      <c r="U16" s="3491">
        <f t="shared" si="1"/>
        <v>100</v>
      </c>
      <c r="V16" s="3490" t="s">
        <v>8</v>
      </c>
      <c r="W16" s="3491">
        <f t="shared" si="2"/>
        <v>100</v>
      </c>
      <c r="X16" s="3492"/>
      <c r="Y16" s="4022"/>
      <c r="Z16" s="3493">
        <f t="shared" si="7"/>
        <v>111</v>
      </c>
      <c r="AA16" s="3493">
        <f t="shared" si="3"/>
        <v>1</v>
      </c>
      <c r="AB16" s="3493">
        <f t="shared" si="4"/>
        <v>1</v>
      </c>
      <c r="AC16" s="3493">
        <f t="shared" si="5"/>
        <v>1</v>
      </c>
    </row>
    <row r="17" spans="1:29" ht="171">
      <c r="A17" s="3530" t="s">
        <v>3197</v>
      </c>
      <c r="B17" s="3531" t="s">
        <v>575</v>
      </c>
      <c r="C17" s="3532" t="str">
        <f>估价对象房地状况!G15</f>
        <v>估价对象现状周边以产业用地为主，邻近周边有乐铁设备(北京)有限公司、综合信兴物流(南法信卫生院东北)、安博北京首都机场第二物流中心等，物流企业较多，产业集聚程度较好。</v>
      </c>
      <c r="D17" s="3533">
        <v>100</v>
      </c>
      <c r="E17" s="3534"/>
      <c r="F17" s="3533">
        <f>SUMIF(85:85,E18,86:86)-SUMIF(85:85,C18,86:86)+100</f>
        <v>99.5</v>
      </c>
      <c r="G17" s="3534"/>
      <c r="H17" s="3533">
        <f>SUMIF(85:85,G18,86:86)-SUMIF(85:85,C18,86:86)+100</f>
        <v>99.5</v>
      </c>
      <c r="I17" s="3535"/>
      <c r="J17" s="3533">
        <f>SUMIF(85:85,I18,86:86)-SUMIF(85:85,C18,86:86)+100</f>
        <v>99.5</v>
      </c>
      <c r="K17" s="3515">
        <v>0.5</v>
      </c>
      <c r="L17" s="3525"/>
      <c r="M17" s="3473"/>
      <c r="N17" s="3473"/>
      <c r="O17" s="3517"/>
      <c r="P17" s="4012" t="s">
        <v>518</v>
      </c>
      <c r="Q17" s="3536" t="str">
        <f t="shared" si="6"/>
        <v>产业集聚程度</v>
      </c>
      <c r="R17" s="3537" t="s">
        <v>8</v>
      </c>
      <c r="S17" s="3538">
        <f t="shared" si="0"/>
        <v>99.5</v>
      </c>
      <c r="T17" s="3537" t="s">
        <v>8</v>
      </c>
      <c r="U17" s="3538">
        <f t="shared" si="1"/>
        <v>99.5</v>
      </c>
      <c r="V17" s="3537" t="s">
        <v>8</v>
      </c>
      <c r="W17" s="3538">
        <f t="shared" si="2"/>
        <v>99.5</v>
      </c>
      <c r="X17" s="3474"/>
      <c r="Y17" s="4012" t="s">
        <v>518</v>
      </c>
      <c r="Z17" s="3539" t="str">
        <f t="shared" si="7"/>
        <v>产业集聚程度</v>
      </c>
      <c r="AA17" s="3539">
        <f t="shared" si="3"/>
        <v>1.0050251256281406</v>
      </c>
      <c r="AB17" s="3539">
        <f t="shared" si="4"/>
        <v>1.0050251256281406</v>
      </c>
      <c r="AC17" s="3539">
        <f t="shared" si="5"/>
        <v>1.0050251256281406</v>
      </c>
    </row>
    <row r="18" spans="1:29" ht="15">
      <c r="A18" s="3540"/>
      <c r="B18" s="3541"/>
      <c r="C18" s="3542" t="s">
        <v>3198</v>
      </c>
      <c r="D18" s="3543"/>
      <c r="E18" s="3544" t="s">
        <v>3199</v>
      </c>
      <c r="F18" s="3543"/>
      <c r="G18" s="3544" t="s">
        <v>3199</v>
      </c>
      <c r="H18" s="3545"/>
      <c r="I18" s="3544" t="s">
        <v>3199</v>
      </c>
      <c r="J18" s="3543"/>
      <c r="K18" s="3507"/>
      <c r="L18" s="3525"/>
      <c r="M18" s="3473"/>
      <c r="N18" s="3473"/>
      <c r="O18" s="3517"/>
      <c r="P18" s="4013"/>
      <c r="Q18" s="3536"/>
      <c r="R18" s="3537"/>
      <c r="S18" s="3538"/>
      <c r="T18" s="3537"/>
      <c r="U18" s="3538"/>
      <c r="V18" s="3537"/>
      <c r="W18" s="3538"/>
      <c r="X18" s="3474"/>
      <c r="Y18" s="4013"/>
      <c r="Z18" s="3539"/>
      <c r="AA18" s="3539">
        <v>1</v>
      </c>
      <c r="AB18" s="3539">
        <v>1</v>
      </c>
      <c r="AC18" s="3539">
        <v>1</v>
      </c>
    </row>
    <row r="19" spans="1:29" ht="156.75">
      <c r="A19" s="3540"/>
      <c r="B19" s="3546" t="s">
        <v>563</v>
      </c>
      <c r="C19" s="3547" t="str">
        <f>估价对象房地状况!G16</f>
        <v>估价对象周边有顺2路、顺27路、顺28路、顺38路、顺43路、顺59路、顺60路等多条公交线路，距地铁15号线（南法信站）约500米，综合评价交通便捷度较好</v>
      </c>
      <c r="D19" s="3545">
        <v>100</v>
      </c>
      <c r="E19" s="3548"/>
      <c r="F19" s="3549">
        <f>SUMIF(87:87,E20,88:88)-SUMIF(87:87,C20,88:88)+100</f>
        <v>100</v>
      </c>
      <c r="G19" s="3548"/>
      <c r="H19" s="3549">
        <f>SUMIF(87:87,G20,88:88)-SUMIF(87:87,C20,88:88)+100</f>
        <v>99.5</v>
      </c>
      <c r="I19" s="3550"/>
      <c r="J19" s="3545">
        <f>SUMIF(87:87,I20,88:88)-SUMIF(87:87,C20,88:88)+100</f>
        <v>99.5</v>
      </c>
      <c r="K19" s="3515">
        <v>0.5</v>
      </c>
      <c r="L19" s="3525"/>
      <c r="M19" s="3473"/>
      <c r="N19" s="3473"/>
      <c r="O19" s="3517"/>
      <c r="P19" s="4013"/>
      <c r="Q19" s="3536" t="str">
        <f>B19</f>
        <v>交通便捷度</v>
      </c>
      <c r="R19" s="3537" t="s">
        <v>8</v>
      </c>
      <c r="S19" s="3538">
        <f>F19</f>
        <v>100</v>
      </c>
      <c r="T19" s="3537" t="s">
        <v>8</v>
      </c>
      <c r="U19" s="3538">
        <f>H19</f>
        <v>99.5</v>
      </c>
      <c r="V19" s="3537" t="s">
        <v>8</v>
      </c>
      <c r="W19" s="3538">
        <f>J19</f>
        <v>99.5</v>
      </c>
      <c r="X19" s="3474"/>
      <c r="Y19" s="4013"/>
      <c r="Z19" s="3539" t="str">
        <f>Q19</f>
        <v>交通便捷度</v>
      </c>
      <c r="AA19" s="3539">
        <f t="shared" si="3"/>
        <v>1</v>
      </c>
      <c r="AB19" s="3539">
        <f t="shared" si="4"/>
        <v>1.0050251256281406</v>
      </c>
      <c r="AC19" s="3539">
        <f t="shared" si="5"/>
        <v>1.0050251256281406</v>
      </c>
    </row>
    <row r="20" spans="1:29" ht="15">
      <c r="A20" s="3540"/>
      <c r="B20" s="3551"/>
      <c r="C20" s="3542" t="s">
        <v>3198</v>
      </c>
      <c r="D20" s="3543"/>
      <c r="E20" s="3552" t="s">
        <v>3198</v>
      </c>
      <c r="F20" s="3543"/>
      <c r="G20" s="3552" t="s">
        <v>3199</v>
      </c>
      <c r="H20" s="3543"/>
      <c r="I20" s="3553" t="s">
        <v>3199</v>
      </c>
      <c r="J20" s="3543"/>
      <c r="K20" s="3507"/>
      <c r="L20" s="3525"/>
      <c r="M20" s="3473"/>
      <c r="N20" s="3473"/>
      <c r="O20" s="3517"/>
      <c r="P20" s="4013"/>
      <c r="Q20" s="3536"/>
      <c r="R20" s="3537"/>
      <c r="S20" s="3538"/>
      <c r="T20" s="3537"/>
      <c r="U20" s="3538"/>
      <c r="V20" s="3537"/>
      <c r="W20" s="3538"/>
      <c r="X20" s="3474"/>
      <c r="Y20" s="4013"/>
      <c r="Z20" s="3539"/>
      <c r="AA20" s="3539">
        <v>1</v>
      </c>
      <c r="AB20" s="3539">
        <v>1</v>
      </c>
      <c r="AC20" s="3539">
        <v>1</v>
      </c>
    </row>
    <row r="21" spans="1:29" ht="27">
      <c r="A21" s="3476"/>
      <c r="B21" s="3546" t="s">
        <v>564</v>
      </c>
      <c r="C21" s="3547">
        <f>[3]估价对象房地状况!G17</f>
        <v>0</v>
      </c>
      <c r="D21" s="3545">
        <v>100</v>
      </c>
      <c r="E21" s="3548"/>
      <c r="F21" s="3554">
        <f>SUMIF(89:89,E22,90:90)-SUMIF(89:89,C22,90:90)+100</f>
        <v>100</v>
      </c>
      <c r="G21" s="3550"/>
      <c r="H21" s="3554">
        <f>SUMIF(89:89,G22,90:90)-SUMIF(89:89,C22,90:90)+100</f>
        <v>100</v>
      </c>
      <c r="I21" s="3550"/>
      <c r="J21" s="3554">
        <f>SUMIF(89:89,I22,90:90)-SUMIF(89:89,C22,90:90)+100</f>
        <v>100</v>
      </c>
      <c r="K21" s="3555"/>
      <c r="L21" s="3525"/>
      <c r="M21" s="3473"/>
      <c r="N21" s="3473"/>
      <c r="O21" s="3517"/>
      <c r="P21" s="4013"/>
      <c r="Q21" s="3536" t="str">
        <f t="shared" ref="Q21:Q35" si="8">B21</f>
        <v>区域土地利用方向</v>
      </c>
      <c r="R21" s="3537" t="s">
        <v>8</v>
      </c>
      <c r="S21" s="3538">
        <f>F21</f>
        <v>100</v>
      </c>
      <c r="T21" s="3537" t="s">
        <v>8</v>
      </c>
      <c r="U21" s="3538">
        <f>H21</f>
        <v>100</v>
      </c>
      <c r="V21" s="3537" t="s">
        <v>8</v>
      </c>
      <c r="W21" s="3538">
        <f>J21</f>
        <v>100</v>
      </c>
      <c r="X21" s="3474"/>
      <c r="Y21" s="4013"/>
      <c r="Z21" s="3539" t="str">
        <f>Q21</f>
        <v>区域土地利用方向</v>
      </c>
      <c r="AA21" s="3539">
        <f t="shared" si="3"/>
        <v>1</v>
      </c>
      <c r="AB21" s="3539">
        <f t="shared" si="4"/>
        <v>1</v>
      </c>
      <c r="AC21" s="3539">
        <f t="shared" si="5"/>
        <v>1</v>
      </c>
    </row>
    <row r="22" spans="1:29" ht="15">
      <c r="A22" s="3476"/>
      <c r="B22" s="3556"/>
      <c r="C22" s="3542" t="s">
        <v>3199</v>
      </c>
      <c r="D22" s="3543"/>
      <c r="E22" s="3552" t="s">
        <v>3199</v>
      </c>
      <c r="F22" s="3557"/>
      <c r="G22" s="3553" t="s">
        <v>3199</v>
      </c>
      <c r="H22" s="3557"/>
      <c r="I22" s="3553" t="s">
        <v>3199</v>
      </c>
      <c r="J22" s="3557"/>
      <c r="K22" s="3558"/>
      <c r="L22" s="3525"/>
      <c r="M22" s="3473"/>
      <c r="N22" s="3473"/>
      <c r="O22" s="3517"/>
      <c r="P22" s="4013"/>
      <c r="Q22" s="3536"/>
      <c r="R22" s="3537"/>
      <c r="S22" s="3538"/>
      <c r="T22" s="3537"/>
      <c r="U22" s="3538"/>
      <c r="V22" s="3537"/>
      <c r="W22" s="3538"/>
      <c r="X22" s="3474"/>
      <c r="Y22" s="4013"/>
      <c r="Z22" s="3539"/>
      <c r="AA22" s="3539"/>
      <c r="AB22" s="3539"/>
      <c r="AC22" s="3539"/>
    </row>
    <row r="23" spans="1:29" ht="85.5">
      <c r="A23" s="3476"/>
      <c r="B23" s="3551" t="s">
        <v>3200</v>
      </c>
      <c r="C23" s="3547" t="str">
        <f>估价对象房地状况!G18</f>
        <v>区域自然环境：小中河；人文环境：国家新闻出版广电总局研修学院；综合评价环境状况一般</v>
      </c>
      <c r="D23" s="3545">
        <v>100</v>
      </c>
      <c r="E23" s="3548"/>
      <c r="F23" s="3545">
        <f>SUMIF(91:91,E24,92:92)-SUMIF(91:91,C24,92:92)+100</f>
        <v>100</v>
      </c>
      <c r="G23" s="3548"/>
      <c r="H23" s="3545">
        <f>SUMIF(91:91,G24,92:92)-SUMIF(91:91,C24,92:92)+100</f>
        <v>100</v>
      </c>
      <c r="I23" s="3550"/>
      <c r="J23" s="3545">
        <f>SUMIF(91:91,I24,92:92)-SUMIF(91:91,C24,92:92)+100</f>
        <v>100</v>
      </c>
      <c r="K23" s="3515"/>
      <c r="L23" s="3525"/>
      <c r="M23" s="3473"/>
      <c r="N23" s="3473"/>
      <c r="O23" s="3517"/>
      <c r="P23" s="4013"/>
      <c r="Q23" s="3536" t="str">
        <f t="shared" si="8"/>
        <v>环境状况</v>
      </c>
      <c r="R23" s="3537" t="s">
        <v>8</v>
      </c>
      <c r="S23" s="3538">
        <f>F23</f>
        <v>100</v>
      </c>
      <c r="T23" s="3537" t="s">
        <v>8</v>
      </c>
      <c r="U23" s="3538">
        <f>H23</f>
        <v>100</v>
      </c>
      <c r="V23" s="3537" t="s">
        <v>8</v>
      </c>
      <c r="W23" s="3538">
        <f>J23</f>
        <v>100</v>
      </c>
      <c r="X23" s="3474"/>
      <c r="Y23" s="4013"/>
      <c r="Z23" s="3539" t="str">
        <f>Q23</f>
        <v>环境状况</v>
      </c>
      <c r="AA23" s="3539">
        <f t="shared" si="3"/>
        <v>1</v>
      </c>
      <c r="AB23" s="3539">
        <f t="shared" si="4"/>
        <v>1</v>
      </c>
      <c r="AC23" s="3539">
        <f t="shared" si="5"/>
        <v>1</v>
      </c>
    </row>
    <row r="24" spans="1:29" ht="15">
      <c r="A24" s="3476"/>
      <c r="B24" s="3556"/>
      <c r="C24" s="3542" t="s">
        <v>3199</v>
      </c>
      <c r="D24" s="3543"/>
      <c r="E24" s="3544" t="s">
        <v>3199</v>
      </c>
      <c r="F24" s="3543"/>
      <c r="G24" s="3544" t="s">
        <v>3199</v>
      </c>
      <c r="H24" s="3543"/>
      <c r="I24" s="3542" t="s">
        <v>3199</v>
      </c>
      <c r="J24" s="3543"/>
      <c r="K24" s="3507"/>
      <c r="L24" s="3525"/>
      <c r="M24" s="3473"/>
      <c r="N24" s="3473"/>
      <c r="O24" s="3517"/>
      <c r="P24" s="4013"/>
      <c r="Q24" s="3536"/>
      <c r="R24" s="3537"/>
      <c r="S24" s="3538"/>
      <c r="T24" s="3537"/>
      <c r="U24" s="3538"/>
      <c r="V24" s="3537"/>
      <c r="W24" s="3538"/>
      <c r="X24" s="3474"/>
      <c r="Y24" s="4013"/>
      <c r="Z24" s="3539"/>
      <c r="AA24" s="3539">
        <v>1</v>
      </c>
      <c r="AB24" s="3539">
        <v>1</v>
      </c>
      <c r="AC24" s="3539">
        <v>1</v>
      </c>
    </row>
    <row r="25" spans="1:29" s="3494" customFormat="1" ht="42.75">
      <c r="A25" s="3559"/>
      <c r="B25" s="3560" t="s">
        <v>2096</v>
      </c>
      <c r="C25" s="3547" t="str">
        <f>估价对象房地状况!G19</f>
        <v>估价对象所在区域公共配套设施齐备情况</v>
      </c>
      <c r="D25" s="3545">
        <v>100</v>
      </c>
      <c r="E25" s="3548"/>
      <c r="F25" s="3545">
        <f>SUMIF(93:93,E26,94:94)-SUMIF(93:93,C26,94:94)+100</f>
        <v>100</v>
      </c>
      <c r="G25" s="3548"/>
      <c r="H25" s="3545">
        <f>SUMIF(93:93,G26,94:94)-SUMIF(93:93,C26,94:94)+100</f>
        <v>100</v>
      </c>
      <c r="I25" s="3550"/>
      <c r="J25" s="3545">
        <f>SUMIF(93:93,I26,94:94)-SUMIF(93:93,C26,94:94)+100</f>
        <v>100</v>
      </c>
      <c r="K25" s="3515"/>
      <c r="L25" s="3488"/>
      <c r="M25" s="3489"/>
      <c r="N25" s="3489"/>
      <c r="O25" s="3502"/>
      <c r="P25" s="4013"/>
      <c r="Q25" s="3503" t="str">
        <f t="shared" si="8"/>
        <v>公共配套设施</v>
      </c>
      <c r="R25" s="3490" t="s">
        <v>8</v>
      </c>
      <c r="S25" s="3491">
        <f>F25</f>
        <v>100</v>
      </c>
      <c r="T25" s="3490" t="s">
        <v>8</v>
      </c>
      <c r="U25" s="3491">
        <f>H25</f>
        <v>100</v>
      </c>
      <c r="V25" s="3490" t="s">
        <v>8</v>
      </c>
      <c r="W25" s="3491">
        <f>J25</f>
        <v>100</v>
      </c>
      <c r="X25" s="3492"/>
      <c r="Y25" s="4013"/>
      <c r="Z25" s="3493" t="str">
        <f>Q25</f>
        <v>公共配套设施</v>
      </c>
      <c r="AA25" s="3539">
        <f>D25/F25</f>
        <v>1</v>
      </c>
      <c r="AB25" s="3539">
        <f>D25/H25</f>
        <v>1</v>
      </c>
      <c r="AC25" s="3539">
        <f>D25/J25</f>
        <v>1</v>
      </c>
    </row>
    <row r="26" spans="1:29" s="3494" customFormat="1" ht="15">
      <c r="A26" s="3559"/>
      <c r="B26" s="3556"/>
      <c r="C26" s="3561" t="s">
        <v>3199</v>
      </c>
      <c r="D26" s="3543"/>
      <c r="E26" s="3544" t="s">
        <v>3199</v>
      </c>
      <c r="F26" s="3543"/>
      <c r="G26" s="3544" t="s">
        <v>3199</v>
      </c>
      <c r="H26" s="3543"/>
      <c r="I26" s="3542" t="s">
        <v>3199</v>
      </c>
      <c r="J26" s="3543"/>
      <c r="K26" s="3507"/>
      <c r="L26" s="3488"/>
      <c r="M26" s="3489"/>
      <c r="N26" s="3489"/>
      <c r="O26" s="3502"/>
      <c r="P26" s="4013"/>
      <c r="Q26" s="3503"/>
      <c r="R26" s="3490"/>
      <c r="S26" s="3491"/>
      <c r="T26" s="3490"/>
      <c r="U26" s="3491"/>
      <c r="V26" s="3490"/>
      <c r="W26" s="3491"/>
      <c r="X26" s="3492"/>
      <c r="Y26" s="4013"/>
      <c r="Z26" s="3493"/>
      <c r="AA26" s="3493">
        <v>1</v>
      </c>
      <c r="AB26" s="3493">
        <v>1</v>
      </c>
      <c r="AC26" s="3493">
        <v>1</v>
      </c>
    </row>
    <row r="27" spans="1:29" s="3494" customFormat="1" ht="142.5">
      <c r="A27" s="3559"/>
      <c r="B27" s="3560" t="s">
        <v>3201</v>
      </c>
      <c r="C27" s="3547" t="str">
        <f>估价对象房地状况!G20</f>
        <v>估价对象所在区域内基础设施配套条件达到“五通”（包括通路、通电、通讯、通上水、通下水），基本能够保证工作、生产需要，基础设施配套完善度一般。</v>
      </c>
      <c r="D27" s="3545">
        <v>100</v>
      </c>
      <c r="E27" s="3548"/>
      <c r="F27" s="3545">
        <f>SUMIF(95:95,E28,96:96)-SUMIF(95:95,C28,96:96)+100</f>
        <v>100</v>
      </c>
      <c r="G27" s="3548"/>
      <c r="H27" s="3545">
        <f>SUMIF(95:95,G28,96:96)-SUMIF(95:95,C28,96:96)+100</f>
        <v>100</v>
      </c>
      <c r="I27" s="3550"/>
      <c r="J27" s="3545">
        <f>SUMIF(95:95,I28,96:96)-SUMIF(95:95,C28,96:96)+100</f>
        <v>100</v>
      </c>
      <c r="K27" s="3515">
        <v>0</v>
      </c>
      <c r="L27" s="3488"/>
      <c r="M27" s="3489"/>
      <c r="N27" s="3489"/>
      <c r="O27" s="3502"/>
      <c r="P27" s="4013"/>
      <c r="Q27" s="3503" t="str">
        <f t="shared" ref="Q27" si="9">B27</f>
        <v>基础设施水平</v>
      </c>
      <c r="R27" s="3490" t="s">
        <v>8</v>
      </c>
      <c r="S27" s="3491">
        <f>F27</f>
        <v>100</v>
      </c>
      <c r="T27" s="3490" t="s">
        <v>8</v>
      </c>
      <c r="U27" s="3491">
        <f>H27</f>
        <v>100</v>
      </c>
      <c r="V27" s="3490" t="s">
        <v>8</v>
      </c>
      <c r="W27" s="3491">
        <f>J27</f>
        <v>100</v>
      </c>
      <c r="X27" s="3492"/>
      <c r="Y27" s="4013"/>
      <c r="Z27" s="3493" t="str">
        <f>Q27</f>
        <v>基础设施水平</v>
      </c>
      <c r="AA27" s="3539">
        <f>D27/F27</f>
        <v>1</v>
      </c>
      <c r="AB27" s="3539">
        <f>D27/H27</f>
        <v>1</v>
      </c>
      <c r="AC27" s="3539">
        <f>D27/J27</f>
        <v>1</v>
      </c>
    </row>
    <row r="28" spans="1:29" s="3494" customFormat="1" ht="15">
      <c r="A28" s="3559"/>
      <c r="B28" s="3556"/>
      <c r="C28" s="3561" t="s">
        <v>3202</v>
      </c>
      <c r="D28" s="3543"/>
      <c r="E28" s="3562" t="s">
        <v>3202</v>
      </c>
      <c r="F28" s="3543"/>
      <c r="G28" s="3562" t="s">
        <v>3202</v>
      </c>
      <c r="H28" s="3543"/>
      <c r="I28" s="3562" t="s">
        <v>3202</v>
      </c>
      <c r="J28" s="3543"/>
      <c r="K28" s="3507"/>
      <c r="L28" s="3488"/>
      <c r="M28" s="3489"/>
      <c r="N28" s="3489"/>
      <c r="O28" s="3502"/>
      <c r="P28" s="4013"/>
      <c r="Q28" s="3503"/>
      <c r="R28" s="3490"/>
      <c r="S28" s="3491"/>
      <c r="T28" s="3490"/>
      <c r="U28" s="3491"/>
      <c r="V28" s="3490"/>
      <c r="W28" s="3491"/>
      <c r="X28" s="3492"/>
      <c r="Y28" s="4013"/>
      <c r="Z28" s="3493"/>
      <c r="AA28" s="3493">
        <v>1</v>
      </c>
      <c r="AB28" s="3493">
        <v>1</v>
      </c>
      <c r="AC28" s="3493">
        <v>1</v>
      </c>
    </row>
    <row r="29" spans="1:29" ht="15" hidden="1">
      <c r="A29" s="3540"/>
      <c r="B29" s="3556" t="s">
        <v>744</v>
      </c>
      <c r="C29" s="3563"/>
      <c r="D29" s="3524">
        <v>100</v>
      </c>
      <c r="E29" s="3564"/>
      <c r="F29" s="3524">
        <f>SUMIF(97:97,E29,98:98)-SUMIF(97:97,C29,98:98)+100</f>
        <v>100</v>
      </c>
      <c r="G29" s="3564"/>
      <c r="H29" s="3524">
        <f>SUMIF(97:97,G29,98:98)-SUMIF(97:97,C29,98:98)+100</f>
        <v>100</v>
      </c>
      <c r="I29" s="3564"/>
      <c r="J29" s="3524">
        <f>SUMIF(97:97,I29,98:98)-SUMIF(97:97,C29,98:98)+100</f>
        <v>100</v>
      </c>
      <c r="K29" s="3515"/>
      <c r="L29" s="3525"/>
      <c r="M29" s="3473"/>
      <c r="N29" s="3473"/>
      <c r="O29" s="3517"/>
      <c r="P29" s="4013"/>
      <c r="Q29" s="3536" t="str">
        <f t="shared" si="8"/>
        <v>临街状况</v>
      </c>
      <c r="R29" s="3537" t="s">
        <v>8</v>
      </c>
      <c r="S29" s="3538">
        <f t="shared" ref="S29:S42" si="10">F29</f>
        <v>100</v>
      </c>
      <c r="T29" s="3537" t="s">
        <v>8</v>
      </c>
      <c r="U29" s="3538">
        <f t="shared" ref="U29:U42" si="11">H29</f>
        <v>100</v>
      </c>
      <c r="V29" s="3537" t="s">
        <v>8</v>
      </c>
      <c r="W29" s="3538">
        <f t="shared" ref="W29:W42" si="12">J29</f>
        <v>100</v>
      </c>
      <c r="X29" s="3474"/>
      <c r="Y29" s="4013"/>
      <c r="Z29" s="3539" t="str">
        <f t="shared" ref="Z29:Z42" si="13">Q29</f>
        <v>临街状况</v>
      </c>
      <c r="AA29" s="3539">
        <f t="shared" si="3"/>
        <v>1</v>
      </c>
      <c r="AB29" s="3539">
        <f t="shared" si="4"/>
        <v>1</v>
      </c>
      <c r="AC29" s="3539">
        <f t="shared" si="5"/>
        <v>1</v>
      </c>
    </row>
    <row r="30" spans="1:29" ht="27" hidden="1">
      <c r="A30" s="3540"/>
      <c r="B30" s="3551" t="s">
        <v>758</v>
      </c>
      <c r="C30" s="3565">
        <f>[3]估价对象房地状况!G22</f>
        <v>0</v>
      </c>
      <c r="D30" s="3545">
        <v>100</v>
      </c>
      <c r="E30" s="3548"/>
      <c r="F30" s="3545">
        <f>SUMIF(99:99,E31,100:100)-SUMIF(99:99,C31,100:100)+100</f>
        <v>100</v>
      </c>
      <c r="G30" s="3548"/>
      <c r="H30" s="3545">
        <f>SUMIF(99:99,G31,100:100)-SUMIF(99:99,C31,100:100)+100</f>
        <v>100</v>
      </c>
      <c r="I30" s="3550"/>
      <c r="J30" s="3545">
        <f>SUMIF(99:99,I31,100:100)-SUMIF(99:99,C31,100:100)+100</f>
        <v>100</v>
      </c>
      <c r="K30" s="3515"/>
      <c r="L30" s="3525"/>
      <c r="M30" s="3473"/>
      <c r="N30" s="3473"/>
      <c r="O30" s="3517"/>
      <c r="P30" s="4013"/>
      <c r="Q30" s="3536" t="str">
        <f t="shared" si="8"/>
        <v>毗邻道路的类型与等级</v>
      </c>
      <c r="R30" s="3537" t="s">
        <v>8</v>
      </c>
      <c r="S30" s="3538">
        <f t="shared" si="10"/>
        <v>100</v>
      </c>
      <c r="T30" s="3537" t="s">
        <v>8</v>
      </c>
      <c r="U30" s="3538">
        <f t="shared" si="11"/>
        <v>100</v>
      </c>
      <c r="V30" s="3537" t="s">
        <v>8</v>
      </c>
      <c r="W30" s="3538">
        <f t="shared" si="12"/>
        <v>100</v>
      </c>
      <c r="X30" s="3474"/>
      <c r="Y30" s="4013"/>
      <c r="Z30" s="3539" t="str">
        <f t="shared" si="13"/>
        <v>毗邻道路的类型与等级</v>
      </c>
      <c r="AA30" s="3539">
        <f t="shared" si="3"/>
        <v>1</v>
      </c>
      <c r="AB30" s="3539">
        <f t="shared" si="4"/>
        <v>1</v>
      </c>
      <c r="AC30" s="3539">
        <f t="shared" si="5"/>
        <v>1</v>
      </c>
    </row>
    <row r="31" spans="1:29" ht="15" hidden="1">
      <c r="A31" s="3540"/>
      <c r="B31" s="3556"/>
      <c r="C31" s="3542"/>
      <c r="D31" s="3543"/>
      <c r="E31" s="3542"/>
      <c r="F31" s="3543"/>
      <c r="G31" s="3542"/>
      <c r="H31" s="3543"/>
      <c r="I31" s="3542"/>
      <c r="J31" s="3543"/>
      <c r="K31" s="3566"/>
      <c r="L31" s="3525"/>
      <c r="M31" s="3473"/>
      <c r="N31" s="3473"/>
      <c r="O31" s="3517"/>
      <c r="P31" s="4013"/>
      <c r="Q31" s="3536"/>
      <c r="R31" s="3537"/>
      <c r="S31" s="3538"/>
      <c r="T31" s="3537"/>
      <c r="U31" s="3538"/>
      <c r="V31" s="3537"/>
      <c r="W31" s="3538"/>
      <c r="X31" s="3474"/>
      <c r="Y31" s="4013"/>
      <c r="Z31" s="3539"/>
      <c r="AA31" s="3539">
        <v>1</v>
      </c>
      <c r="AB31" s="3539">
        <v>1</v>
      </c>
      <c r="AC31" s="3539">
        <v>1</v>
      </c>
    </row>
    <row r="32" spans="1:29" ht="15.75" thickBot="1">
      <c r="A32" s="3540"/>
      <c r="B32" s="3567" t="s">
        <v>3203</v>
      </c>
      <c r="C32" s="3568" t="str">
        <f>[3]估价对象房地状况!G23</f>
        <v>七级</v>
      </c>
      <c r="D32" s="3524">
        <v>100</v>
      </c>
      <c r="E32" s="3564" t="s">
        <v>1381</v>
      </c>
      <c r="F32" s="3524">
        <f>SUMIF(101:101,E32,102:102)-SUMIF(101:101,C32,102:102)+100</f>
        <v>100</v>
      </c>
      <c r="G32" s="3564" t="s">
        <v>1385</v>
      </c>
      <c r="H32" s="3524">
        <f>SUMIF(101:101,G32,102:102)-SUMIF(101:101,C32,102:102)+100</f>
        <v>99</v>
      </c>
      <c r="I32" s="3564" t="s">
        <v>1385</v>
      </c>
      <c r="J32" s="3524">
        <f>SUMIF(101:101,I32,102:102)-SUMIF(101:101,C32,102:102)+100</f>
        <v>99</v>
      </c>
      <c r="K32" s="3569">
        <v>0.5</v>
      </c>
      <c r="L32" s="3525"/>
      <c r="M32" s="3473"/>
      <c r="N32" s="3473"/>
      <c r="O32" s="3517"/>
      <c r="P32" s="4013"/>
      <c r="Q32" s="3536" t="str">
        <f t="shared" si="8"/>
        <v>土地级别</v>
      </c>
      <c r="R32" s="3537" t="s">
        <v>8</v>
      </c>
      <c r="S32" s="3538">
        <f t="shared" si="10"/>
        <v>100</v>
      </c>
      <c r="T32" s="3537" t="s">
        <v>8</v>
      </c>
      <c r="U32" s="3538">
        <f t="shared" si="11"/>
        <v>99</v>
      </c>
      <c r="V32" s="3537" t="s">
        <v>8</v>
      </c>
      <c r="W32" s="3538">
        <f t="shared" si="12"/>
        <v>99</v>
      </c>
      <c r="X32" s="3474"/>
      <c r="Y32" s="4013"/>
      <c r="Z32" s="3539" t="str">
        <f t="shared" si="13"/>
        <v>土地级别</v>
      </c>
      <c r="AA32" s="3539">
        <f t="shared" si="3"/>
        <v>1</v>
      </c>
      <c r="AB32" s="3539">
        <f t="shared" si="4"/>
        <v>1.0101010101010102</v>
      </c>
      <c r="AC32" s="3539">
        <f t="shared" si="5"/>
        <v>1.0101010101010102</v>
      </c>
    </row>
    <row r="33" spans="1:29" ht="15.75" hidden="1" thickBot="1">
      <c r="A33" s="3476"/>
      <c r="B33" s="3570">
        <v>111</v>
      </c>
      <c r="C33" s="3522"/>
      <c r="D33" s="3524">
        <v>100</v>
      </c>
      <c r="E33" s="3571"/>
      <c r="F33" s="3524">
        <f>SUMIF(103:103,E33,104:104)-SUMIF(103:103,C33,104:104)+100</f>
        <v>100</v>
      </c>
      <c r="G33" s="3571"/>
      <c r="H33" s="3524">
        <f>SUMIF(103:103,G33,104:104)-SUMIF(103:103,C33,104:104)+100</f>
        <v>100</v>
      </c>
      <c r="I33" s="3521"/>
      <c r="J33" s="3524">
        <f>SUMIF(103:103,I33,104:104)-SUMIF(103:103,C33,104:104)+100</f>
        <v>100</v>
      </c>
      <c r="K33" s="3566"/>
      <c r="L33" s="3525"/>
      <c r="M33" s="3473"/>
      <c r="N33" s="3473"/>
      <c r="O33" s="3517"/>
      <c r="P33" s="4013"/>
      <c r="Q33" s="3536">
        <f t="shared" si="8"/>
        <v>111</v>
      </c>
      <c r="R33" s="3537" t="s">
        <v>8</v>
      </c>
      <c r="S33" s="3538">
        <f t="shared" si="10"/>
        <v>100</v>
      </c>
      <c r="T33" s="3537" t="s">
        <v>8</v>
      </c>
      <c r="U33" s="3538">
        <f t="shared" si="11"/>
        <v>100</v>
      </c>
      <c r="V33" s="3537" t="s">
        <v>8</v>
      </c>
      <c r="W33" s="3538">
        <f t="shared" si="12"/>
        <v>100</v>
      </c>
      <c r="X33" s="3474"/>
      <c r="Y33" s="4013"/>
      <c r="Z33" s="3539">
        <f t="shared" si="13"/>
        <v>111</v>
      </c>
      <c r="AA33" s="3539">
        <f t="shared" si="3"/>
        <v>1</v>
      </c>
      <c r="AB33" s="3539">
        <f t="shared" si="4"/>
        <v>1</v>
      </c>
      <c r="AC33" s="3539">
        <f t="shared" si="5"/>
        <v>1</v>
      </c>
    </row>
    <row r="34" spans="1:29" ht="15.75" hidden="1" thickBot="1">
      <c r="A34" s="3572"/>
      <c r="B34" s="3573">
        <v>111</v>
      </c>
      <c r="C34" s="3522"/>
      <c r="D34" s="3524">
        <v>100</v>
      </c>
      <c r="E34" s="3571"/>
      <c r="F34" s="3524">
        <f>SUMIF(105:105,E35,106:106)-SUMIF(105:105,C35,106:106)+100</f>
        <v>100</v>
      </c>
      <c r="G34" s="3571"/>
      <c r="H34" s="3524">
        <f>SUMIF(105:105,G34,106:106)-SUMIF(105:105,C34,106:106)+100</f>
        <v>100</v>
      </c>
      <c r="I34" s="3522"/>
      <c r="J34" s="3524">
        <f>SUMIF(105:105,I34,106:106)-SUMIF(105:105,C34,106:106)+100</f>
        <v>100</v>
      </c>
      <c r="K34" s="3566"/>
      <c r="L34" s="3525"/>
      <c r="M34" s="3473"/>
      <c r="N34" s="3473"/>
      <c r="O34" s="3517"/>
      <c r="P34" s="4017" t="s">
        <v>528</v>
      </c>
      <c r="Q34" s="3536">
        <f t="shared" si="8"/>
        <v>111</v>
      </c>
      <c r="R34" s="3537" t="s">
        <v>8</v>
      </c>
      <c r="S34" s="3538">
        <f t="shared" si="10"/>
        <v>100</v>
      </c>
      <c r="T34" s="3537" t="s">
        <v>8</v>
      </c>
      <c r="U34" s="3538">
        <f t="shared" si="11"/>
        <v>100</v>
      </c>
      <c r="V34" s="3537" t="s">
        <v>8</v>
      </c>
      <c r="W34" s="3538">
        <f t="shared" si="12"/>
        <v>100</v>
      </c>
      <c r="X34" s="3474"/>
      <c r="Y34" s="4018" t="s">
        <v>528</v>
      </c>
      <c r="Z34" s="3539">
        <f t="shared" si="13"/>
        <v>111</v>
      </c>
      <c r="AA34" s="3539">
        <f t="shared" si="3"/>
        <v>1</v>
      </c>
      <c r="AB34" s="3539">
        <f t="shared" si="4"/>
        <v>1</v>
      </c>
      <c r="AC34" s="3539">
        <f t="shared" si="5"/>
        <v>1</v>
      </c>
    </row>
    <row r="35" spans="1:29" s="3585" customFormat="1" ht="15.75" hidden="1" thickBot="1">
      <c r="A35" s="3574"/>
      <c r="B35" s="3575">
        <v>111</v>
      </c>
      <c r="C35" s="3576"/>
      <c r="D35" s="3577">
        <v>100</v>
      </c>
      <c r="E35" s="3578"/>
      <c r="F35" s="3529">
        <f>SUMIF(107:107,E35,108:108)-SUMIF(107:107,C35,108:108)+100</f>
        <v>100</v>
      </c>
      <c r="G35" s="3578"/>
      <c r="H35" s="3529">
        <f>SUMIF(107:107,G35,108:108)-SUMIF(107:107,C35,108:108)+100</f>
        <v>100</v>
      </c>
      <c r="I35" s="3576"/>
      <c r="J35" s="3529">
        <f>SUMIF(107:107,I35,108:108)-SUMIF(107:107,C35,108:108)+100</f>
        <v>100</v>
      </c>
      <c r="K35" s="3566"/>
      <c r="L35" s="3516"/>
      <c r="M35" s="3579"/>
      <c r="N35" s="3579"/>
      <c r="O35" s="3580"/>
      <c r="P35" s="4018"/>
      <c r="Q35" s="3536">
        <f t="shared" si="8"/>
        <v>111</v>
      </c>
      <c r="R35" s="3581" t="s">
        <v>8</v>
      </c>
      <c r="S35" s="3582">
        <f t="shared" si="10"/>
        <v>100</v>
      </c>
      <c r="T35" s="3581" t="s">
        <v>8</v>
      </c>
      <c r="U35" s="3582">
        <f t="shared" si="11"/>
        <v>100</v>
      </c>
      <c r="V35" s="3581" t="s">
        <v>8</v>
      </c>
      <c r="W35" s="3582">
        <f t="shared" si="12"/>
        <v>100</v>
      </c>
      <c r="X35" s="3583"/>
      <c r="Y35" s="4018"/>
      <c r="Z35" s="3584">
        <f t="shared" si="13"/>
        <v>111</v>
      </c>
      <c r="AA35" s="3539">
        <f t="shared" si="3"/>
        <v>1</v>
      </c>
      <c r="AB35" s="3539">
        <f t="shared" si="4"/>
        <v>1</v>
      </c>
      <c r="AC35" s="3539">
        <f t="shared" si="5"/>
        <v>1</v>
      </c>
    </row>
    <row r="36" spans="1:29" ht="15">
      <c r="A36" s="3586" t="s">
        <v>3204</v>
      </c>
      <c r="B36" s="3556" t="s">
        <v>570</v>
      </c>
      <c r="C36" s="3587">
        <f>'数据-基础表'!A3</f>
        <v>27531</v>
      </c>
      <c r="D36" s="3588">
        <v>100</v>
      </c>
      <c r="E36" s="3587">
        <f>[3]土地案例!K24*10000</f>
        <v>742500</v>
      </c>
      <c r="F36" s="3588">
        <f>LOOKUP(E36,110:110,111:111)-LOOKUP(C36,110:110,111:111)+100</f>
        <v>99</v>
      </c>
      <c r="G36" s="3587">
        <f>[3]土地案例!K29*10000</f>
        <v>1133200</v>
      </c>
      <c r="H36" s="3588">
        <f>LOOKUP(G36,110:110,111:111)-LOOKUP(C36,110:110,111:111)+100</f>
        <v>98</v>
      </c>
      <c r="I36" s="3589">
        <v>147600</v>
      </c>
      <c r="J36" s="3588">
        <f>LOOKUP(I36,110:110,111:111)-LOOKUP(C36,110:110,111:111)+100</f>
        <v>100</v>
      </c>
      <c r="K36" s="3566"/>
      <c r="L36" s="3525"/>
      <c r="M36" s="3473"/>
      <c r="N36" s="3473"/>
      <c r="O36" s="3517"/>
      <c r="P36" s="4018"/>
      <c r="Q36" s="3536" t="str">
        <f>B36</f>
        <v>宗地面积</v>
      </c>
      <c r="R36" s="3537" t="s">
        <v>8</v>
      </c>
      <c r="S36" s="3538">
        <f t="shared" si="10"/>
        <v>99</v>
      </c>
      <c r="T36" s="3537" t="s">
        <v>8</v>
      </c>
      <c r="U36" s="3538">
        <f t="shared" si="11"/>
        <v>98</v>
      </c>
      <c r="V36" s="3537" t="s">
        <v>8</v>
      </c>
      <c r="W36" s="3538">
        <f t="shared" si="12"/>
        <v>100</v>
      </c>
      <c r="X36" s="3474"/>
      <c r="Y36" s="4018"/>
      <c r="Z36" s="3539" t="str">
        <f t="shared" si="13"/>
        <v>宗地面积</v>
      </c>
      <c r="AA36" s="3539">
        <f t="shared" si="3"/>
        <v>1.0101010101010102</v>
      </c>
      <c r="AB36" s="3539">
        <f t="shared" si="4"/>
        <v>1.0204081632653061</v>
      </c>
      <c r="AC36" s="3539">
        <f t="shared" si="5"/>
        <v>1</v>
      </c>
    </row>
    <row r="37" spans="1:29" ht="15">
      <c r="A37" s="3590"/>
      <c r="B37" s="3567" t="s">
        <v>571</v>
      </c>
      <c r="C37" s="3591" t="s">
        <v>3205</v>
      </c>
      <c r="D37" s="3524">
        <v>100</v>
      </c>
      <c r="E37" s="3591" t="s">
        <v>3205</v>
      </c>
      <c r="F37" s="3524">
        <f>SUMIF(112:112,E37,113:113)-SUMIF(112:112,C37,113:113)+100</f>
        <v>100</v>
      </c>
      <c r="G37" s="3591" t="s">
        <v>3205</v>
      </c>
      <c r="H37" s="3524">
        <f>SUMIF(112:112,G37,113:113)-SUMIF(112:112,C37,113:113)+100</f>
        <v>100</v>
      </c>
      <c r="I37" s="3591" t="s">
        <v>3205</v>
      </c>
      <c r="J37" s="3524">
        <f>SUMIF(112:112,I37,113:113)-SUMIF(112:112,C37,113:113)+100</f>
        <v>100</v>
      </c>
      <c r="K37" s="3569"/>
      <c r="L37" s="3525"/>
      <c r="M37" s="3473"/>
      <c r="N37" s="3473"/>
      <c r="O37" s="3517"/>
      <c r="P37" s="4018"/>
      <c r="Q37" s="3536" t="str">
        <f t="shared" ref="Q37:Q42" si="14">B37</f>
        <v>宗地形状</v>
      </c>
      <c r="R37" s="3537" t="s">
        <v>8</v>
      </c>
      <c r="S37" s="3538">
        <f t="shared" si="10"/>
        <v>100</v>
      </c>
      <c r="T37" s="3537" t="s">
        <v>8</v>
      </c>
      <c r="U37" s="3538">
        <f t="shared" si="11"/>
        <v>100</v>
      </c>
      <c r="V37" s="3537" t="s">
        <v>8</v>
      </c>
      <c r="W37" s="3538">
        <f t="shared" si="12"/>
        <v>100</v>
      </c>
      <c r="X37" s="3474"/>
      <c r="Y37" s="4018"/>
      <c r="Z37" s="3539" t="str">
        <f t="shared" si="13"/>
        <v>宗地形状</v>
      </c>
      <c r="AA37" s="3539">
        <f t="shared" si="3"/>
        <v>1</v>
      </c>
      <c r="AB37" s="3539">
        <f t="shared" si="4"/>
        <v>1</v>
      </c>
      <c r="AC37" s="3539">
        <f t="shared" si="5"/>
        <v>1</v>
      </c>
    </row>
    <row r="38" spans="1:29" s="3494" customFormat="1" ht="15">
      <c r="A38" s="3592"/>
      <c r="B38" s="3593" t="s">
        <v>2201</v>
      </c>
      <c r="C38" s="3594" t="s">
        <v>3206</v>
      </c>
      <c r="D38" s="3506">
        <v>100</v>
      </c>
      <c r="E38" s="3594" t="s">
        <v>3202</v>
      </c>
      <c r="F38" s="3524">
        <f>SUMIF(114:114,E38,115:115)-SUMIF(114:114,C38,115:115)+100</f>
        <v>99</v>
      </c>
      <c r="G38" s="3594" t="s">
        <v>3206</v>
      </c>
      <c r="H38" s="3524">
        <f>SUMIF(114:114,G38,115:115)-SUMIF(114:114,C38,115:115)+100</f>
        <v>100</v>
      </c>
      <c r="I38" s="3594" t="s">
        <v>3202</v>
      </c>
      <c r="J38" s="3524">
        <f>SUMIF(114:114,I38,115:115)-SUMIF(114:114,C38,115:115)+100</f>
        <v>99</v>
      </c>
      <c r="K38" s="3569">
        <v>1</v>
      </c>
      <c r="L38" s="3488"/>
      <c r="M38" s="3489"/>
      <c r="N38" s="3489"/>
      <c r="O38" s="3502"/>
      <c r="P38" s="4018"/>
      <c r="Q38" s="3536" t="str">
        <f t="shared" si="14"/>
        <v>宗地开发程度</v>
      </c>
      <c r="R38" s="3490" t="s">
        <v>8</v>
      </c>
      <c r="S38" s="3491">
        <f t="shared" si="10"/>
        <v>99</v>
      </c>
      <c r="T38" s="3490" t="s">
        <v>8</v>
      </c>
      <c r="U38" s="3491">
        <f t="shared" si="11"/>
        <v>100</v>
      </c>
      <c r="V38" s="3490" t="s">
        <v>8</v>
      </c>
      <c r="W38" s="3491">
        <f t="shared" si="12"/>
        <v>99</v>
      </c>
      <c r="X38" s="3492"/>
      <c r="Y38" s="4018"/>
      <c r="Z38" s="3493" t="str">
        <f t="shared" si="13"/>
        <v>宗地开发程度</v>
      </c>
      <c r="AA38" s="3493">
        <f t="shared" si="3"/>
        <v>1.0101010101010102</v>
      </c>
      <c r="AB38" s="3493">
        <f t="shared" si="4"/>
        <v>1</v>
      </c>
      <c r="AC38" s="3493">
        <f t="shared" si="5"/>
        <v>1.0101010101010102</v>
      </c>
    </row>
    <row r="39" spans="1:29" ht="15.75" thickBot="1">
      <c r="A39" s="3590"/>
      <c r="B39" s="3567" t="s">
        <v>573</v>
      </c>
      <c r="C39" s="3591" t="s">
        <v>3198</v>
      </c>
      <c r="D39" s="3524">
        <v>100</v>
      </c>
      <c r="E39" s="3591" t="s">
        <v>3198</v>
      </c>
      <c r="F39" s="3524">
        <f>SUMIF(116:116,E39,117:117)-SUMIF(116:116,C39,117:117)+100</f>
        <v>100</v>
      </c>
      <c r="G39" s="3591" t="s">
        <v>3198</v>
      </c>
      <c r="H39" s="3524">
        <f>SUMIF(116:116,G39,117:117)-SUMIF(116:116,C39,117:117)+100</f>
        <v>100</v>
      </c>
      <c r="I39" s="3591" t="s">
        <v>3198</v>
      </c>
      <c r="J39" s="3524">
        <f>SUMIF(116:116,I39,117:117)-SUMIF(116:116,C39,117:117)+100</f>
        <v>100</v>
      </c>
      <c r="K39" s="3569"/>
      <c r="L39" s="3525"/>
      <c r="M39" s="3473"/>
      <c r="N39" s="3473"/>
      <c r="O39" s="3517"/>
      <c r="P39" s="4018" t="s">
        <v>528</v>
      </c>
      <c r="Q39" s="3536" t="str">
        <f t="shared" si="14"/>
        <v>工程地质条件</v>
      </c>
      <c r="R39" s="3537" t="s">
        <v>8</v>
      </c>
      <c r="S39" s="3538">
        <f t="shared" si="10"/>
        <v>100</v>
      </c>
      <c r="T39" s="3537" t="s">
        <v>8</v>
      </c>
      <c r="U39" s="3538">
        <f t="shared" si="11"/>
        <v>100</v>
      </c>
      <c r="V39" s="3537" t="s">
        <v>8</v>
      </c>
      <c r="W39" s="3538">
        <f t="shared" si="12"/>
        <v>100</v>
      </c>
      <c r="X39" s="3474"/>
      <c r="Y39" s="4018" t="s">
        <v>528</v>
      </c>
      <c r="Z39" s="3539" t="str">
        <f t="shared" si="13"/>
        <v>工程地质条件</v>
      </c>
      <c r="AA39" s="3539">
        <f t="shared" si="3"/>
        <v>1</v>
      </c>
      <c r="AB39" s="3539">
        <f t="shared" si="4"/>
        <v>1</v>
      </c>
      <c r="AC39" s="3539">
        <f t="shared" si="5"/>
        <v>1</v>
      </c>
    </row>
    <row r="40" spans="1:29" ht="15.75" hidden="1" thickBot="1">
      <c r="A40" s="3590"/>
      <c r="B40" s="3573">
        <v>111</v>
      </c>
      <c r="C40" s="3522"/>
      <c r="D40" s="3524">
        <v>100</v>
      </c>
      <c r="E40" s="3522"/>
      <c r="F40" s="3524">
        <f>SUMIF(118:118,E40,119:119)-SUMIF(118:118,C40,119:119)+100</f>
        <v>100</v>
      </c>
      <c r="G40" s="3522"/>
      <c r="H40" s="3524">
        <f>SUMIF(118:118,G40,119:119)-SUMIF(118:118,C40,119:119)+100</f>
        <v>100</v>
      </c>
      <c r="I40" s="3521"/>
      <c r="J40" s="3524">
        <f>SUMIF(118:118,I40,119:119)-SUMIF(118:118,C40,119:119)+100</f>
        <v>100</v>
      </c>
      <c r="K40" s="3566"/>
      <c r="L40" s="3525"/>
      <c r="M40" s="3473"/>
      <c r="N40" s="3473"/>
      <c r="O40" s="3517"/>
      <c r="P40" s="4018"/>
      <c r="Q40" s="3536">
        <f t="shared" si="14"/>
        <v>111</v>
      </c>
      <c r="R40" s="3537" t="s">
        <v>8</v>
      </c>
      <c r="S40" s="3538">
        <f t="shared" si="10"/>
        <v>100</v>
      </c>
      <c r="T40" s="3537" t="s">
        <v>8</v>
      </c>
      <c r="U40" s="3538">
        <f t="shared" si="11"/>
        <v>100</v>
      </c>
      <c r="V40" s="3537" t="s">
        <v>8</v>
      </c>
      <c r="W40" s="3538">
        <f t="shared" si="12"/>
        <v>100</v>
      </c>
      <c r="X40" s="3474"/>
      <c r="Y40" s="4018"/>
      <c r="Z40" s="3539">
        <f t="shared" si="13"/>
        <v>111</v>
      </c>
      <c r="AA40" s="3539">
        <f t="shared" si="3"/>
        <v>1</v>
      </c>
      <c r="AB40" s="3539">
        <f t="shared" si="4"/>
        <v>1</v>
      </c>
      <c r="AC40" s="3539">
        <f t="shared" si="5"/>
        <v>1</v>
      </c>
    </row>
    <row r="41" spans="1:29" ht="15.75" hidden="1" thickBot="1">
      <c r="A41" s="3590"/>
      <c r="B41" s="3573">
        <v>111</v>
      </c>
      <c r="C41" s="3522"/>
      <c r="D41" s="3524">
        <v>100</v>
      </c>
      <c r="E41" s="3522"/>
      <c r="F41" s="3524">
        <f>SUMIF(120:120,E41,121:121)-SUMIF(120:120,C41,121:121)+100</f>
        <v>100</v>
      </c>
      <c r="G41" s="3522"/>
      <c r="H41" s="3524">
        <f>SUMIF(120:120,G41,121:121)-SUMIF(120:120,C41,121:121)+100</f>
        <v>100</v>
      </c>
      <c r="I41" s="3521"/>
      <c r="J41" s="3524">
        <f>SUMIF(120:120,I41,121:121)-SUMIF(120:120,C41,121:121)+100</f>
        <v>100</v>
      </c>
      <c r="K41" s="3566"/>
      <c r="L41" s="3525"/>
      <c r="M41" s="3473"/>
      <c r="N41" s="3473"/>
      <c r="O41" s="3517"/>
      <c r="P41" s="4018"/>
      <c r="Q41" s="3536">
        <f t="shared" si="14"/>
        <v>111</v>
      </c>
      <c r="R41" s="3537" t="s">
        <v>8</v>
      </c>
      <c r="S41" s="3538">
        <f t="shared" si="10"/>
        <v>100</v>
      </c>
      <c r="T41" s="3537" t="s">
        <v>8</v>
      </c>
      <c r="U41" s="3538">
        <f t="shared" si="11"/>
        <v>100</v>
      </c>
      <c r="V41" s="3537" t="s">
        <v>8</v>
      </c>
      <c r="W41" s="3538">
        <f t="shared" si="12"/>
        <v>100</v>
      </c>
      <c r="X41" s="3474"/>
      <c r="Y41" s="4018"/>
      <c r="Z41" s="3539">
        <f t="shared" si="13"/>
        <v>111</v>
      </c>
      <c r="AA41" s="3539">
        <f t="shared" si="3"/>
        <v>1</v>
      </c>
      <c r="AB41" s="3539">
        <f t="shared" si="4"/>
        <v>1</v>
      </c>
      <c r="AC41" s="3539">
        <f t="shared" si="5"/>
        <v>1</v>
      </c>
    </row>
    <row r="42" spans="1:29" s="3585" customFormat="1" ht="15.75" hidden="1" thickBot="1">
      <c r="A42" s="3595"/>
      <c r="B42" s="3573">
        <v>111</v>
      </c>
      <c r="C42" s="3596"/>
      <c r="D42" s="3577">
        <v>100</v>
      </c>
      <c r="E42" s="3522"/>
      <c r="F42" s="3529">
        <f>SUMIF(122:122,E42,123:123)-SUMIF(122:122,C42,123:123)+100</f>
        <v>100</v>
      </c>
      <c r="G42" s="3522"/>
      <c r="H42" s="3529">
        <f>SUMIF(122:122,G42,123:123)-SUMIF(122:122,C42,123:123)+100</f>
        <v>100</v>
      </c>
      <c r="I42" s="3521"/>
      <c r="J42" s="3529">
        <f>SUMIF(122:122,I42,123:123)-SUMIF(122:122,C42,123:123)+100</f>
        <v>100</v>
      </c>
      <c r="K42" s="3597"/>
      <c r="L42" s="3516"/>
      <c r="M42" s="3579"/>
      <c r="N42" s="3579"/>
      <c r="O42" s="3580"/>
      <c r="P42" s="4018"/>
      <c r="Q42" s="3536">
        <f t="shared" si="14"/>
        <v>111</v>
      </c>
      <c r="R42" s="3581" t="s">
        <v>8</v>
      </c>
      <c r="S42" s="3582">
        <f t="shared" si="10"/>
        <v>100</v>
      </c>
      <c r="T42" s="3581" t="s">
        <v>8</v>
      </c>
      <c r="U42" s="3582">
        <f t="shared" si="11"/>
        <v>100</v>
      </c>
      <c r="V42" s="3581" t="s">
        <v>8</v>
      </c>
      <c r="W42" s="3582">
        <f t="shared" si="12"/>
        <v>100</v>
      </c>
      <c r="X42" s="3583"/>
      <c r="Y42" s="4018"/>
      <c r="Z42" s="3584">
        <f t="shared" si="13"/>
        <v>111</v>
      </c>
      <c r="AA42" s="3539">
        <f t="shared" si="3"/>
        <v>1</v>
      </c>
      <c r="AB42" s="3539">
        <f t="shared" si="4"/>
        <v>1</v>
      </c>
      <c r="AC42" s="3539">
        <f t="shared" si="5"/>
        <v>1</v>
      </c>
    </row>
    <row r="43" spans="1:29" ht="15">
      <c r="A43" s="3598" t="s">
        <v>534</v>
      </c>
      <c r="B43" s="3599" t="s">
        <v>2683</v>
      </c>
      <c r="C43" s="3600" t="s">
        <v>1</v>
      </c>
      <c r="D43" s="3601"/>
      <c r="E43" s="3602">
        <f>[3]土地案例!O24</f>
        <v>4110.07</v>
      </c>
      <c r="F43" s="3603"/>
      <c r="G43" s="3604">
        <f>[3]土地案例!O29</f>
        <v>4086.36</v>
      </c>
      <c r="H43" s="3605"/>
      <c r="I43" s="3602">
        <v>4103.7</v>
      </c>
      <c r="J43" s="3605"/>
      <c r="K43" s="3606"/>
      <c r="L43" s="3607"/>
      <c r="M43" s="3473"/>
      <c r="N43" s="3473"/>
      <c r="O43" s="3473"/>
      <c r="P43" s="4010" t="str">
        <f>A43</f>
        <v>成交单价</v>
      </c>
      <c r="Q43" s="4010"/>
      <c r="R43" s="4019">
        <f>E43</f>
        <v>4110.07</v>
      </c>
      <c r="S43" s="4019"/>
      <c r="T43" s="4019">
        <f>G43</f>
        <v>4086.36</v>
      </c>
      <c r="U43" s="4019"/>
      <c r="V43" s="4019">
        <f>I43</f>
        <v>4103.7</v>
      </c>
      <c r="W43" s="4019"/>
      <c r="X43" s="3541"/>
      <c r="Y43" s="3608"/>
      <c r="Z43" s="3541"/>
      <c r="AA43" s="3541"/>
      <c r="AB43" s="3541"/>
      <c r="AC43" s="3541"/>
    </row>
    <row r="44" spans="1:29" ht="15.75" thickBot="1">
      <c r="A44" s="3609" t="s">
        <v>2459</v>
      </c>
      <c r="B44" s="3610"/>
      <c r="C44" s="3611">
        <f>R45</f>
        <v>3781</v>
      </c>
      <c r="D44" s="3612" t="s">
        <v>2747</v>
      </c>
      <c r="E44" s="3611">
        <f>R44</f>
        <v>3788</v>
      </c>
      <c r="F44" s="3613"/>
      <c r="G44" s="3614">
        <f>T44</f>
        <v>3781</v>
      </c>
      <c r="H44" s="3613"/>
      <c r="I44" s="3611">
        <f>V44</f>
        <v>3774</v>
      </c>
      <c r="J44" s="3613"/>
      <c r="K44" s="3615">
        <f>F44+H44+J44</f>
        <v>0</v>
      </c>
      <c r="L44" s="3607"/>
      <c r="M44" s="3473"/>
      <c r="N44" s="3473"/>
      <c r="O44" s="3473"/>
      <c r="P44" s="4010" t="str">
        <f>A44</f>
        <v>比较价格（元/平方米）</v>
      </c>
      <c r="Q44" s="4010"/>
      <c r="R44" s="4011">
        <f>ROUND(PRODUCT(R43,AA9:AA42),0)</f>
        <v>3788</v>
      </c>
      <c r="S44" s="4011"/>
      <c r="T44" s="4011">
        <f>ROUND(PRODUCT(T43,AB9:AB42),0)</f>
        <v>3781</v>
      </c>
      <c r="U44" s="4011"/>
      <c r="V44" s="4011">
        <f>ROUND(PRODUCT(V43,AC9:AC42),0)</f>
        <v>3774</v>
      </c>
      <c r="W44" s="4011"/>
      <c r="X44" s="3541"/>
      <c r="Y44" s="3541"/>
      <c r="Z44" s="3541"/>
      <c r="AA44" s="3541"/>
      <c r="AB44" s="3541"/>
      <c r="AC44" s="3541"/>
    </row>
    <row r="45" spans="1:29" ht="15.75" thickBot="1">
      <c r="A45" s="3616" t="s">
        <v>2684</v>
      </c>
      <c r="B45" s="3617"/>
      <c r="C45" s="3618">
        <f>R45</f>
        <v>3781</v>
      </c>
      <c r="D45" s="3618"/>
      <c r="E45" s="3618"/>
      <c r="F45" s="3618"/>
      <c r="G45" s="3618"/>
      <c r="H45" s="3618"/>
      <c r="I45" s="3618"/>
      <c r="J45" s="3618"/>
      <c r="K45" s="3619"/>
      <c r="L45" s="3607"/>
      <c r="M45" s="3473"/>
      <c r="N45" s="3473"/>
      <c r="O45" s="3473"/>
      <c r="P45" s="4014" t="str">
        <f>A45</f>
        <v>估价对象XX用房的比较价格（楼面单价，元/平方米）</v>
      </c>
      <c r="Q45" s="4015"/>
      <c r="R45" s="4016">
        <f>ROUND(IF(D44="简单平均",AVERAGE(R44:W44),R44*F44+T44*H44+V44*J44),0)</f>
        <v>3781</v>
      </c>
      <c r="S45" s="4016"/>
      <c r="T45" s="4016"/>
      <c r="U45" s="4016"/>
      <c r="V45" s="4016"/>
      <c r="W45" s="4016"/>
      <c r="X45" s="3541"/>
      <c r="Y45" s="3541"/>
      <c r="Z45" s="3541"/>
      <c r="AA45" s="3541"/>
      <c r="AB45" s="3541"/>
      <c r="AC45" s="3541"/>
    </row>
    <row r="46" spans="1:29">
      <c r="A46" s="3620"/>
      <c r="B46" s="3620"/>
      <c r="C46" s="3620"/>
      <c r="D46" s="3620"/>
      <c r="E46" s="3620"/>
      <c r="F46" s="3620"/>
      <c r="G46" s="3621"/>
      <c r="H46" s="3620"/>
      <c r="I46" s="3620"/>
      <c r="J46" s="3620"/>
      <c r="K46" s="3622"/>
      <c r="L46" s="3623"/>
      <c r="M46" s="3473"/>
      <c r="N46" s="3473"/>
      <c r="O46" s="3473"/>
      <c r="P46" s="3473"/>
      <c r="Q46" s="3473"/>
      <c r="R46" s="3473"/>
      <c r="S46" s="3473"/>
      <c r="T46" s="3473"/>
      <c r="U46" s="3473"/>
      <c r="V46" s="3473"/>
      <c r="W46" s="3473"/>
      <c r="X46" s="3473"/>
      <c r="Y46" s="3473"/>
      <c r="Z46" s="3473"/>
      <c r="AA46" s="3473"/>
      <c r="AB46" s="3473"/>
      <c r="AC46" s="3473"/>
    </row>
    <row r="47" spans="1:29">
      <c r="A47" s="3620"/>
      <c r="B47" s="3620"/>
      <c r="C47" s="3620"/>
      <c r="D47" s="3620"/>
      <c r="E47" s="3620"/>
      <c r="F47" s="3620"/>
      <c r="G47" s="3620"/>
      <c r="H47" s="3620"/>
      <c r="I47" s="3620"/>
      <c r="J47" s="3620"/>
      <c r="K47" s="3622"/>
      <c r="L47" s="3623"/>
      <c r="M47" s="3473"/>
      <c r="N47" s="3473"/>
      <c r="O47" s="3473"/>
      <c r="P47" s="3473"/>
      <c r="Q47" s="3473"/>
      <c r="R47" s="3473"/>
      <c r="S47" s="3473"/>
      <c r="T47" s="3473"/>
      <c r="U47" s="3473"/>
      <c r="V47" s="3473"/>
      <c r="W47" s="3473"/>
      <c r="X47" s="3473"/>
      <c r="Y47" s="3473"/>
      <c r="Z47" s="3473"/>
      <c r="AA47" s="3473"/>
      <c r="AB47" s="3473"/>
      <c r="AC47" s="3473"/>
    </row>
    <row r="48" spans="1:29" ht="13.5" customHeight="1">
      <c r="A48" s="3620"/>
      <c r="B48" s="3620"/>
      <c r="C48" s="3624" t="s">
        <v>535</v>
      </c>
      <c r="D48" s="3625"/>
      <c r="E48" s="3626">
        <f>IF(E43&lt;E44,E44/E43-1,E43/E44-1)</f>
        <v>8.5023759239704289E-2</v>
      </c>
      <c r="F48" s="3627" t="str">
        <f>IF(OR(E48&gt;=0.3,E48&lt;=-0.3),"超过30%","")</f>
        <v/>
      </c>
      <c r="G48" s="3626">
        <f>IF(G43&lt;G44,G44/G43-1,G43/G44-1)</f>
        <v>8.0761703253107608E-2</v>
      </c>
      <c r="H48" s="3627" t="str">
        <f>IF(OR(G48&gt;=0.3,G48&lt;=-0.3),"超过30%","")</f>
        <v/>
      </c>
      <c r="I48" s="3626">
        <f>IF(I43&lt;I44,I44/I43-1,I43/I44-1)</f>
        <v>8.7360890302066618E-2</v>
      </c>
      <c r="J48" s="3627" t="str">
        <f>IF(OR(I48&gt;=0.3,I48&lt;=-0.3),"超过30%","")</f>
        <v/>
      </c>
      <c r="K48" s="3622"/>
      <c r="L48" s="3623"/>
      <c r="M48" s="3473"/>
      <c r="N48" s="3473"/>
      <c r="O48" s="3473"/>
      <c r="P48" s="3473"/>
      <c r="Q48" s="3473"/>
      <c r="R48" s="3473"/>
      <c r="S48" s="3473"/>
      <c r="T48" s="3473"/>
      <c r="U48" s="3473"/>
      <c r="V48" s="3473"/>
      <c r="W48" s="3473"/>
      <c r="X48" s="3473"/>
      <c r="Y48" s="3473"/>
      <c r="Z48" s="3473"/>
      <c r="AA48" s="3473"/>
      <c r="AB48" s="3473"/>
      <c r="AC48" s="3473"/>
    </row>
    <row r="49" spans="1:29" ht="13.5" customHeight="1">
      <c r="A49" s="3620"/>
      <c r="B49" s="3620"/>
      <c r="C49" s="3624" t="s">
        <v>536</v>
      </c>
      <c r="D49" s="3628"/>
      <c r="E49" s="3626">
        <f>IF(E44&lt;G44,G44/E44-1,E44/G44-1)</f>
        <v>1.851362073525431E-3</v>
      </c>
      <c r="F49" s="3627" t="str">
        <f>IF(OR(E49&gt;=0.2,E49&lt;=-0.2),"超过20%","")</f>
        <v/>
      </c>
      <c r="G49" s="3626">
        <f>IF(G44&lt;I44,I44/G44-1,G44/I44-1)</f>
        <v>1.8547959724430907E-3</v>
      </c>
      <c r="H49" s="3627" t="str">
        <f>IF(OR(G49&gt;=0.2,G49&lt;=-0.2),"超过20%","")</f>
        <v/>
      </c>
      <c r="I49" s="3626">
        <f>IF(I44&lt;E44,E44/I44-1,I44/E44-1)</f>
        <v>3.7095919448859593E-3</v>
      </c>
      <c r="J49" s="3627" t="str">
        <f>IF(OR(I49&gt;=0.2,I49&lt;=-0.2),"超过20%","")</f>
        <v/>
      </c>
      <c r="K49" s="3622"/>
      <c r="L49" s="3623"/>
      <c r="M49" s="3473"/>
      <c r="N49" s="3473"/>
      <c r="O49" s="3473"/>
      <c r="P49" s="3473"/>
      <c r="Q49" s="3473"/>
      <c r="R49" s="3473"/>
      <c r="S49" s="3473"/>
      <c r="T49" s="3473"/>
      <c r="U49" s="3473"/>
      <c r="V49" s="3473"/>
      <c r="W49" s="3473"/>
      <c r="X49" s="3473"/>
      <c r="Y49" s="3473"/>
      <c r="Z49" s="3473"/>
      <c r="AA49" s="3473"/>
      <c r="AB49" s="3473"/>
      <c r="AC49" s="3473"/>
    </row>
    <row r="50" spans="1:29" s="3633" customFormat="1" ht="13.5" customHeight="1">
      <c r="A50" s="3629"/>
      <c r="B50" s="3629"/>
      <c r="C50" s="3624" t="s">
        <v>537</v>
      </c>
      <c r="D50" s="3628"/>
      <c r="E50" s="3626">
        <f>IF(E43&lt;G43,G43/E43-1,E43/G43-1)</f>
        <v>5.8022298573789932E-3</v>
      </c>
      <c r="F50" s="3627" t="str">
        <f>IF(OR(E50&gt;=0.3,E50&lt;=-0.3),"超过30%","")</f>
        <v/>
      </c>
      <c r="G50" s="3626">
        <f>IF(G43&lt;I43,I43/G43-1,G43/I43-1)</f>
        <v>4.2433853111325526E-3</v>
      </c>
      <c r="H50" s="3627" t="str">
        <f>IF(OR(G50&gt;=0.3,G50&lt;=-0.3),"超过30%","")</f>
        <v/>
      </c>
      <c r="I50" s="3626">
        <f>IF(I43&lt;E43,E43/I43-1,I43/E43-1)</f>
        <v>1.552257718644201E-3</v>
      </c>
      <c r="J50" s="3627" t="str">
        <f>IF(OR(I50&gt;=0.3,I50&lt;=-0.3),"超过30%","")</f>
        <v/>
      </c>
      <c r="K50" s="3630"/>
      <c r="L50" s="3631"/>
      <c r="M50" s="3632"/>
      <c r="N50" s="3632"/>
      <c r="O50" s="3632"/>
      <c r="P50" s="3632"/>
      <c r="Q50" s="3632"/>
      <c r="R50" s="3632"/>
      <c r="S50" s="3632"/>
      <c r="T50" s="3632"/>
      <c r="U50" s="3632"/>
      <c r="V50" s="3632"/>
      <c r="W50" s="3632"/>
      <c r="X50" s="3632"/>
      <c r="Y50" s="3632"/>
      <c r="Z50" s="3632"/>
      <c r="AA50" s="3632"/>
      <c r="AB50" s="3632"/>
      <c r="AC50" s="3632"/>
    </row>
    <row r="51" spans="1:29" s="3633" customFormat="1" ht="15" thickBot="1">
      <c r="A51" s="3629"/>
      <c r="B51" s="3634"/>
      <c r="C51" s="3635"/>
      <c r="D51" s="3632"/>
      <c r="E51" s="3632"/>
      <c r="F51" s="3632"/>
      <c r="G51" s="3632"/>
      <c r="H51" s="3632"/>
      <c r="I51" s="3632"/>
      <c r="J51" s="3632"/>
      <c r="K51" s="3630"/>
      <c r="L51" s="3631"/>
      <c r="M51" s="3632"/>
      <c r="N51" s="3632"/>
      <c r="O51" s="3632"/>
      <c r="P51" s="3632"/>
      <c r="Q51" s="3632"/>
      <c r="R51" s="3632"/>
      <c r="S51" s="3632"/>
      <c r="T51" s="3632"/>
      <c r="U51" s="3632"/>
      <c r="V51" s="3632"/>
      <c r="W51" s="3632"/>
      <c r="X51" s="3632"/>
      <c r="Y51" s="3632"/>
      <c r="Z51" s="3632"/>
      <c r="AA51" s="3632"/>
      <c r="AB51" s="3632"/>
      <c r="AC51" s="3632"/>
    </row>
    <row r="52" spans="1:29" ht="27">
      <c r="A52" s="3636" t="s">
        <v>3207</v>
      </c>
      <c r="B52" s="3637" t="s">
        <v>3208</v>
      </c>
      <c r="C52" s="3638" t="s">
        <v>1515</v>
      </c>
      <c r="D52" s="3639" t="s">
        <v>2072</v>
      </c>
      <c r="E52" s="3640" t="s">
        <v>3209</v>
      </c>
      <c r="F52" s="3641" t="s">
        <v>3210</v>
      </c>
      <c r="G52" s="4005" t="s">
        <v>2064</v>
      </c>
      <c r="H52" s="4006"/>
      <c r="I52" s="3642" t="s">
        <v>1726</v>
      </c>
      <c r="J52" s="3643" t="str">
        <f>[3]项目基本情况!F41</f>
        <v>顺义区顺通路西侧双河路北</v>
      </c>
      <c r="K52" s="3644" t="s">
        <v>3211</v>
      </c>
      <c r="L52" s="3623"/>
      <c r="M52" s="3473"/>
      <c r="N52" s="3473"/>
      <c r="O52" s="3473"/>
      <c r="P52" s="3473"/>
      <c r="Q52" s="3473"/>
      <c r="R52" s="3473"/>
      <c r="S52" s="3473"/>
      <c r="T52" s="3473"/>
      <c r="U52" s="3473"/>
      <c r="V52" s="3473"/>
      <c r="W52" s="3473"/>
      <c r="X52" s="3473"/>
      <c r="Y52" s="3473"/>
      <c r="Z52" s="3473"/>
      <c r="AA52" s="3473"/>
      <c r="AB52" s="3473"/>
      <c r="AC52" s="3473"/>
    </row>
    <row r="53" spans="1:29" s="3654" customFormat="1" ht="12.75">
      <c r="A53" s="3645" t="s">
        <v>3212</v>
      </c>
      <c r="B53" s="3646">
        <f>C45</f>
        <v>3781</v>
      </c>
      <c r="C53" s="3647">
        <v>1</v>
      </c>
      <c r="D53" s="3648">
        <v>1</v>
      </c>
      <c r="E53" s="3647">
        <f>'[3]数据-汇总表'!E8+'[3]数据-汇总表'!E9</f>
        <v>12510.2</v>
      </c>
      <c r="F53" s="3649">
        <f t="shared" ref="F53:F62" si="15">ROUND(B53*E53/10000,0)</f>
        <v>4730</v>
      </c>
      <c r="G53" s="4007"/>
      <c r="H53" s="4008"/>
      <c r="I53" s="3650">
        <v>1</v>
      </c>
      <c r="J53" s="3651">
        <v>1</v>
      </c>
      <c r="K53" s="3652"/>
      <c r="L53" s="3653"/>
      <c r="M53" s="3653"/>
      <c r="N53" s="3653"/>
      <c r="O53" s="3653"/>
      <c r="P53" s="3653"/>
      <c r="Q53" s="3653"/>
      <c r="R53" s="3653"/>
      <c r="S53" s="3653"/>
      <c r="T53" s="3653"/>
      <c r="U53" s="3653"/>
      <c r="V53" s="3653"/>
      <c r="W53" s="3653"/>
      <c r="X53" s="3653"/>
      <c r="Y53" s="3653"/>
      <c r="Z53" s="3653"/>
      <c r="AA53" s="3653"/>
      <c r="AB53" s="3653"/>
      <c r="AC53" s="3653"/>
    </row>
    <row r="54" spans="1:29" s="3654" customFormat="1" ht="12.75">
      <c r="A54" s="3655" t="s">
        <v>3213</v>
      </c>
      <c r="B54" s="3656" t="e">
        <f>ROUND($C$45*C54*D54,0)</f>
        <v>#VALUE!</v>
      </c>
      <c r="C54" s="3657" t="e">
        <f t="shared" ref="C54:C62" si="16">IF($C$52="北京市系数",I54,J54)</f>
        <v>#VALUE!</v>
      </c>
      <c r="D54" s="3658">
        <v>0.25</v>
      </c>
      <c r="E54" s="3659"/>
      <c r="F54" s="3649" t="e">
        <f t="shared" si="15"/>
        <v>#VALUE!</v>
      </c>
      <c r="G54" s="4009" t="s">
        <v>2065</v>
      </c>
      <c r="H54" s="3660">
        <f>[3]项目基本情况!B43</f>
        <v>0</v>
      </c>
      <c r="I54" s="3650" t="e">
        <f>SUMIF([3]修正!$A$45:$A$56,H54,[3]修正!B45:B56)</f>
        <v>#VALUE!</v>
      </c>
      <c r="J54" s="3661"/>
      <c r="K54" s="3652"/>
      <c r="L54" s="3653"/>
      <c r="M54" s="3653"/>
      <c r="N54" s="3653"/>
      <c r="O54" s="3653"/>
      <c r="P54" s="3653"/>
      <c r="Q54" s="3653"/>
      <c r="R54" s="3653"/>
      <c r="S54" s="3653"/>
      <c r="T54" s="3653"/>
      <c r="U54" s="3653"/>
      <c r="V54" s="3653"/>
      <c r="W54" s="3653"/>
      <c r="X54" s="3653"/>
      <c r="Y54" s="3653"/>
      <c r="Z54" s="3653"/>
      <c r="AA54" s="3653"/>
      <c r="AB54" s="3653"/>
      <c r="AC54" s="3653"/>
    </row>
    <row r="55" spans="1:29" s="3654" customFormat="1" ht="12.75">
      <c r="A55" s="3655" t="s">
        <v>3214</v>
      </c>
      <c r="B55" s="3656" t="e">
        <f t="shared" ref="B55:B62" si="17">ROUND($C$45*C55*D55,0)</f>
        <v>#VALUE!</v>
      </c>
      <c r="C55" s="3657" t="e">
        <f t="shared" si="16"/>
        <v>#VALUE!</v>
      </c>
      <c r="D55" s="3658">
        <v>0.25</v>
      </c>
      <c r="E55" s="3659"/>
      <c r="F55" s="3649" t="e">
        <f t="shared" si="15"/>
        <v>#VALUE!</v>
      </c>
      <c r="G55" s="4009"/>
      <c r="H55" s="3662">
        <f>[3]项目基本情况!B43</f>
        <v>0</v>
      </c>
      <c r="I55" s="3650" t="e">
        <f>SUMIF([3]修正!$A$45:$A$56,H55,[3]修正!C45:C56)</f>
        <v>#VALUE!</v>
      </c>
      <c r="J55" s="3661"/>
      <c r="K55" s="3652"/>
      <c r="L55" s="3653"/>
      <c r="M55" s="3653"/>
      <c r="N55" s="3653"/>
      <c r="O55" s="3653"/>
      <c r="P55" s="3653"/>
      <c r="Q55" s="3653"/>
      <c r="R55" s="3653"/>
      <c r="S55" s="3653"/>
      <c r="T55" s="3653"/>
      <c r="U55" s="3653"/>
      <c r="V55" s="3653"/>
      <c r="W55" s="3653"/>
      <c r="X55" s="3653"/>
      <c r="Y55" s="3653"/>
      <c r="Z55" s="3653"/>
      <c r="AA55" s="3653"/>
      <c r="AB55" s="3653"/>
      <c r="AC55" s="3653"/>
    </row>
    <row r="56" spans="1:29" s="3654" customFormat="1" ht="12.75">
      <c r="A56" s="3655" t="s">
        <v>3215</v>
      </c>
      <c r="B56" s="3656" t="e">
        <f t="shared" si="17"/>
        <v>#VALUE!</v>
      </c>
      <c r="C56" s="3657" t="e">
        <f t="shared" si="16"/>
        <v>#VALUE!</v>
      </c>
      <c r="D56" s="3658">
        <v>0.25</v>
      </c>
      <c r="E56" s="3659"/>
      <c r="F56" s="3649" t="e">
        <f t="shared" si="15"/>
        <v>#VALUE!</v>
      </c>
      <c r="G56" s="4009"/>
      <c r="H56" s="3662">
        <f>[3]项目基本情况!B43</f>
        <v>0</v>
      </c>
      <c r="I56" s="3650" t="e">
        <f>SUMIF([3]修正!$A$45:$A$56,H56,[3]修正!D45:D56)</f>
        <v>#VALUE!</v>
      </c>
      <c r="J56" s="3661"/>
      <c r="K56" s="3652"/>
      <c r="L56" s="3653"/>
      <c r="M56" s="3653"/>
      <c r="N56" s="3653"/>
      <c r="O56" s="3653"/>
      <c r="P56" s="3653"/>
      <c r="Q56" s="3653"/>
      <c r="R56" s="3653"/>
      <c r="S56" s="3653"/>
      <c r="T56" s="3653"/>
      <c r="U56" s="3653"/>
      <c r="V56" s="3653"/>
      <c r="W56" s="3653"/>
      <c r="X56" s="3653"/>
      <c r="Y56" s="3653"/>
      <c r="Z56" s="3653"/>
      <c r="AA56" s="3653"/>
      <c r="AB56" s="3653"/>
      <c r="AC56" s="3653"/>
    </row>
    <row r="57" spans="1:29" s="3654" customFormat="1" ht="12.75">
      <c r="A57" s="3655" t="s">
        <v>3216</v>
      </c>
      <c r="B57" s="3656" t="e">
        <f t="shared" si="17"/>
        <v>#VALUE!</v>
      </c>
      <c r="C57" s="3657" t="e">
        <f t="shared" si="16"/>
        <v>#VALUE!</v>
      </c>
      <c r="D57" s="3658">
        <v>0.25</v>
      </c>
      <c r="E57" s="3659"/>
      <c r="F57" s="3649" t="e">
        <f t="shared" si="15"/>
        <v>#VALUE!</v>
      </c>
      <c r="G57" s="4009"/>
      <c r="H57" s="3662">
        <f>[3]项目基本情况!B43</f>
        <v>0</v>
      </c>
      <c r="I57" s="3650" t="e">
        <f>SUMIF([3]修正!$A$45:$A$56,H57,[3]修正!E45:E56)</f>
        <v>#VALUE!</v>
      </c>
      <c r="J57" s="3661"/>
      <c r="K57" s="3652"/>
      <c r="L57" s="3653"/>
      <c r="M57" s="3653"/>
      <c r="N57" s="3653"/>
      <c r="O57" s="3653"/>
      <c r="P57" s="3653"/>
      <c r="Q57" s="3653"/>
      <c r="R57" s="3653"/>
      <c r="S57" s="3653"/>
      <c r="T57" s="3653"/>
      <c r="U57" s="3653"/>
      <c r="V57" s="3653"/>
      <c r="W57" s="3653"/>
      <c r="X57" s="3653"/>
      <c r="Y57" s="3653"/>
      <c r="Z57" s="3653"/>
      <c r="AA57" s="3653"/>
      <c r="AB57" s="3653"/>
      <c r="AC57" s="3653"/>
    </row>
    <row r="58" spans="1:29" s="3654" customFormat="1" ht="12.75">
      <c r="A58" s="3663" t="s">
        <v>3217</v>
      </c>
      <c r="B58" s="3656" t="e">
        <f t="shared" si="17"/>
        <v>#VALUE!</v>
      </c>
      <c r="C58" s="3657" t="e">
        <f t="shared" si="16"/>
        <v>#VALUE!</v>
      </c>
      <c r="D58" s="3658">
        <v>0.25</v>
      </c>
      <c r="E58" s="3664">
        <f>'[3]数据-汇总表'!E11</f>
        <v>0</v>
      </c>
      <c r="F58" s="3649" t="e">
        <f t="shared" si="15"/>
        <v>#VALUE!</v>
      </c>
      <c r="G58" s="3665" t="s">
        <v>2066</v>
      </c>
      <c r="H58" s="3662">
        <f>[3]项目基本情况!C43</f>
        <v>0</v>
      </c>
      <c r="I58" s="3650" t="e">
        <f>SUMIF([3]修正!$A$45:$A$56,H58,[3]修正!F45:F56)</f>
        <v>#VALUE!</v>
      </c>
      <c r="J58" s="3661"/>
      <c r="K58" s="3652"/>
      <c r="L58" s="3653"/>
      <c r="M58" s="3653"/>
      <c r="N58" s="3653"/>
      <c r="O58" s="3653"/>
      <c r="P58" s="3653"/>
      <c r="Q58" s="3653"/>
      <c r="R58" s="3653"/>
      <c r="S58" s="3653"/>
      <c r="T58" s="3653"/>
      <c r="U58" s="3653"/>
      <c r="V58" s="3653"/>
      <c r="W58" s="3653"/>
      <c r="X58" s="3653"/>
      <c r="Y58" s="3653"/>
      <c r="Z58" s="3653"/>
      <c r="AA58" s="3653"/>
      <c r="AB58" s="3653"/>
      <c r="AC58" s="3653"/>
    </row>
    <row r="59" spans="1:29" s="3654" customFormat="1" ht="12.75">
      <c r="A59" s="3655" t="s">
        <v>3218</v>
      </c>
      <c r="B59" s="3656" t="e">
        <f t="shared" si="17"/>
        <v>#VALUE!</v>
      </c>
      <c r="C59" s="3657" t="e">
        <f t="shared" si="16"/>
        <v>#VALUE!</v>
      </c>
      <c r="D59" s="3658">
        <v>0.25</v>
      </c>
      <c r="E59" s="3664">
        <f>'[3]数据-汇总表'!E12</f>
        <v>0</v>
      </c>
      <c r="F59" s="3649" t="e">
        <f t="shared" si="15"/>
        <v>#VALUE!</v>
      </c>
      <c r="G59" s="3666" t="s">
        <v>1468</v>
      </c>
      <c r="H59" s="3660">
        <f>IF(G59="商业",[3]项目基本情况!B43,IF(G59="办公",[3]项目基本情况!C43,IF(G59="住宅",[3]项目基本情况!D43,[3]项目基本情况!E43)))</f>
        <v>0</v>
      </c>
      <c r="I59" s="3650" t="e">
        <f>SUMIF([3]修正!$A$45:$A$56,H59,[3]修正!G45:G56)</f>
        <v>#VALUE!</v>
      </c>
      <c r="J59" s="3661"/>
      <c r="K59" s="3652"/>
      <c r="L59" s="3653"/>
      <c r="M59" s="3653"/>
      <c r="N59" s="3653"/>
      <c r="O59" s="3653"/>
      <c r="P59" s="3653"/>
      <c r="Q59" s="3653"/>
      <c r="R59" s="3653"/>
      <c r="S59" s="3653"/>
      <c r="T59" s="3653"/>
      <c r="U59" s="3653"/>
      <c r="V59" s="3653"/>
      <c r="W59" s="3653"/>
      <c r="X59" s="3653"/>
      <c r="Y59" s="3653"/>
      <c r="Z59" s="3653"/>
      <c r="AA59" s="3653"/>
      <c r="AB59" s="3653"/>
      <c r="AC59" s="3653"/>
    </row>
    <row r="60" spans="1:29" s="3654" customFormat="1" ht="12.75">
      <c r="A60" s="3655" t="s">
        <v>3219</v>
      </c>
      <c r="B60" s="3656" t="e">
        <f t="shared" si="17"/>
        <v>#VALUE!</v>
      </c>
      <c r="C60" s="3657" t="e">
        <f t="shared" si="16"/>
        <v>#VALUE!</v>
      </c>
      <c r="D60" s="3658">
        <v>0.25</v>
      </c>
      <c r="E60" s="3664">
        <f>'[3]数据-汇总表'!E13</f>
        <v>0</v>
      </c>
      <c r="F60" s="3649" t="e">
        <f t="shared" si="15"/>
        <v>#VALUE!</v>
      </c>
      <c r="G60" s="3666" t="s">
        <v>893</v>
      </c>
      <c r="H60" s="3660">
        <f>IF(G60="商业",[3]项目基本情况!B43,IF(G60="办公",[3]项目基本情况!C43,IF(G60="住宅",[3]项目基本情况!D43,[3]项目基本情况!E43)))</f>
        <v>0</v>
      </c>
      <c r="I60" s="3650" t="e">
        <f>SUMIF([3]修正!$A$45:$A$56,H60,[3]修正!H45:H56)</f>
        <v>#VALUE!</v>
      </c>
      <c r="J60" s="3661"/>
      <c r="K60" s="3652"/>
      <c r="L60" s="3653"/>
      <c r="M60" s="3653"/>
      <c r="N60" s="3653"/>
      <c r="O60" s="3653"/>
      <c r="P60" s="3653"/>
      <c r="Q60" s="3653"/>
      <c r="R60" s="3653"/>
      <c r="S60" s="3653"/>
      <c r="T60" s="3653"/>
      <c r="U60" s="3653"/>
      <c r="V60" s="3653"/>
      <c r="W60" s="3653"/>
      <c r="X60" s="3653"/>
      <c r="Y60" s="3653"/>
      <c r="Z60" s="3653"/>
      <c r="AA60" s="3653"/>
      <c r="AB60" s="3653"/>
      <c r="AC60" s="3653"/>
    </row>
    <row r="61" spans="1:29" s="3654" customFormat="1" ht="12.75">
      <c r="A61" s="3655" t="s">
        <v>3220</v>
      </c>
      <c r="B61" s="3656" t="e">
        <f t="shared" si="17"/>
        <v>#VALUE!</v>
      </c>
      <c r="C61" s="3657" t="e">
        <f t="shared" si="16"/>
        <v>#VALUE!</v>
      </c>
      <c r="D61" s="3658">
        <v>0.25</v>
      </c>
      <c r="E61" s="3664">
        <f>'[3]数据-汇总表'!E14</f>
        <v>0</v>
      </c>
      <c r="F61" s="3649" t="e">
        <f t="shared" si="15"/>
        <v>#VALUE!</v>
      </c>
      <c r="G61" s="3665" t="s">
        <v>2065</v>
      </c>
      <c r="H61" s="3662">
        <f>[3]项目基本情况!B43</f>
        <v>0</v>
      </c>
      <c r="I61" s="3650" t="e">
        <f>SUMIF([3]修正!$A$45:$A$56,H61,[3]修正!H45:H56)</f>
        <v>#VALUE!</v>
      </c>
      <c r="J61" s="3661"/>
      <c r="K61" s="3652"/>
      <c r="L61" s="3653"/>
      <c r="M61" s="3653"/>
      <c r="N61" s="3653"/>
      <c r="O61" s="3653"/>
      <c r="P61" s="3653"/>
      <c r="Q61" s="3653"/>
      <c r="R61" s="3653"/>
      <c r="S61" s="3653"/>
      <c r="T61" s="3653"/>
      <c r="U61" s="3653"/>
      <c r="V61" s="3653"/>
      <c r="W61" s="3653"/>
      <c r="X61" s="3653"/>
      <c r="Y61" s="3653"/>
      <c r="Z61" s="3653"/>
      <c r="AA61" s="3653"/>
      <c r="AB61" s="3653"/>
      <c r="AC61" s="3653"/>
    </row>
    <row r="62" spans="1:29" s="3654" customFormat="1" ht="13.5" thickBot="1">
      <c r="A62" s="3655" t="s">
        <v>3221</v>
      </c>
      <c r="B62" s="3656" t="e">
        <f t="shared" si="17"/>
        <v>#VALUE!</v>
      </c>
      <c r="C62" s="3657" t="e">
        <f t="shared" si="16"/>
        <v>#VALUE!</v>
      </c>
      <c r="D62" s="3658">
        <v>0.25</v>
      </c>
      <c r="E62" s="3664">
        <f>'[3]数据-汇总表'!E15</f>
        <v>0</v>
      </c>
      <c r="F62" s="3649" t="e">
        <f t="shared" si="15"/>
        <v>#VALUE!</v>
      </c>
      <c r="G62" s="3667" t="s">
        <v>2066</v>
      </c>
      <c r="H62" s="3668">
        <f>[3]项目基本情况!C43</f>
        <v>0</v>
      </c>
      <c r="I62" s="3650" t="e">
        <f>SUMIF([3]修正!$A$45:$A$56,H62,[3]修正!H45:H56)</f>
        <v>#VALUE!</v>
      </c>
      <c r="J62" s="3661"/>
      <c r="K62" s="3652"/>
      <c r="L62" s="3653"/>
      <c r="M62" s="3653"/>
      <c r="N62" s="3653"/>
      <c r="O62" s="3653"/>
      <c r="P62" s="3653"/>
      <c r="Q62" s="3653"/>
      <c r="R62" s="3653"/>
      <c r="S62" s="3653"/>
      <c r="T62" s="3653"/>
      <c r="U62" s="3653"/>
      <c r="V62" s="3653"/>
      <c r="W62" s="3653"/>
      <c r="X62" s="3653"/>
      <c r="Y62" s="3653"/>
      <c r="Z62" s="3653"/>
      <c r="AA62" s="3653"/>
      <c r="AB62" s="3653"/>
      <c r="AC62" s="3653"/>
    </row>
    <row r="63" spans="1:29" s="3654" customFormat="1" ht="13.5" thickBot="1">
      <c r="A63" s="3669" t="s">
        <v>3222</v>
      </c>
      <c r="B63" s="3670" t="s">
        <v>2073</v>
      </c>
      <c r="C63" s="3670" t="s">
        <v>2073</v>
      </c>
      <c r="D63" s="3670" t="s">
        <v>2073</v>
      </c>
      <c r="E63" s="3670">
        <f>IF(B43="楼面地价",SUM(E53:E62),'[3]数据-汇总表'!D3)</f>
        <v>37273.9</v>
      </c>
      <c r="F63" s="3671">
        <f>IF(B43="楼面地价",SUM(F53:F62),ROUND(C45*E63/10000,0))</f>
        <v>14093</v>
      </c>
      <c r="G63" s="3672"/>
      <c r="H63" s="3672"/>
      <c r="I63" s="3672"/>
      <c r="J63" s="3672"/>
      <c r="K63" s="3673"/>
      <c r="L63" s="3653"/>
      <c r="M63" s="3653"/>
      <c r="N63" s="3653"/>
      <c r="O63" s="3653"/>
      <c r="P63" s="3653"/>
      <c r="Q63" s="3653"/>
      <c r="R63" s="3653"/>
      <c r="S63" s="3653"/>
      <c r="T63" s="3653"/>
      <c r="U63" s="3653"/>
      <c r="V63" s="3653"/>
      <c r="W63" s="3653"/>
      <c r="X63" s="3653"/>
      <c r="Y63" s="3653"/>
      <c r="Z63" s="3653"/>
      <c r="AA63" s="3653"/>
      <c r="AB63" s="3653"/>
      <c r="AC63" s="3653"/>
    </row>
    <row r="64" spans="1:29">
      <c r="A64" s="3473"/>
      <c r="B64" s="3674"/>
      <c r="C64" s="3635"/>
      <c r="D64" s="3473"/>
      <c r="E64" s="3473"/>
      <c r="F64" s="3473"/>
      <c r="G64" s="3473"/>
      <c r="H64" s="3473"/>
      <c r="I64" s="3473"/>
      <c r="J64" s="3473"/>
      <c r="K64" s="3675"/>
      <c r="L64" s="3623"/>
      <c r="M64" s="3473"/>
      <c r="N64" s="3473"/>
      <c r="O64" s="3473"/>
      <c r="P64" s="3473"/>
      <c r="Q64" s="3473"/>
      <c r="R64" s="3473"/>
      <c r="S64" s="3473"/>
      <c r="T64" s="3473"/>
      <c r="U64" s="3473"/>
      <c r="V64" s="3473"/>
      <c r="W64" s="3473"/>
      <c r="X64" s="3473"/>
      <c r="Y64" s="3473"/>
      <c r="Z64" s="3473"/>
      <c r="AA64" s="3473"/>
      <c r="AB64" s="3473"/>
      <c r="AC64" s="3473"/>
    </row>
    <row r="65" spans="1:29">
      <c r="A65" s="3473"/>
      <c r="B65" s="3674"/>
      <c r="C65" s="3676" t="str">
        <f>YEAR(C9)&amp;"-"&amp;MONTH(C9)&amp;"-1"</f>
        <v>2022-11-1</v>
      </c>
      <c r="D65" s="3677">
        <f>EDATE(C65,-3)</f>
        <v>44774</v>
      </c>
      <c r="E65" s="3677">
        <f t="shared" ref="E65:N65" si="18">EDATE(D65,-3)</f>
        <v>44682</v>
      </c>
      <c r="F65" s="3677">
        <f t="shared" si="18"/>
        <v>44593</v>
      </c>
      <c r="G65" s="3677">
        <f t="shared" si="18"/>
        <v>44501</v>
      </c>
      <c r="H65" s="3677">
        <f t="shared" si="18"/>
        <v>44409</v>
      </c>
      <c r="I65" s="3677">
        <f t="shared" si="18"/>
        <v>44317</v>
      </c>
      <c r="J65" s="3677">
        <f t="shared" si="18"/>
        <v>44228</v>
      </c>
      <c r="K65" s="3677">
        <f t="shared" si="18"/>
        <v>44136</v>
      </c>
      <c r="L65" s="3677">
        <f t="shared" si="18"/>
        <v>44044</v>
      </c>
      <c r="M65" s="3677">
        <f t="shared" si="18"/>
        <v>43952</v>
      </c>
      <c r="N65" s="3677">
        <f t="shared" si="18"/>
        <v>43862</v>
      </c>
      <c r="O65" s="3473"/>
      <c r="P65" s="3473"/>
      <c r="Q65" s="3473"/>
      <c r="R65" s="3473"/>
      <c r="S65" s="3473"/>
      <c r="T65" s="3473"/>
      <c r="U65" s="3473"/>
      <c r="V65" s="3473"/>
      <c r="W65" s="3473"/>
      <c r="X65" s="3473"/>
      <c r="Y65" s="3473"/>
      <c r="Z65" s="3473"/>
      <c r="AA65" s="3473"/>
      <c r="AB65" s="3473"/>
      <c r="AC65" s="3473"/>
    </row>
    <row r="66" spans="1:29" ht="21.75" thickBot="1">
      <c r="A66" s="3678" t="s">
        <v>551</v>
      </c>
      <c r="B66" s="3541"/>
      <c r="C66" s="3679"/>
      <c r="D66" s="3679"/>
      <c r="E66" s="3679"/>
      <c r="F66" s="3680"/>
      <c r="G66" s="3680"/>
      <c r="H66" s="3679"/>
      <c r="I66" s="3679"/>
      <c r="J66" s="3679"/>
      <c r="K66" s="3681"/>
      <c r="L66" s="3682"/>
      <c r="M66" s="3679"/>
      <c r="N66" s="3679"/>
      <c r="O66" s="3683"/>
      <c r="P66" s="3683"/>
      <c r="Q66" s="3684"/>
      <c r="R66" s="3473"/>
      <c r="S66" s="3473"/>
      <c r="T66" s="3473"/>
      <c r="U66" s="3473"/>
      <c r="V66" s="3473"/>
      <c r="W66" s="3473"/>
      <c r="X66" s="3473"/>
      <c r="Y66" s="3473"/>
      <c r="Z66" s="3473"/>
      <c r="AA66" s="3473"/>
      <c r="AB66" s="3473"/>
      <c r="AC66" s="3473"/>
    </row>
    <row r="67" spans="1:29" s="3690" customFormat="1" ht="15">
      <c r="A67" s="3685" t="s">
        <v>2301</v>
      </c>
      <c r="B67" s="3686"/>
      <c r="C67" s="3687" t="str">
        <f>YEAR(C65)&amp;"-"&amp;ROUNDUP(MONTH(C65)/3,0)</f>
        <v>2022-4</v>
      </c>
      <c r="D67" s="3687" t="str">
        <f t="shared" ref="D67:N67" si="19">YEAR(D65)&amp;"-"&amp;ROUNDUP(MONTH(D65)/3,0)</f>
        <v>2022-3</v>
      </c>
      <c r="E67" s="3687" t="str">
        <f t="shared" si="19"/>
        <v>2022-2</v>
      </c>
      <c r="F67" s="3687" t="str">
        <f t="shared" si="19"/>
        <v>2022-1</v>
      </c>
      <c r="G67" s="3687" t="str">
        <f t="shared" si="19"/>
        <v>2021-4</v>
      </c>
      <c r="H67" s="3687" t="str">
        <f t="shared" si="19"/>
        <v>2021-3</v>
      </c>
      <c r="I67" s="3687" t="str">
        <f t="shared" si="19"/>
        <v>2021-2</v>
      </c>
      <c r="J67" s="3687" t="str">
        <f t="shared" si="19"/>
        <v>2021-1</v>
      </c>
      <c r="K67" s="3687" t="str">
        <f t="shared" si="19"/>
        <v>2020-4</v>
      </c>
      <c r="L67" s="3687" t="str">
        <f t="shared" si="19"/>
        <v>2020-3</v>
      </c>
      <c r="M67" s="3687" t="str">
        <f t="shared" si="19"/>
        <v>2020-2</v>
      </c>
      <c r="N67" s="3687" t="str">
        <f t="shared" si="19"/>
        <v>2020-1</v>
      </c>
      <c r="O67" s="3688" t="s">
        <v>2731</v>
      </c>
      <c r="P67" s="3689" t="s">
        <v>2729</v>
      </c>
      <c r="Q67" s="3689" t="s">
        <v>2722</v>
      </c>
      <c r="R67" s="3689" t="s">
        <v>2723</v>
      </c>
      <c r="S67" s="3689" t="s">
        <v>2719</v>
      </c>
      <c r="T67" s="3689"/>
      <c r="U67" s="3689"/>
      <c r="V67" s="3689"/>
      <c r="W67" s="3689"/>
      <c r="X67" s="3689"/>
      <c r="Y67" s="3689"/>
      <c r="Z67" s="3689"/>
      <c r="AA67" s="3689"/>
      <c r="AB67" s="3689"/>
      <c r="AC67" s="3689"/>
    </row>
    <row r="68" spans="1:29" s="3494" customFormat="1" ht="27.75" customHeight="1">
      <c r="A68" s="3691" t="s">
        <v>809</v>
      </c>
      <c r="B68" s="3692" t="str">
        <f>"北京市平均增长率"&amp;TEXT([3]基准地价!P24,"0.00%")</f>
        <v>北京市平均增长率1.18%</v>
      </c>
      <c r="C68" s="3503">
        <v>100</v>
      </c>
      <c r="D68" s="3693"/>
      <c r="E68" s="3693"/>
      <c r="F68" s="3693"/>
      <c r="G68" s="3693"/>
      <c r="H68" s="3693"/>
      <c r="I68" s="3693"/>
      <c r="J68" s="3693"/>
      <c r="K68" s="3693"/>
      <c r="L68" s="3693"/>
      <c r="M68" s="3570"/>
      <c r="N68" s="3694"/>
      <c r="O68" s="3695"/>
      <c r="P68" s="3684">
        <f>[3]土地案例!J137</f>
        <v>98.7</v>
      </c>
      <c r="Q68" s="3489">
        <f>[3]土地案例!J138</f>
        <v>98.3</v>
      </c>
      <c r="R68" s="3489">
        <f>[3]土地案例!J139</f>
        <v>97.6</v>
      </c>
      <c r="S68" s="3489">
        <f>[3]土地案例!J140</f>
        <v>98</v>
      </c>
      <c r="T68" s="3489"/>
      <c r="U68" s="3489"/>
      <c r="V68" s="3489"/>
      <c r="W68" s="3489"/>
      <c r="X68" s="3489"/>
      <c r="Y68" s="3489"/>
      <c r="Z68" s="3489"/>
      <c r="AA68" s="3489"/>
      <c r="AB68" s="3489"/>
      <c r="AC68" s="3489"/>
    </row>
    <row r="69" spans="1:29" s="3494" customFormat="1" ht="15.75" thickBot="1">
      <c r="A69" s="3696" t="s">
        <v>3223</v>
      </c>
      <c r="B69" s="3697"/>
      <c r="C69" s="3698"/>
      <c r="D69" s="3699"/>
      <c r="E69" s="3699"/>
      <c r="F69" s="3699"/>
      <c r="G69" s="3699"/>
      <c r="H69" s="3699"/>
      <c r="I69" s="3699"/>
      <c r="J69" s="3699"/>
      <c r="K69" s="3699"/>
      <c r="L69" s="3699"/>
      <c r="M69" s="3699"/>
      <c r="N69" s="3699"/>
      <c r="O69" s="3695"/>
      <c r="P69" s="3684"/>
      <c r="Q69" s="3684"/>
      <c r="R69" s="3489"/>
      <c r="S69" s="3489"/>
      <c r="T69" s="3489"/>
      <c r="U69" s="3489"/>
      <c r="V69" s="3489"/>
      <c r="W69" s="3489"/>
      <c r="X69" s="3489"/>
      <c r="Y69" s="3489"/>
      <c r="Z69" s="3489"/>
      <c r="AA69" s="3489"/>
      <c r="AB69" s="3489"/>
      <c r="AC69" s="3489"/>
    </row>
    <row r="70" spans="1:29" s="3494" customFormat="1" ht="15">
      <c r="A70" s="3700" t="s">
        <v>509</v>
      </c>
      <c r="B70" s="3701"/>
      <c r="C70" s="3702" t="s">
        <v>3224</v>
      </c>
      <c r="D70" s="3703"/>
      <c r="E70" s="3703"/>
      <c r="F70" s="3703"/>
      <c r="G70" s="3703"/>
      <c r="H70" s="3703"/>
      <c r="I70" s="3703"/>
      <c r="J70" s="3703"/>
      <c r="K70" s="3703"/>
      <c r="L70" s="3704"/>
      <c r="M70" s="3705"/>
      <c r="N70" s="3706"/>
      <c r="O70" s="3695"/>
      <c r="P70" s="3707"/>
      <c r="Q70" s="3684"/>
      <c r="R70" s="3489"/>
      <c r="S70" s="3489"/>
      <c r="T70" s="3489"/>
      <c r="U70" s="3489"/>
      <c r="V70" s="3489"/>
      <c r="W70" s="3489"/>
      <c r="X70" s="3489"/>
      <c r="Y70" s="3489"/>
      <c r="Z70" s="3489"/>
      <c r="AA70" s="3489"/>
      <c r="AB70" s="3489"/>
      <c r="AC70" s="3489"/>
    </row>
    <row r="71" spans="1:29" s="3494" customFormat="1" ht="15.75" thickBot="1">
      <c r="A71" s="3700"/>
      <c r="B71" s="3701"/>
      <c r="C71" s="3708">
        <v>100</v>
      </c>
      <c r="D71" s="3709"/>
      <c r="E71" s="3709"/>
      <c r="F71" s="3709"/>
      <c r="G71" s="3709"/>
      <c r="H71" s="3709"/>
      <c r="I71" s="3709"/>
      <c r="J71" s="3709"/>
      <c r="K71" s="3709"/>
      <c r="L71" s="3709"/>
      <c r="M71" s="3710"/>
      <c r="N71" s="3706"/>
      <c r="O71" s="3695"/>
      <c r="P71" s="3684"/>
      <c r="Q71" s="3684"/>
      <c r="R71" s="3489"/>
      <c r="S71" s="3489"/>
      <c r="T71" s="3489"/>
      <c r="U71" s="3489"/>
      <c r="V71" s="3489"/>
      <c r="W71" s="3489"/>
      <c r="X71" s="3489"/>
      <c r="Y71" s="3489"/>
      <c r="Z71" s="3489"/>
      <c r="AA71" s="3489"/>
      <c r="AB71" s="3489"/>
      <c r="AC71" s="3489"/>
    </row>
    <row r="72" spans="1:29">
      <c r="A72" s="3711" t="s">
        <v>554</v>
      </c>
      <c r="B72" s="3712" t="s">
        <v>512</v>
      </c>
      <c r="C72" s="3589"/>
      <c r="D72" s="3589"/>
      <c r="E72" s="3589"/>
      <c r="F72" s="3589"/>
      <c r="G72" s="3589"/>
      <c r="H72" s="3589"/>
      <c r="I72" s="3589"/>
      <c r="J72" s="3589"/>
      <c r="K72" s="3713"/>
      <c r="L72" s="3714"/>
      <c r="M72" s="3715"/>
      <c r="N72" s="3716"/>
      <c r="O72" s="3717"/>
      <c r="P72" s="3695"/>
      <c r="Q72" s="3684"/>
      <c r="R72" s="3473"/>
      <c r="S72" s="3473"/>
      <c r="T72" s="3473"/>
      <c r="U72" s="3473"/>
      <c r="V72" s="3473"/>
      <c r="W72" s="3473"/>
      <c r="X72" s="3473"/>
      <c r="Y72" s="3473"/>
      <c r="Z72" s="3473"/>
      <c r="AA72" s="3473"/>
      <c r="AB72" s="3473"/>
      <c r="AC72" s="3473"/>
    </row>
    <row r="73" spans="1:29" ht="15.75" thickBot="1">
      <c r="A73" s="3540"/>
      <c r="B73" s="3718"/>
      <c r="C73" s="3719"/>
      <c r="D73" s="3719"/>
      <c r="E73" s="3719"/>
      <c r="F73" s="3719"/>
      <c r="G73" s="3719"/>
      <c r="H73" s="3719"/>
      <c r="I73" s="3719"/>
      <c r="J73" s="3719"/>
      <c r="K73" s="3719"/>
      <c r="L73" s="3719"/>
      <c r="M73" s="3720"/>
      <c r="N73" s="3721"/>
      <c r="O73" s="3722"/>
      <c r="P73" s="3695"/>
      <c r="Q73" s="3684"/>
      <c r="R73" s="3473"/>
      <c r="S73" s="3473"/>
      <c r="T73" s="3473"/>
      <c r="U73" s="3473"/>
      <c r="V73" s="3473"/>
      <c r="W73" s="3473"/>
      <c r="X73" s="3473"/>
      <c r="Y73" s="3473"/>
      <c r="Z73" s="3473"/>
      <c r="AA73" s="3473"/>
      <c r="AB73" s="3473"/>
      <c r="AC73" s="3473"/>
    </row>
    <row r="74" spans="1:29" ht="27.75" thickTop="1">
      <c r="A74" s="3540"/>
      <c r="B74" s="3723" t="s">
        <v>515</v>
      </c>
      <c r="C74" s="3724"/>
      <c r="D74" s="3724"/>
      <c r="E74" s="3724"/>
      <c r="F74" s="3724"/>
      <c r="G74" s="3724"/>
      <c r="H74" s="3724"/>
      <c r="I74" s="3724"/>
      <c r="J74" s="3724"/>
      <c r="K74" s="3725"/>
      <c r="L74" s="3726"/>
      <c r="M74" s="3727"/>
      <c r="N74" s="3716"/>
      <c r="O74" s="3717"/>
      <c r="P74" s="3695"/>
      <c r="Q74" s="3684"/>
      <c r="R74" s="3473"/>
      <c r="S74" s="3473"/>
      <c r="T74" s="3473"/>
      <c r="U74" s="3473"/>
      <c r="V74" s="3473"/>
      <c r="W74" s="3473"/>
      <c r="X74" s="3473"/>
      <c r="Y74" s="3473"/>
      <c r="Z74" s="3473"/>
      <c r="AA74" s="3473"/>
      <c r="AB74" s="3473"/>
      <c r="AC74" s="3473"/>
    </row>
    <row r="75" spans="1:29" ht="15.75" thickBot="1">
      <c r="A75" s="3540"/>
      <c r="B75" s="3728"/>
      <c r="C75" s="3729"/>
      <c r="D75" s="3729"/>
      <c r="E75" s="3729"/>
      <c r="F75" s="3729"/>
      <c r="G75" s="3729"/>
      <c r="H75" s="3729"/>
      <c r="I75" s="3729"/>
      <c r="J75" s="3729"/>
      <c r="K75" s="3729"/>
      <c r="L75" s="3729"/>
      <c r="M75" s="3730"/>
      <c r="N75" s="3721"/>
      <c r="O75" s="3722"/>
      <c r="P75" s="3695"/>
      <c r="Q75" s="3684"/>
      <c r="R75" s="3473"/>
      <c r="S75" s="3473"/>
      <c r="T75" s="3473"/>
      <c r="U75" s="3473"/>
      <c r="V75" s="3473"/>
      <c r="W75" s="3473"/>
      <c r="X75" s="3473"/>
      <c r="Y75" s="3473"/>
      <c r="Z75" s="3473"/>
      <c r="AA75" s="3473"/>
      <c r="AB75" s="3473"/>
      <c r="AC75" s="3473"/>
    </row>
    <row r="76" spans="1:29" ht="15.75" thickTop="1">
      <c r="A76" s="3540"/>
      <c r="B76" s="3731" t="s">
        <v>516</v>
      </c>
      <c r="C76" s="3732" t="str">
        <f>C77&amp;"（含）"&amp;"-"&amp;D77</f>
        <v>1（含）-</v>
      </c>
      <c r="D76" s="3732" t="str">
        <f t="shared" ref="D76:L76" si="20">D77&amp;"（含）"&amp;"-"&amp;E77</f>
        <v>（含）-</v>
      </c>
      <c r="E76" s="3732" t="str">
        <f t="shared" si="20"/>
        <v>（含）-</v>
      </c>
      <c r="F76" s="3732" t="str">
        <f t="shared" si="20"/>
        <v>（含）-</v>
      </c>
      <c r="G76" s="3732" t="str">
        <f t="shared" si="20"/>
        <v>（含）-</v>
      </c>
      <c r="H76" s="3732" t="str">
        <f t="shared" si="20"/>
        <v>（含）-</v>
      </c>
      <c r="I76" s="3732" t="str">
        <f t="shared" si="20"/>
        <v>（含）-</v>
      </c>
      <c r="J76" s="3732" t="str">
        <f t="shared" si="20"/>
        <v>（含）-</v>
      </c>
      <c r="K76" s="3732" t="str">
        <f t="shared" si="20"/>
        <v>（含）-</v>
      </c>
      <c r="L76" s="3732" t="str">
        <f t="shared" si="20"/>
        <v>（含）-</v>
      </c>
      <c r="M76" s="3543" t="str">
        <f>M77&amp;"（含）"&amp;"-"&amp;P77</f>
        <v>（含）-</v>
      </c>
      <c r="N76" s="3721"/>
      <c r="O76" s="3722"/>
      <c r="P76" s="3695"/>
      <c r="Q76" s="3684"/>
      <c r="R76" s="3473"/>
      <c r="S76" s="3473"/>
      <c r="T76" s="3473"/>
      <c r="U76" s="3473"/>
      <c r="V76" s="3473"/>
      <c r="W76" s="3473"/>
      <c r="X76" s="3473"/>
      <c r="Y76" s="3473"/>
      <c r="Z76" s="3473"/>
      <c r="AA76" s="3473"/>
      <c r="AB76" s="3473"/>
      <c r="AC76" s="3473"/>
    </row>
    <row r="77" spans="1:29" ht="15">
      <c r="A77" s="3540"/>
      <c r="B77" s="3733"/>
      <c r="C77" s="3521">
        <v>1</v>
      </c>
      <c r="D77" s="3521"/>
      <c r="E77" s="3521"/>
      <c r="F77" s="3521"/>
      <c r="G77" s="3521"/>
      <c r="H77" s="3521"/>
      <c r="I77" s="3521"/>
      <c r="J77" s="3521"/>
      <c r="K77" s="3734"/>
      <c r="L77" s="3735"/>
      <c r="M77" s="3736"/>
      <c r="N77" s="3716"/>
      <c r="O77" s="3717"/>
      <c r="P77" s="3695"/>
      <c r="Q77" s="3684"/>
      <c r="R77" s="3473"/>
      <c r="S77" s="3473"/>
      <c r="T77" s="3473"/>
      <c r="U77" s="3473"/>
      <c r="V77" s="3473"/>
      <c r="W77" s="3473"/>
      <c r="X77" s="3473"/>
      <c r="Y77" s="3473"/>
      <c r="Z77" s="3473"/>
      <c r="AA77" s="3473"/>
      <c r="AB77" s="3473"/>
      <c r="AC77" s="3473"/>
    </row>
    <row r="78" spans="1:29" ht="15.75" thickBot="1">
      <c r="A78" s="3540"/>
      <c r="B78" s="3718"/>
      <c r="C78" s="3729">
        <v>100</v>
      </c>
      <c r="D78" s="3729">
        <f>IF($B$43="单位面积地价",C78+$K13,C78-$K13)</f>
        <v>100</v>
      </c>
      <c r="E78" s="3729">
        <f t="shared" ref="E78:M78" si="21">IF($B$43="单位面积地价",D78+$K13,D78-$K13)</f>
        <v>100</v>
      </c>
      <c r="F78" s="3729">
        <f t="shared" si="21"/>
        <v>100</v>
      </c>
      <c r="G78" s="3729">
        <f t="shared" si="21"/>
        <v>100</v>
      </c>
      <c r="H78" s="3729">
        <f t="shared" si="21"/>
        <v>100</v>
      </c>
      <c r="I78" s="3729">
        <f t="shared" si="21"/>
        <v>100</v>
      </c>
      <c r="J78" s="3729">
        <f t="shared" si="21"/>
        <v>100</v>
      </c>
      <c r="K78" s="3729">
        <f t="shared" si="21"/>
        <v>100</v>
      </c>
      <c r="L78" s="3729">
        <f t="shared" si="21"/>
        <v>100</v>
      </c>
      <c r="M78" s="3729">
        <f t="shared" si="21"/>
        <v>100</v>
      </c>
      <c r="N78" s="3721"/>
      <c r="O78" s="3722"/>
      <c r="P78" s="3695"/>
      <c r="Q78" s="3684"/>
      <c r="R78" s="3473"/>
      <c r="S78" s="3473"/>
      <c r="T78" s="3473"/>
      <c r="U78" s="3473"/>
      <c r="V78" s="3473"/>
      <c r="W78" s="3473"/>
      <c r="X78" s="3473"/>
      <c r="Y78" s="3473"/>
      <c r="Z78" s="3473"/>
      <c r="AA78" s="3473"/>
      <c r="AB78" s="3473"/>
      <c r="AC78" s="3473"/>
    </row>
    <row r="79" spans="1:29" s="3585" customFormat="1" ht="15.75" thickTop="1">
      <c r="A79" s="3737"/>
      <c r="B79" s="3723">
        <f>B14</f>
        <v>111</v>
      </c>
      <c r="C79" s="3738"/>
      <c r="D79" s="3738"/>
      <c r="E79" s="3738"/>
      <c r="F79" s="3738"/>
      <c r="G79" s="3738"/>
      <c r="H79" s="3739"/>
      <c r="I79" s="3739"/>
      <c r="J79" s="3739"/>
      <c r="K79" s="3739"/>
      <c r="L79" s="3740"/>
      <c r="M79" s="3741"/>
      <c r="N79" s="3742"/>
      <c r="O79" s="3743"/>
      <c r="P79" s="3743"/>
      <c r="Q79" s="3744"/>
      <c r="R79" s="3579"/>
      <c r="S79" s="3579"/>
      <c r="T79" s="3579"/>
      <c r="U79" s="3579"/>
      <c r="V79" s="3579"/>
      <c r="W79" s="3579"/>
      <c r="X79" s="3579"/>
      <c r="Y79" s="3579"/>
      <c r="Z79" s="3579"/>
      <c r="AA79" s="3579"/>
      <c r="AB79" s="3579"/>
      <c r="AC79" s="3579"/>
    </row>
    <row r="80" spans="1:29" s="3585" customFormat="1" ht="15.75" thickBot="1">
      <c r="A80" s="3737"/>
      <c r="B80" s="3728"/>
      <c r="C80" s="3745"/>
      <c r="D80" s="3719"/>
      <c r="E80" s="3719"/>
      <c r="F80" s="3719"/>
      <c r="G80" s="3719"/>
      <c r="H80" s="3719"/>
      <c r="I80" s="3719"/>
      <c r="J80" s="3719"/>
      <c r="K80" s="3719"/>
      <c r="L80" s="3719"/>
      <c r="M80" s="3720"/>
      <c r="N80" s="3721"/>
      <c r="O80" s="3722"/>
      <c r="P80" s="3743"/>
      <c r="Q80" s="3744"/>
      <c r="R80" s="3579"/>
      <c r="S80" s="3579"/>
      <c r="T80" s="3579"/>
      <c r="U80" s="3579"/>
      <c r="V80" s="3579"/>
      <c r="W80" s="3579"/>
      <c r="X80" s="3579"/>
      <c r="Y80" s="3579"/>
      <c r="Z80" s="3579"/>
      <c r="AA80" s="3579"/>
      <c r="AB80" s="3579"/>
      <c r="AC80" s="3579"/>
    </row>
    <row r="81" spans="1:29" s="3585" customFormat="1" ht="15.75" thickTop="1">
      <c r="A81" s="3737"/>
      <c r="B81" s="3723">
        <f>B15</f>
        <v>111</v>
      </c>
      <c r="C81" s="3738"/>
      <c r="D81" s="3738"/>
      <c r="E81" s="3738"/>
      <c r="F81" s="3738"/>
      <c r="G81" s="3738"/>
      <c r="H81" s="3739"/>
      <c r="I81" s="3739"/>
      <c r="J81" s="3739"/>
      <c r="K81" s="3739"/>
      <c r="L81" s="3740"/>
      <c r="M81" s="3741"/>
      <c r="N81" s="3742"/>
      <c r="O81" s="3743"/>
      <c r="P81" s="3579"/>
      <c r="Q81" s="3746"/>
      <c r="R81" s="3579"/>
      <c r="S81" s="3579"/>
      <c r="T81" s="3579"/>
      <c r="U81" s="3579"/>
      <c r="V81" s="3579"/>
      <c r="W81" s="3579"/>
      <c r="X81" s="3579"/>
      <c r="Y81" s="3579"/>
      <c r="Z81" s="3579"/>
      <c r="AA81" s="3579"/>
      <c r="AB81" s="3579"/>
      <c r="AC81" s="3579"/>
    </row>
    <row r="82" spans="1:29" s="3585" customFormat="1" ht="15.75" thickBot="1">
      <c r="A82" s="3737"/>
      <c r="B82" s="3728"/>
      <c r="C82" s="3745"/>
      <c r="D82" s="3745"/>
      <c r="E82" s="3745"/>
      <c r="F82" s="3745"/>
      <c r="G82" s="3745"/>
      <c r="H82" s="3747"/>
      <c r="I82" s="3747"/>
      <c r="J82" s="3747"/>
      <c r="K82" s="3747"/>
      <c r="L82" s="3747"/>
      <c r="M82" s="3748"/>
      <c r="N82" s="3742"/>
      <c r="O82" s="3743"/>
      <c r="P82" s="3743"/>
      <c r="Q82" s="3744"/>
      <c r="R82" s="3579"/>
      <c r="S82" s="3579"/>
      <c r="T82" s="3579"/>
      <c r="U82" s="3579"/>
      <c r="V82" s="3579"/>
      <c r="W82" s="3579"/>
      <c r="X82" s="3579"/>
      <c r="Y82" s="3579"/>
      <c r="Z82" s="3579"/>
      <c r="AA82" s="3579"/>
      <c r="AB82" s="3579"/>
      <c r="AC82" s="3579"/>
    </row>
    <row r="83" spans="1:29" s="3585" customFormat="1" ht="15.75" thickTop="1">
      <c r="A83" s="3737"/>
      <c r="B83" s="3731">
        <f>B16</f>
        <v>111</v>
      </c>
      <c r="C83" s="3703"/>
      <c r="D83" s="3703"/>
      <c r="E83" s="3703"/>
      <c r="F83" s="3703"/>
      <c r="G83" s="3703"/>
      <c r="H83" s="3749"/>
      <c r="I83" s="3749"/>
      <c r="J83" s="3749"/>
      <c r="K83" s="3749"/>
      <c r="L83" s="3750"/>
      <c r="M83" s="3751"/>
      <c r="N83" s="3742"/>
      <c r="O83" s="3743"/>
      <c r="P83" s="3752"/>
      <c r="Q83" s="3744"/>
      <c r="R83" s="3579"/>
      <c r="S83" s="3579"/>
      <c r="T83" s="3579"/>
      <c r="U83" s="3579"/>
      <c r="V83" s="3579"/>
      <c r="W83" s="3579"/>
      <c r="X83" s="3579"/>
      <c r="Y83" s="3579"/>
      <c r="Z83" s="3579"/>
      <c r="AA83" s="3579"/>
      <c r="AB83" s="3579"/>
      <c r="AC83" s="3579"/>
    </row>
    <row r="84" spans="1:29" s="3585" customFormat="1" ht="15.75" thickBot="1">
      <c r="A84" s="3753"/>
      <c r="B84" s="3754"/>
      <c r="C84" s="3755"/>
      <c r="D84" s="3755"/>
      <c r="E84" s="3755"/>
      <c r="F84" s="3755"/>
      <c r="G84" s="3755"/>
      <c r="H84" s="3756"/>
      <c r="I84" s="3756"/>
      <c r="J84" s="3756"/>
      <c r="K84" s="3756"/>
      <c r="L84" s="3756"/>
      <c r="M84" s="3757"/>
      <c r="N84" s="3742"/>
      <c r="O84" s="3743"/>
      <c r="P84" s="3743"/>
      <c r="Q84" s="3744"/>
      <c r="R84" s="3579"/>
      <c r="S84" s="3579"/>
      <c r="T84" s="3579"/>
      <c r="U84" s="3579"/>
      <c r="V84" s="3579"/>
      <c r="W84" s="3579"/>
      <c r="X84" s="3579"/>
      <c r="Y84" s="3579"/>
      <c r="Z84" s="3579"/>
      <c r="AA84" s="3579"/>
      <c r="AB84" s="3579"/>
      <c r="AC84" s="3579"/>
    </row>
    <row r="85" spans="1:29">
      <c r="A85" s="3711" t="s">
        <v>517</v>
      </c>
      <c r="B85" s="3712" t="s">
        <v>575</v>
      </c>
      <c r="C85" s="3758" t="s">
        <v>556</v>
      </c>
      <c r="D85" s="3758" t="s">
        <v>557</v>
      </c>
      <c r="E85" s="3758" t="s">
        <v>558</v>
      </c>
      <c r="F85" s="3758" t="s">
        <v>559</v>
      </c>
      <c r="G85" s="3758" t="s">
        <v>560</v>
      </c>
      <c r="H85" s="3759"/>
      <c r="I85" s="3759"/>
      <c r="J85" s="3759"/>
      <c r="K85" s="3760"/>
      <c r="L85" s="3761"/>
      <c r="M85" s="3762"/>
      <c r="N85" s="3716"/>
      <c r="O85" s="3717"/>
      <c r="P85" s="3763"/>
      <c r="Q85" s="3684"/>
      <c r="R85" s="3473"/>
      <c r="S85" s="3473"/>
      <c r="T85" s="3473"/>
      <c r="U85" s="3473"/>
      <c r="V85" s="3473"/>
      <c r="W85" s="3473"/>
      <c r="X85" s="3473"/>
      <c r="Y85" s="3473"/>
      <c r="Z85" s="3473"/>
      <c r="AA85" s="3473"/>
      <c r="AB85" s="3473"/>
      <c r="AC85" s="3473"/>
    </row>
    <row r="86" spans="1:29" ht="15.75" thickBot="1">
      <c r="A86" s="3540"/>
      <c r="B86" s="3728"/>
      <c r="C86" s="3729">
        <v>100</v>
      </c>
      <c r="D86" s="3729">
        <f>C86-$K17</f>
        <v>99.5</v>
      </c>
      <c r="E86" s="3729">
        <f>D86-$K17</f>
        <v>99</v>
      </c>
      <c r="F86" s="3729">
        <f>E86-$K17</f>
        <v>98.5</v>
      </c>
      <c r="G86" s="3729">
        <f>F86-$K17</f>
        <v>98</v>
      </c>
      <c r="H86" s="3729"/>
      <c r="I86" s="3729"/>
      <c r="J86" s="3729"/>
      <c r="K86" s="3729"/>
      <c r="L86" s="3729"/>
      <c r="M86" s="3730"/>
      <c r="N86" s="3721"/>
      <c r="O86" s="3722"/>
      <c r="P86" s="3695"/>
      <c r="Q86" s="3684"/>
      <c r="R86" s="3473"/>
      <c r="S86" s="3473"/>
      <c r="T86" s="3473"/>
      <c r="U86" s="3473"/>
      <c r="V86" s="3473"/>
      <c r="W86" s="3473"/>
      <c r="X86" s="3473"/>
      <c r="Y86" s="3473"/>
      <c r="Z86" s="3473"/>
      <c r="AA86" s="3473"/>
      <c r="AB86" s="3473"/>
      <c r="AC86" s="3473"/>
    </row>
    <row r="87" spans="1:29" ht="15.75" thickTop="1">
      <c r="A87" s="3540"/>
      <c r="B87" s="3723" t="s">
        <v>563</v>
      </c>
      <c r="C87" s="3764" t="s">
        <v>556</v>
      </c>
      <c r="D87" s="3764" t="s">
        <v>557</v>
      </c>
      <c r="E87" s="3764" t="s">
        <v>558</v>
      </c>
      <c r="F87" s="3764" t="s">
        <v>559</v>
      </c>
      <c r="G87" s="3764" t="s">
        <v>560</v>
      </c>
      <c r="H87" s="3724"/>
      <c r="I87" s="3724"/>
      <c r="J87" s="3724"/>
      <c r="K87" s="3725"/>
      <c r="L87" s="3726"/>
      <c r="M87" s="3727"/>
      <c r="N87" s="3716"/>
      <c r="O87" s="3717"/>
      <c r="P87" s="3695"/>
      <c r="Q87" s="3684"/>
      <c r="R87" s="3473"/>
      <c r="S87" s="3473"/>
      <c r="T87" s="3473"/>
      <c r="U87" s="3473"/>
      <c r="V87" s="3473"/>
      <c r="W87" s="3473"/>
      <c r="X87" s="3473"/>
      <c r="Y87" s="3473"/>
      <c r="Z87" s="3473"/>
      <c r="AA87" s="3473"/>
      <c r="AB87" s="3473"/>
      <c r="AC87" s="3473"/>
    </row>
    <row r="88" spans="1:29" ht="15.75" thickBot="1">
      <c r="A88" s="3540"/>
      <c r="B88" s="3728"/>
      <c r="C88" s="3729">
        <v>100</v>
      </c>
      <c r="D88" s="3729">
        <f>C88-$K19</f>
        <v>99.5</v>
      </c>
      <c r="E88" s="3729">
        <f>D88-$K19</f>
        <v>99</v>
      </c>
      <c r="F88" s="3729">
        <f>E88-$K19</f>
        <v>98.5</v>
      </c>
      <c r="G88" s="3729">
        <f>F88-$K19</f>
        <v>98</v>
      </c>
      <c r="H88" s="3729"/>
      <c r="I88" s="3729"/>
      <c r="J88" s="3729"/>
      <c r="K88" s="3729"/>
      <c r="L88" s="3729"/>
      <c r="M88" s="3730"/>
      <c r="N88" s="3721"/>
      <c r="O88" s="3722"/>
      <c r="P88" s="3695"/>
      <c r="Q88" s="3684"/>
      <c r="R88" s="3473"/>
      <c r="S88" s="3473"/>
      <c r="T88" s="3473"/>
      <c r="U88" s="3473"/>
      <c r="V88" s="3473"/>
      <c r="W88" s="3473"/>
      <c r="X88" s="3473"/>
      <c r="Y88" s="3473"/>
      <c r="Z88" s="3473"/>
      <c r="AA88" s="3473"/>
      <c r="AB88" s="3473"/>
      <c r="AC88" s="3473"/>
    </row>
    <row r="89" spans="1:29" s="3494" customFormat="1" ht="27.75" thickTop="1">
      <c r="A89" s="3765"/>
      <c r="B89" s="3723" t="s">
        <v>564</v>
      </c>
      <c r="C89" s="3764" t="s">
        <v>556</v>
      </c>
      <c r="D89" s="3764" t="s">
        <v>557</v>
      </c>
      <c r="E89" s="3764" t="s">
        <v>558</v>
      </c>
      <c r="F89" s="3764" t="s">
        <v>559</v>
      </c>
      <c r="G89" s="3764" t="s">
        <v>560</v>
      </c>
      <c r="H89" s="3764"/>
      <c r="I89" s="3764"/>
      <c r="J89" s="3764"/>
      <c r="K89" s="3764"/>
      <c r="L89" s="3766"/>
      <c r="M89" s="3767"/>
      <c r="N89" s="3706"/>
      <c r="O89" s="3695"/>
      <c r="P89" s="3695"/>
      <c r="Q89" s="3684"/>
      <c r="R89" s="3489"/>
      <c r="S89" s="3489"/>
      <c r="T89" s="3489"/>
      <c r="U89" s="3489"/>
      <c r="V89" s="3489"/>
      <c r="W89" s="3489"/>
      <c r="X89" s="3489"/>
      <c r="Y89" s="3489"/>
      <c r="Z89" s="3489"/>
      <c r="AA89" s="3489"/>
      <c r="AB89" s="3489"/>
      <c r="AC89" s="3489"/>
    </row>
    <row r="90" spans="1:29" s="3494" customFormat="1" ht="15.75" thickBot="1">
      <c r="A90" s="3765"/>
      <c r="B90" s="3728"/>
      <c r="C90" s="3768">
        <v>100</v>
      </c>
      <c r="D90" s="3729">
        <f>C90-$K21</f>
        <v>100</v>
      </c>
      <c r="E90" s="3729">
        <f>D90-$K21</f>
        <v>100</v>
      </c>
      <c r="F90" s="3729">
        <f>E90-$K21</f>
        <v>100</v>
      </c>
      <c r="G90" s="3729">
        <f>F90-$K21</f>
        <v>100</v>
      </c>
      <c r="H90" s="3729"/>
      <c r="I90" s="3729"/>
      <c r="J90" s="3729"/>
      <c r="K90" s="3729"/>
      <c r="L90" s="3729"/>
      <c r="M90" s="3730"/>
      <c r="N90" s="3721"/>
      <c r="O90" s="3722"/>
      <c r="P90" s="3695"/>
      <c r="Q90" s="3684"/>
      <c r="R90" s="3489"/>
      <c r="S90" s="3489"/>
      <c r="T90" s="3489"/>
      <c r="U90" s="3489"/>
      <c r="V90" s="3489"/>
      <c r="W90" s="3489"/>
      <c r="X90" s="3489"/>
      <c r="Y90" s="3489"/>
      <c r="Z90" s="3489"/>
      <c r="AA90" s="3489"/>
      <c r="AB90" s="3489"/>
      <c r="AC90" s="3489"/>
    </row>
    <row r="91" spans="1:29" s="3494" customFormat="1" ht="27.75" thickTop="1">
      <c r="A91" s="3765"/>
      <c r="B91" s="3723" t="s">
        <v>565</v>
      </c>
      <c r="C91" s="3758" t="s">
        <v>556</v>
      </c>
      <c r="D91" s="3758" t="s">
        <v>557</v>
      </c>
      <c r="E91" s="3758" t="s">
        <v>558</v>
      </c>
      <c r="F91" s="3758" t="s">
        <v>559</v>
      </c>
      <c r="G91" s="3758" t="s">
        <v>560</v>
      </c>
      <c r="H91" s="3764"/>
      <c r="I91" s="3764"/>
      <c r="J91" s="3764"/>
      <c r="K91" s="3764"/>
      <c r="L91" s="3764"/>
      <c r="M91" s="3767"/>
      <c r="N91" s="3706"/>
      <c r="O91" s="3695"/>
      <c r="P91" s="3695"/>
      <c r="Q91" s="3684"/>
      <c r="R91" s="3489"/>
      <c r="S91" s="3489"/>
      <c r="T91" s="3489"/>
      <c r="U91" s="3489"/>
      <c r="V91" s="3489"/>
      <c r="W91" s="3489"/>
      <c r="X91" s="3489"/>
      <c r="Y91" s="3489"/>
      <c r="Z91" s="3489"/>
      <c r="AA91" s="3489"/>
      <c r="AB91" s="3489"/>
      <c r="AC91" s="3489"/>
    </row>
    <row r="92" spans="1:29" s="3494" customFormat="1" ht="15.75" thickBot="1">
      <c r="A92" s="3765"/>
      <c r="B92" s="3728"/>
      <c r="C92" s="3729">
        <v>100</v>
      </c>
      <c r="D92" s="3729">
        <f>C92-$K23</f>
        <v>100</v>
      </c>
      <c r="E92" s="3729">
        <f>D92-$K23</f>
        <v>100</v>
      </c>
      <c r="F92" s="3729">
        <f>E92-$K23</f>
        <v>100</v>
      </c>
      <c r="G92" s="3729">
        <f>F92-$K23</f>
        <v>100</v>
      </c>
      <c r="H92" s="3729"/>
      <c r="I92" s="3729"/>
      <c r="J92" s="3729"/>
      <c r="K92" s="3729"/>
      <c r="L92" s="3729"/>
      <c r="M92" s="3730"/>
      <c r="N92" s="3721"/>
      <c r="O92" s="3722"/>
      <c r="P92" s="3695"/>
      <c r="Q92" s="3684"/>
      <c r="R92" s="3489"/>
      <c r="S92" s="3489"/>
      <c r="T92" s="3489"/>
      <c r="U92" s="3489"/>
      <c r="V92" s="3489"/>
      <c r="W92" s="3489"/>
      <c r="X92" s="3489"/>
      <c r="Y92" s="3489"/>
      <c r="Z92" s="3489"/>
      <c r="AA92" s="3489"/>
      <c r="AB92" s="3489"/>
      <c r="AC92" s="3489"/>
    </row>
    <row r="93" spans="1:29" s="3585" customFormat="1" ht="15.75" thickTop="1">
      <c r="A93" s="3737"/>
      <c r="B93" s="3769" t="s">
        <v>2096</v>
      </c>
      <c r="C93" s="3758" t="s">
        <v>556</v>
      </c>
      <c r="D93" s="3758" t="s">
        <v>557</v>
      </c>
      <c r="E93" s="3758" t="s">
        <v>558</v>
      </c>
      <c r="F93" s="3758" t="s">
        <v>559</v>
      </c>
      <c r="G93" s="3758" t="s">
        <v>560</v>
      </c>
      <c r="H93" s="3770"/>
      <c r="I93" s="3770"/>
      <c r="J93" s="3770"/>
      <c r="K93" s="3770"/>
      <c r="L93" s="3771"/>
      <c r="M93" s="3772"/>
      <c r="N93" s="3742"/>
      <c r="O93" s="3743"/>
      <c r="P93" s="3743"/>
      <c r="Q93" s="3744"/>
      <c r="R93" s="3579"/>
      <c r="S93" s="3579"/>
      <c r="T93" s="3579"/>
      <c r="U93" s="3579"/>
      <c r="V93" s="3579"/>
      <c r="W93" s="3579"/>
      <c r="X93" s="3579"/>
      <c r="Y93" s="3579"/>
      <c r="Z93" s="3579"/>
      <c r="AA93" s="3579"/>
      <c r="AB93" s="3579"/>
      <c r="AC93" s="3579"/>
    </row>
    <row r="94" spans="1:29" s="3585" customFormat="1" ht="15.75" thickBot="1">
      <c r="A94" s="3737"/>
      <c r="B94" s="3728"/>
      <c r="C94" s="3729">
        <v>100</v>
      </c>
      <c r="D94" s="3729">
        <f>C94-$K25</f>
        <v>100</v>
      </c>
      <c r="E94" s="3729">
        <f>D94-$K25</f>
        <v>100</v>
      </c>
      <c r="F94" s="3729">
        <f>E94-$K25</f>
        <v>100</v>
      </c>
      <c r="G94" s="3729">
        <f>F94-$K25</f>
        <v>100</v>
      </c>
      <c r="H94" s="3773"/>
      <c r="I94" s="3773"/>
      <c r="J94" s="3773"/>
      <c r="K94" s="3773"/>
      <c r="L94" s="3773"/>
      <c r="M94" s="3774"/>
      <c r="N94" s="3742"/>
      <c r="O94" s="3743"/>
      <c r="P94" s="3743"/>
      <c r="Q94" s="3744"/>
      <c r="R94" s="3579"/>
      <c r="S94" s="3579"/>
      <c r="T94" s="3579"/>
      <c r="U94" s="3579"/>
      <c r="V94" s="3579"/>
      <c r="W94" s="3579"/>
      <c r="X94" s="3579"/>
      <c r="Y94" s="3579"/>
      <c r="Z94" s="3579"/>
      <c r="AA94" s="3579"/>
      <c r="AB94" s="3579"/>
      <c r="AC94" s="3579"/>
    </row>
    <row r="95" spans="1:29" s="3585" customFormat="1" ht="15.75" thickTop="1">
      <c r="A95" s="3737"/>
      <c r="B95" s="3775" t="s">
        <v>3201</v>
      </c>
      <c r="C95" s="3776" t="s">
        <v>1765</v>
      </c>
      <c r="D95" s="3776" t="s">
        <v>1764</v>
      </c>
      <c r="E95" s="3776" t="s">
        <v>1763</v>
      </c>
      <c r="F95" s="3776" t="s">
        <v>1762</v>
      </c>
      <c r="G95" s="3776" t="s">
        <v>1761</v>
      </c>
      <c r="H95" s="3770"/>
      <c r="I95" s="3770"/>
      <c r="J95" s="3770"/>
      <c r="K95" s="3770"/>
      <c r="L95" s="3770"/>
      <c r="M95" s="3772"/>
      <c r="N95" s="3742"/>
      <c r="O95" s="3743"/>
      <c r="P95" s="3743"/>
      <c r="Q95" s="3744"/>
      <c r="R95" s="3579"/>
      <c r="S95" s="3579"/>
      <c r="T95" s="3579"/>
      <c r="U95" s="3579"/>
      <c r="V95" s="3579"/>
      <c r="W95" s="3579"/>
      <c r="X95" s="3579"/>
      <c r="Y95" s="3579"/>
      <c r="Z95" s="3579"/>
      <c r="AA95" s="3579"/>
      <c r="AB95" s="3579"/>
      <c r="AC95" s="3579"/>
    </row>
    <row r="96" spans="1:29" s="3585" customFormat="1" ht="15.75" thickBot="1">
      <c r="A96" s="3737"/>
      <c r="B96" s="3731"/>
      <c r="C96" s="3729">
        <v>100</v>
      </c>
      <c r="D96" s="3729">
        <f>C96-$K27</f>
        <v>100</v>
      </c>
      <c r="E96" s="3729">
        <f>D96-$K27</f>
        <v>100</v>
      </c>
      <c r="F96" s="3729">
        <f>E96-$K27</f>
        <v>100</v>
      </c>
      <c r="G96" s="3729">
        <f>F96-$K27</f>
        <v>100</v>
      </c>
      <c r="H96" s="3733"/>
      <c r="I96" s="3733"/>
      <c r="J96" s="3733"/>
      <c r="K96" s="3733"/>
      <c r="L96" s="3733"/>
      <c r="M96" s="3777"/>
      <c r="N96" s="3742"/>
      <c r="O96" s="3743"/>
      <c r="P96" s="3743"/>
      <c r="Q96" s="3744"/>
      <c r="R96" s="3579"/>
      <c r="S96" s="3579"/>
      <c r="T96" s="3579"/>
      <c r="U96" s="3579"/>
      <c r="V96" s="3579"/>
      <c r="W96" s="3579"/>
      <c r="X96" s="3579"/>
      <c r="Y96" s="3579"/>
      <c r="Z96" s="3579"/>
      <c r="AA96" s="3579"/>
      <c r="AB96" s="3579"/>
      <c r="AC96" s="3579"/>
    </row>
    <row r="97" spans="1:29" ht="15.75" thickTop="1">
      <c r="A97" s="3540"/>
      <c r="B97" s="3723" t="str">
        <f>B29</f>
        <v>临街状况</v>
      </c>
      <c r="C97" s="3724" t="s">
        <v>3225</v>
      </c>
      <c r="D97" s="3724" t="s">
        <v>3226</v>
      </c>
      <c r="E97" s="3724" t="s">
        <v>3227</v>
      </c>
      <c r="F97" s="3724" t="s">
        <v>3228</v>
      </c>
      <c r="G97" s="3724"/>
      <c r="H97" s="3724"/>
      <c r="I97" s="3724"/>
      <c r="J97" s="3724"/>
      <c r="K97" s="3725"/>
      <c r="L97" s="3726"/>
      <c r="M97" s="3727"/>
      <c r="N97" s="3716"/>
      <c r="O97" s="3717"/>
      <c r="P97" s="3695"/>
      <c r="Q97" s="3684"/>
      <c r="R97" s="3473"/>
      <c r="S97" s="3473"/>
      <c r="T97" s="3473"/>
      <c r="U97" s="3473"/>
      <c r="V97" s="3473"/>
      <c r="W97" s="3473"/>
      <c r="X97" s="3473"/>
      <c r="Y97" s="3473"/>
      <c r="Z97" s="3473"/>
      <c r="AA97" s="3473"/>
      <c r="AB97" s="3473"/>
      <c r="AC97" s="3473"/>
    </row>
    <row r="98" spans="1:29" ht="15.75" thickBot="1">
      <c r="A98" s="3540"/>
      <c r="B98" s="3728"/>
      <c r="C98" s="3729">
        <v>100</v>
      </c>
      <c r="D98" s="3729">
        <f t="shared" ref="D98:M98" si="22">C98-$K29</f>
        <v>100</v>
      </c>
      <c r="E98" s="3729">
        <f t="shared" si="22"/>
        <v>100</v>
      </c>
      <c r="F98" s="3729">
        <f t="shared" si="22"/>
        <v>100</v>
      </c>
      <c r="G98" s="3729">
        <f t="shared" si="22"/>
        <v>100</v>
      </c>
      <c r="H98" s="3729">
        <f t="shared" si="22"/>
        <v>100</v>
      </c>
      <c r="I98" s="3729">
        <f t="shared" si="22"/>
        <v>100</v>
      </c>
      <c r="J98" s="3729">
        <f t="shared" si="22"/>
        <v>100</v>
      </c>
      <c r="K98" s="3729">
        <f t="shared" si="22"/>
        <v>100</v>
      </c>
      <c r="L98" s="3729">
        <f t="shared" si="22"/>
        <v>100</v>
      </c>
      <c r="M98" s="3729">
        <f t="shared" si="22"/>
        <v>100</v>
      </c>
      <c r="N98" s="3721"/>
      <c r="O98" s="3722"/>
      <c r="P98" s="3695"/>
      <c r="Q98" s="3684"/>
      <c r="R98" s="3473"/>
      <c r="S98" s="3473"/>
      <c r="T98" s="3473"/>
      <c r="U98" s="3473"/>
      <c r="V98" s="3473"/>
      <c r="W98" s="3473"/>
      <c r="X98" s="3473"/>
      <c r="Y98" s="3473"/>
      <c r="Z98" s="3473"/>
      <c r="AA98" s="3473"/>
      <c r="AB98" s="3473"/>
      <c r="AC98" s="3473"/>
    </row>
    <row r="99" spans="1:29" ht="27.75" thickTop="1">
      <c r="A99" s="3540"/>
      <c r="B99" s="3723" t="s">
        <v>758</v>
      </c>
      <c r="C99" s="3738"/>
      <c r="D99" s="3738"/>
      <c r="E99" s="3738"/>
      <c r="F99" s="3738"/>
      <c r="G99" s="3738"/>
      <c r="H99" s="3778"/>
      <c r="I99" s="3778"/>
      <c r="J99" s="3778"/>
      <c r="K99" s="3779"/>
      <c r="L99" s="3780"/>
      <c r="M99" s="3781"/>
      <c r="N99" s="3716"/>
      <c r="O99" s="3717"/>
      <c r="P99" s="3695"/>
      <c r="Q99" s="3684"/>
      <c r="R99" s="3473"/>
      <c r="S99" s="3473"/>
      <c r="T99" s="3473"/>
      <c r="U99" s="3473"/>
      <c r="V99" s="3473"/>
      <c r="W99" s="3473"/>
      <c r="X99" s="3473"/>
      <c r="Y99" s="3473"/>
      <c r="Z99" s="3473"/>
      <c r="AA99" s="3473"/>
      <c r="AB99" s="3473"/>
      <c r="AC99" s="3473"/>
    </row>
    <row r="100" spans="1:29" ht="15.75" thickBot="1">
      <c r="A100" s="3540"/>
      <c r="B100" s="3728"/>
      <c r="C100" s="3729">
        <v>100</v>
      </c>
      <c r="D100" s="3729">
        <f t="shared" ref="D100:M100" si="23">C100-$K30</f>
        <v>100</v>
      </c>
      <c r="E100" s="3729">
        <f t="shared" si="23"/>
        <v>100</v>
      </c>
      <c r="F100" s="3729">
        <f t="shared" si="23"/>
        <v>100</v>
      </c>
      <c r="G100" s="3729">
        <f t="shared" si="23"/>
        <v>100</v>
      </c>
      <c r="H100" s="3729">
        <f t="shared" si="23"/>
        <v>100</v>
      </c>
      <c r="I100" s="3729">
        <f t="shared" si="23"/>
        <v>100</v>
      </c>
      <c r="J100" s="3729">
        <f t="shared" si="23"/>
        <v>100</v>
      </c>
      <c r="K100" s="3729">
        <f t="shared" si="23"/>
        <v>100</v>
      </c>
      <c r="L100" s="3729">
        <f t="shared" si="23"/>
        <v>100</v>
      </c>
      <c r="M100" s="3729">
        <f t="shared" si="23"/>
        <v>100</v>
      </c>
      <c r="N100" s="3721"/>
      <c r="O100" s="3722"/>
      <c r="P100" s="3695"/>
      <c r="Q100" s="3684"/>
      <c r="R100" s="3473"/>
      <c r="S100" s="3473"/>
      <c r="T100" s="3473"/>
      <c r="U100" s="3473"/>
      <c r="V100" s="3473"/>
      <c r="W100" s="3473"/>
      <c r="X100" s="3473"/>
      <c r="Y100" s="3473"/>
      <c r="Z100" s="3473"/>
      <c r="AA100" s="3473"/>
      <c r="AB100" s="3473"/>
      <c r="AC100" s="3473"/>
    </row>
    <row r="101" spans="1:29" ht="15.75" thickTop="1">
      <c r="A101" s="3540"/>
      <c r="B101" s="3723" t="s">
        <v>3203</v>
      </c>
      <c r="C101" s="3782" t="s">
        <v>2661</v>
      </c>
      <c r="D101" s="3782" t="s">
        <v>2662</v>
      </c>
      <c r="E101" s="3782" t="s">
        <v>2663</v>
      </c>
      <c r="F101" s="3782" t="s">
        <v>2664</v>
      </c>
      <c r="G101" s="3782" t="s">
        <v>2665</v>
      </c>
      <c r="H101" s="3778"/>
      <c r="I101" s="3778"/>
      <c r="J101" s="3778"/>
      <c r="K101" s="3779"/>
      <c r="L101" s="3780"/>
      <c r="M101" s="3781"/>
      <c r="N101" s="3716"/>
      <c r="O101" s="3717"/>
      <c r="P101" s="3695"/>
      <c r="Q101" s="3684"/>
      <c r="R101" s="3473"/>
      <c r="S101" s="3473"/>
      <c r="T101" s="3473"/>
      <c r="U101" s="3473"/>
      <c r="V101" s="3473"/>
      <c r="W101" s="3473"/>
      <c r="X101" s="3473"/>
      <c r="Y101" s="3473"/>
      <c r="Z101" s="3473"/>
      <c r="AA101" s="3473"/>
      <c r="AB101" s="3473"/>
      <c r="AC101" s="3473"/>
    </row>
    <row r="102" spans="1:29" ht="15.75" thickBot="1">
      <c r="A102" s="3540"/>
      <c r="B102" s="3728"/>
      <c r="C102" s="3729">
        <v>100</v>
      </c>
      <c r="D102" s="3729">
        <f t="shared" ref="D102:M102" si="24">C102-$K32</f>
        <v>99.5</v>
      </c>
      <c r="E102" s="3729">
        <f t="shared" si="24"/>
        <v>99</v>
      </c>
      <c r="F102" s="3729">
        <f t="shared" si="24"/>
        <v>98.5</v>
      </c>
      <c r="G102" s="3729">
        <f t="shared" si="24"/>
        <v>98</v>
      </c>
      <c r="H102" s="3729">
        <f t="shared" si="24"/>
        <v>97.5</v>
      </c>
      <c r="I102" s="3729">
        <f t="shared" si="24"/>
        <v>97</v>
      </c>
      <c r="J102" s="3729">
        <f t="shared" si="24"/>
        <v>96.5</v>
      </c>
      <c r="K102" s="3729">
        <f t="shared" si="24"/>
        <v>96</v>
      </c>
      <c r="L102" s="3729">
        <f t="shared" si="24"/>
        <v>95.5</v>
      </c>
      <c r="M102" s="3729">
        <f t="shared" si="24"/>
        <v>95</v>
      </c>
      <c r="N102" s="3721"/>
      <c r="O102" s="3722"/>
      <c r="P102" s="3695"/>
      <c r="Q102" s="3684"/>
      <c r="R102" s="3473"/>
      <c r="S102" s="3473"/>
      <c r="T102" s="3473"/>
      <c r="U102" s="3473"/>
      <c r="V102" s="3473"/>
      <c r="W102" s="3473"/>
      <c r="X102" s="3473"/>
      <c r="Y102" s="3473"/>
      <c r="Z102" s="3473"/>
      <c r="AA102" s="3473"/>
      <c r="AB102" s="3473"/>
      <c r="AC102" s="3473"/>
    </row>
    <row r="103" spans="1:29" ht="15.75" thickTop="1">
      <c r="A103" s="3540"/>
      <c r="B103" s="3731">
        <f>B33</f>
        <v>111</v>
      </c>
      <c r="C103" s="3738"/>
      <c r="D103" s="3738"/>
      <c r="E103" s="3738"/>
      <c r="F103" s="3738"/>
      <c r="G103" s="3783"/>
      <c r="H103" s="3783"/>
      <c r="I103" s="3783"/>
      <c r="J103" s="3783"/>
      <c r="K103" s="3784"/>
      <c r="L103" s="3785"/>
      <c r="M103" s="3786"/>
      <c r="N103" s="3716"/>
      <c r="O103" s="3717"/>
      <c r="P103" s="3695"/>
      <c r="Q103" s="3684"/>
      <c r="R103" s="3473"/>
      <c r="S103" s="3473"/>
      <c r="T103" s="3473"/>
      <c r="U103" s="3473"/>
      <c r="V103" s="3473"/>
      <c r="W103" s="3473"/>
      <c r="X103" s="3473"/>
      <c r="Y103" s="3473"/>
      <c r="Z103" s="3473"/>
      <c r="AA103" s="3473"/>
      <c r="AB103" s="3473"/>
      <c r="AC103" s="3473"/>
    </row>
    <row r="104" spans="1:29" ht="15.75" thickBot="1">
      <c r="A104" s="3540"/>
      <c r="B104" s="3754"/>
      <c r="C104" s="3745"/>
      <c r="D104" s="3719"/>
      <c r="E104" s="3719"/>
      <c r="F104" s="3719"/>
      <c r="G104" s="3787"/>
      <c r="H104" s="3787"/>
      <c r="I104" s="3787"/>
      <c r="J104" s="3787"/>
      <c r="K104" s="3787"/>
      <c r="L104" s="3787"/>
      <c r="M104" s="3788"/>
      <c r="N104" s="3721"/>
      <c r="O104" s="3722"/>
      <c r="P104" s="3695"/>
      <c r="Q104" s="3684"/>
      <c r="R104" s="3473"/>
      <c r="S104" s="3473"/>
      <c r="T104" s="3473"/>
      <c r="U104" s="3473"/>
      <c r="V104" s="3473"/>
      <c r="W104" s="3473"/>
      <c r="X104" s="3473"/>
      <c r="Y104" s="3473"/>
      <c r="Z104" s="3473"/>
      <c r="AA104" s="3473"/>
      <c r="AB104" s="3473"/>
      <c r="AC104" s="3473"/>
    </row>
    <row r="105" spans="1:29" ht="15" thickTop="1">
      <c r="A105" s="3572"/>
      <c r="B105" s="3723">
        <f>B34</f>
        <v>111</v>
      </c>
      <c r="C105" s="3738"/>
      <c r="D105" s="3738"/>
      <c r="E105" s="3738"/>
      <c r="F105" s="3738"/>
      <c r="G105" s="3778"/>
      <c r="H105" s="3778"/>
      <c r="I105" s="3778"/>
      <c r="J105" s="3778"/>
      <c r="K105" s="3779"/>
      <c r="L105" s="3780"/>
      <c r="M105" s="3781"/>
      <c r="N105" s="3716"/>
      <c r="O105" s="3717"/>
      <c r="P105" s="3695"/>
      <c r="Q105" s="3684"/>
      <c r="R105" s="3473"/>
      <c r="S105" s="3473"/>
      <c r="T105" s="3473"/>
      <c r="U105" s="3473"/>
      <c r="V105" s="3473"/>
      <c r="W105" s="3473"/>
      <c r="X105" s="3473"/>
      <c r="Y105" s="3473"/>
      <c r="Z105" s="3473"/>
      <c r="AA105" s="3473"/>
      <c r="AB105" s="3473"/>
      <c r="AC105" s="3473"/>
    </row>
    <row r="106" spans="1:29" ht="15.75" thickBot="1">
      <c r="A106" s="3540"/>
      <c r="B106" s="3728"/>
      <c r="C106" s="3745"/>
      <c r="D106" s="3745"/>
      <c r="E106" s="3745"/>
      <c r="F106" s="3745"/>
      <c r="G106" s="3719"/>
      <c r="H106" s="3719"/>
      <c r="I106" s="3719"/>
      <c r="J106" s="3719"/>
      <c r="K106" s="3719"/>
      <c r="L106" s="3719"/>
      <c r="M106" s="3720"/>
      <c r="N106" s="3721"/>
      <c r="O106" s="3722"/>
      <c r="P106" s="3695"/>
      <c r="Q106" s="3684"/>
      <c r="R106" s="3473"/>
      <c r="S106" s="3473"/>
      <c r="T106" s="3473"/>
      <c r="U106" s="3473"/>
      <c r="V106" s="3473"/>
      <c r="W106" s="3473"/>
      <c r="X106" s="3473"/>
      <c r="Y106" s="3473"/>
      <c r="Z106" s="3473"/>
      <c r="AA106" s="3473"/>
      <c r="AB106" s="3473"/>
      <c r="AC106" s="3473"/>
    </row>
    <row r="107" spans="1:29" s="3585" customFormat="1" ht="15" thickTop="1">
      <c r="A107" s="3595"/>
      <c r="B107" s="3789">
        <f>B35</f>
        <v>111</v>
      </c>
      <c r="C107" s="3703"/>
      <c r="D107" s="3703"/>
      <c r="E107" s="3703"/>
      <c r="F107" s="3703"/>
      <c r="G107" s="3693"/>
      <c r="H107" s="3693"/>
      <c r="I107" s="3693"/>
      <c r="J107" s="3790"/>
      <c r="K107" s="3790"/>
      <c r="L107" s="3791"/>
      <c r="M107" s="3792"/>
      <c r="N107" s="3742"/>
      <c r="O107" s="3743"/>
      <c r="P107" s="3743"/>
      <c r="Q107" s="3744"/>
      <c r="R107" s="3579"/>
      <c r="S107" s="3579"/>
      <c r="T107" s="3579"/>
      <c r="U107" s="3579"/>
      <c r="V107" s="3579"/>
      <c r="W107" s="3579"/>
      <c r="X107" s="3579"/>
      <c r="Y107" s="3579"/>
      <c r="Z107" s="3579"/>
      <c r="AA107" s="3579"/>
      <c r="AB107" s="3579"/>
      <c r="AC107" s="3579"/>
    </row>
    <row r="108" spans="1:29" s="3585" customFormat="1" ht="15.75" thickBot="1">
      <c r="A108" s="3737"/>
      <c r="B108" s="3731"/>
      <c r="C108" s="3755"/>
      <c r="D108" s="3755"/>
      <c r="E108" s="3755"/>
      <c r="F108" s="3755"/>
      <c r="G108" s="3793"/>
      <c r="H108" s="3793"/>
      <c r="I108" s="3793"/>
      <c r="J108" s="3793"/>
      <c r="K108" s="3793"/>
      <c r="L108" s="3793"/>
      <c r="M108" s="3794"/>
      <c r="N108" s="3721"/>
      <c r="O108" s="3722"/>
      <c r="P108" s="3743"/>
      <c r="Q108" s="3744"/>
      <c r="R108" s="3579"/>
      <c r="S108" s="3579"/>
      <c r="T108" s="3579"/>
      <c r="U108" s="3579"/>
      <c r="V108" s="3579"/>
      <c r="W108" s="3579"/>
      <c r="X108" s="3579"/>
      <c r="Y108" s="3579"/>
      <c r="Z108" s="3579"/>
      <c r="AA108" s="3579"/>
      <c r="AB108" s="3579"/>
      <c r="AC108" s="3579"/>
    </row>
    <row r="109" spans="1:29" ht="28.5">
      <c r="A109" s="3711" t="s">
        <v>529</v>
      </c>
      <c r="B109" s="3712" t="s">
        <v>570</v>
      </c>
      <c r="C109" s="3759" t="str">
        <f t="shared" ref="C109:L109" si="25">C110&amp;"(含)"&amp;"-"&amp;D110</f>
        <v>0(含)-500000</v>
      </c>
      <c r="D109" s="3759" t="str">
        <f t="shared" si="25"/>
        <v>500000(含)-1000000</v>
      </c>
      <c r="E109" s="3759" t="str">
        <f t="shared" si="25"/>
        <v>1000000(含)-2000000</v>
      </c>
      <c r="F109" s="3759" t="str">
        <f t="shared" si="25"/>
        <v>2000000(含)-</v>
      </c>
      <c r="G109" s="3759" t="str">
        <f t="shared" si="25"/>
        <v>(含)-</v>
      </c>
      <c r="H109" s="3759" t="str">
        <f t="shared" si="25"/>
        <v>(含)-</v>
      </c>
      <c r="I109" s="3759" t="str">
        <f t="shared" si="25"/>
        <v>(含)-</v>
      </c>
      <c r="J109" s="3759" t="str">
        <f t="shared" si="25"/>
        <v>(含)-</v>
      </c>
      <c r="K109" s="3795" t="str">
        <f t="shared" si="25"/>
        <v>(含)-</v>
      </c>
      <c r="L109" s="3796" t="str">
        <f t="shared" si="25"/>
        <v>(含)-</v>
      </c>
      <c r="M109" s="3797" t="str">
        <f>M110&amp;"(含)"&amp;"-"&amp;P110</f>
        <v>(含)-</v>
      </c>
      <c r="N109" s="3716"/>
      <c r="O109" s="3717"/>
      <c r="P109" s="3695"/>
      <c r="Q109" s="3684"/>
      <c r="R109" s="3473"/>
      <c r="S109" s="3473"/>
      <c r="T109" s="3473"/>
      <c r="U109" s="3473"/>
      <c r="V109" s="3473"/>
      <c r="W109" s="3473"/>
      <c r="X109" s="3473"/>
      <c r="Y109" s="3473"/>
      <c r="Z109" s="3473"/>
      <c r="AA109" s="3473"/>
      <c r="AB109" s="3473"/>
      <c r="AC109" s="3473"/>
    </row>
    <row r="110" spans="1:29" ht="15">
      <c r="A110" s="3540"/>
      <c r="B110" s="3731"/>
      <c r="C110" s="3693">
        <v>0</v>
      </c>
      <c r="D110" s="3693">
        <v>500000</v>
      </c>
      <c r="E110" s="3693">
        <v>1000000</v>
      </c>
      <c r="F110" s="3693">
        <v>2000000</v>
      </c>
      <c r="G110" s="3693"/>
      <c r="H110" s="3693"/>
      <c r="I110" s="3693"/>
      <c r="J110" s="3790"/>
      <c r="K110" s="3790"/>
      <c r="L110" s="3791"/>
      <c r="M110" s="3792"/>
      <c r="N110" s="3716"/>
      <c r="O110" s="3717"/>
      <c r="P110" s="3695"/>
      <c r="Q110" s="3684"/>
      <c r="R110" s="3473"/>
      <c r="S110" s="3473"/>
      <c r="T110" s="3473"/>
      <c r="U110" s="3473"/>
      <c r="V110" s="3473"/>
      <c r="W110" s="3473"/>
      <c r="X110" s="3473"/>
      <c r="Y110" s="3473"/>
      <c r="Z110" s="3473"/>
      <c r="AA110" s="3473"/>
      <c r="AB110" s="3473"/>
      <c r="AC110" s="3473"/>
    </row>
    <row r="111" spans="1:29" ht="15.75" thickBot="1">
      <c r="A111" s="3540"/>
      <c r="B111" s="3728"/>
      <c r="C111" s="3755">
        <v>100</v>
      </c>
      <c r="D111" s="3787">
        <v>99</v>
      </c>
      <c r="E111" s="3787">
        <v>98</v>
      </c>
      <c r="F111" s="3787">
        <v>97</v>
      </c>
      <c r="G111" s="3787"/>
      <c r="H111" s="3787"/>
      <c r="I111" s="3787"/>
      <c r="J111" s="3787"/>
      <c r="K111" s="3787"/>
      <c r="L111" s="3787"/>
      <c r="M111" s="3788"/>
      <c r="N111" s="3721"/>
      <c r="O111" s="3722"/>
      <c r="P111" s="3695"/>
      <c r="Q111" s="3684"/>
      <c r="R111" s="3473"/>
      <c r="S111" s="3473"/>
      <c r="T111" s="3473"/>
      <c r="U111" s="3473"/>
      <c r="V111" s="3473"/>
      <c r="W111" s="3473"/>
      <c r="X111" s="3473"/>
      <c r="Y111" s="3473"/>
      <c r="Z111" s="3473"/>
      <c r="AA111" s="3473"/>
      <c r="AB111" s="3473"/>
      <c r="AC111" s="3473"/>
    </row>
    <row r="112" spans="1:29" ht="15" thickTop="1">
      <c r="A112" s="3590"/>
      <c r="B112" s="3723" t="s">
        <v>571</v>
      </c>
      <c r="C112" s="3782" t="s">
        <v>3229</v>
      </c>
      <c r="D112" s="3778"/>
      <c r="E112" s="3778"/>
      <c r="F112" s="3778"/>
      <c r="G112" s="3778"/>
      <c r="H112" s="3778"/>
      <c r="I112" s="3778"/>
      <c r="J112" s="3778"/>
      <c r="K112" s="3779"/>
      <c r="L112" s="3780"/>
      <c r="M112" s="3781"/>
      <c r="N112" s="3716"/>
      <c r="O112" s="3717"/>
      <c r="P112" s="3695"/>
      <c r="Q112" s="3684"/>
      <c r="R112" s="3473"/>
      <c r="S112" s="3473"/>
      <c r="T112" s="3473"/>
      <c r="U112" s="3473"/>
      <c r="V112" s="3473"/>
      <c r="W112" s="3473"/>
      <c r="X112" s="3473"/>
      <c r="Y112" s="3473"/>
      <c r="Z112" s="3473"/>
      <c r="AA112" s="3473"/>
      <c r="AB112" s="3473"/>
      <c r="AC112" s="3473"/>
    </row>
    <row r="113" spans="1:29" ht="15.75" thickBot="1">
      <c r="A113" s="3540"/>
      <c r="B113" s="3728"/>
      <c r="C113" s="3729">
        <v>100</v>
      </c>
      <c r="D113" s="3729">
        <f t="shared" ref="D113:M113" si="26">C113-$K37</f>
        <v>100</v>
      </c>
      <c r="E113" s="3729">
        <f t="shared" si="26"/>
        <v>100</v>
      </c>
      <c r="F113" s="3729">
        <f t="shared" si="26"/>
        <v>100</v>
      </c>
      <c r="G113" s="3729">
        <f t="shared" si="26"/>
        <v>100</v>
      </c>
      <c r="H113" s="3729">
        <f t="shared" si="26"/>
        <v>100</v>
      </c>
      <c r="I113" s="3729">
        <f t="shared" si="26"/>
        <v>100</v>
      </c>
      <c r="J113" s="3729">
        <f t="shared" si="26"/>
        <v>100</v>
      </c>
      <c r="K113" s="3729">
        <f t="shared" si="26"/>
        <v>100</v>
      </c>
      <c r="L113" s="3729">
        <f t="shared" si="26"/>
        <v>100</v>
      </c>
      <c r="M113" s="3730">
        <f t="shared" si="26"/>
        <v>100</v>
      </c>
      <c r="N113" s="3721"/>
      <c r="O113" s="3722"/>
      <c r="P113" s="3695"/>
      <c r="Q113" s="3684"/>
      <c r="R113" s="3473"/>
      <c r="S113" s="3473"/>
      <c r="T113" s="3473"/>
      <c r="U113" s="3473"/>
      <c r="V113" s="3473"/>
      <c r="W113" s="3473"/>
      <c r="X113" s="3473"/>
      <c r="Y113" s="3473"/>
      <c r="Z113" s="3473"/>
      <c r="AA113" s="3473"/>
      <c r="AB113" s="3473"/>
      <c r="AC113" s="3473"/>
    </row>
    <row r="114" spans="1:29" s="3585" customFormat="1" ht="15" thickTop="1">
      <c r="A114" s="3595"/>
      <c r="B114" s="3769" t="s">
        <v>2201</v>
      </c>
      <c r="C114" s="3798" t="s">
        <v>1765</v>
      </c>
      <c r="D114" s="3798" t="s">
        <v>1764</v>
      </c>
      <c r="E114" s="3798" t="s">
        <v>1763</v>
      </c>
      <c r="F114" s="3798" t="s">
        <v>1762</v>
      </c>
      <c r="G114" s="3798"/>
      <c r="H114" s="3778"/>
      <c r="I114" s="3778"/>
      <c r="J114" s="3778"/>
      <c r="K114" s="3779"/>
      <c r="L114" s="3780"/>
      <c r="M114" s="3781"/>
      <c r="N114" s="3742"/>
      <c r="O114" s="3743"/>
      <c r="P114" s="3743"/>
      <c r="Q114" s="3744"/>
      <c r="R114" s="3579"/>
      <c r="S114" s="3579"/>
      <c r="T114" s="3579"/>
      <c r="U114" s="3579"/>
      <c r="V114" s="3579"/>
      <c r="W114" s="3579"/>
      <c r="X114" s="3579"/>
      <c r="Y114" s="3579"/>
      <c r="Z114" s="3579"/>
      <c r="AA114" s="3579"/>
      <c r="AB114" s="3579"/>
      <c r="AC114" s="3579"/>
    </row>
    <row r="115" spans="1:29" s="3585" customFormat="1" ht="15.75" thickBot="1">
      <c r="A115" s="3737"/>
      <c r="B115" s="3728"/>
      <c r="C115" s="3729">
        <v>100</v>
      </c>
      <c r="D115" s="3729">
        <f t="shared" ref="D115:M115" si="27">C115-$K38</f>
        <v>99</v>
      </c>
      <c r="E115" s="3729">
        <f t="shared" si="27"/>
        <v>98</v>
      </c>
      <c r="F115" s="3729">
        <f t="shared" si="27"/>
        <v>97</v>
      </c>
      <c r="G115" s="3729">
        <f t="shared" si="27"/>
        <v>96</v>
      </c>
      <c r="H115" s="3729">
        <f t="shared" si="27"/>
        <v>95</v>
      </c>
      <c r="I115" s="3729">
        <f t="shared" si="27"/>
        <v>94</v>
      </c>
      <c r="J115" s="3729">
        <f t="shared" si="27"/>
        <v>93</v>
      </c>
      <c r="K115" s="3729">
        <f t="shared" si="27"/>
        <v>92</v>
      </c>
      <c r="L115" s="3729">
        <f t="shared" si="27"/>
        <v>91</v>
      </c>
      <c r="M115" s="3730">
        <f t="shared" si="27"/>
        <v>90</v>
      </c>
      <c r="N115" s="3742"/>
      <c r="O115" s="3743"/>
      <c r="P115" s="3743"/>
      <c r="Q115" s="3744"/>
      <c r="R115" s="3579"/>
      <c r="S115" s="3579"/>
      <c r="T115" s="3579"/>
      <c r="U115" s="3579"/>
      <c r="V115" s="3579"/>
      <c r="W115" s="3579"/>
      <c r="X115" s="3579"/>
      <c r="Y115" s="3579"/>
      <c r="Z115" s="3579"/>
      <c r="AA115" s="3579"/>
      <c r="AB115" s="3579"/>
      <c r="AC115" s="3579"/>
    </row>
    <row r="116" spans="1:29" ht="15" thickTop="1">
      <c r="A116" s="3590"/>
      <c r="B116" s="3723" t="s">
        <v>573</v>
      </c>
      <c r="C116" s="3799" t="s">
        <v>3230</v>
      </c>
      <c r="D116" s="3738"/>
      <c r="E116" s="3778"/>
      <c r="F116" s="3778"/>
      <c r="G116" s="3778"/>
      <c r="H116" s="3778"/>
      <c r="I116" s="3778"/>
      <c r="J116" s="3778"/>
      <c r="K116" s="3779"/>
      <c r="L116" s="3780"/>
      <c r="M116" s="3781"/>
      <c r="N116" s="3716"/>
      <c r="O116" s="3717"/>
      <c r="P116" s="3695"/>
      <c r="Q116" s="3684"/>
      <c r="R116" s="3473"/>
      <c r="S116" s="3473"/>
      <c r="T116" s="3473"/>
      <c r="U116" s="3473"/>
      <c r="V116" s="3473"/>
      <c r="W116" s="3473"/>
      <c r="X116" s="3473"/>
      <c r="Y116" s="3473"/>
      <c r="Z116" s="3473"/>
      <c r="AA116" s="3473"/>
      <c r="AB116" s="3473"/>
      <c r="AC116" s="3473"/>
    </row>
    <row r="117" spans="1:29" ht="15.75" thickBot="1">
      <c r="A117" s="3540"/>
      <c r="B117" s="3728"/>
      <c r="C117" s="3729">
        <v>100</v>
      </c>
      <c r="D117" s="3729">
        <f t="shared" ref="D117:M117" si="28">C117-$K39</f>
        <v>100</v>
      </c>
      <c r="E117" s="3729">
        <f t="shared" si="28"/>
        <v>100</v>
      </c>
      <c r="F117" s="3729">
        <f t="shared" si="28"/>
        <v>100</v>
      </c>
      <c r="G117" s="3729">
        <f t="shared" si="28"/>
        <v>100</v>
      </c>
      <c r="H117" s="3729">
        <f t="shared" si="28"/>
        <v>100</v>
      </c>
      <c r="I117" s="3729">
        <f t="shared" si="28"/>
        <v>100</v>
      </c>
      <c r="J117" s="3729">
        <f t="shared" si="28"/>
        <v>100</v>
      </c>
      <c r="K117" s="3729">
        <f t="shared" si="28"/>
        <v>100</v>
      </c>
      <c r="L117" s="3729">
        <f t="shared" si="28"/>
        <v>100</v>
      </c>
      <c r="M117" s="3730">
        <f t="shared" si="28"/>
        <v>100</v>
      </c>
      <c r="N117" s="3721"/>
      <c r="O117" s="3722"/>
      <c r="P117" s="3695"/>
      <c r="Q117" s="3684"/>
      <c r="R117" s="3473"/>
      <c r="S117" s="3473"/>
      <c r="T117" s="3473"/>
      <c r="U117" s="3473"/>
      <c r="V117" s="3473"/>
      <c r="W117" s="3473"/>
      <c r="X117" s="3473"/>
      <c r="Y117" s="3473"/>
      <c r="Z117" s="3473"/>
      <c r="AA117" s="3473"/>
      <c r="AB117" s="3473"/>
      <c r="AC117" s="3473"/>
    </row>
    <row r="118" spans="1:29" ht="15" thickTop="1">
      <c r="A118" s="3590"/>
      <c r="B118" s="3723">
        <f>B40</f>
        <v>111</v>
      </c>
      <c r="C118" s="3738"/>
      <c r="D118" s="3738"/>
      <c r="E118" s="3738"/>
      <c r="F118" s="3738"/>
      <c r="G118" s="3738"/>
      <c r="H118" s="3778"/>
      <c r="I118" s="3778"/>
      <c r="J118" s="3778"/>
      <c r="K118" s="3779"/>
      <c r="L118" s="3780"/>
      <c r="M118" s="3781"/>
      <c r="N118" s="3716"/>
      <c r="O118" s="3717"/>
      <c r="P118" s="3695"/>
      <c r="Q118" s="3684"/>
      <c r="R118" s="3473"/>
      <c r="S118" s="3473"/>
      <c r="T118" s="3473"/>
      <c r="U118" s="3473"/>
      <c r="V118" s="3473"/>
      <c r="W118" s="3473"/>
      <c r="X118" s="3473"/>
      <c r="Y118" s="3473"/>
      <c r="Z118" s="3473"/>
      <c r="AA118" s="3473"/>
      <c r="AB118" s="3473"/>
      <c r="AC118" s="3473"/>
    </row>
    <row r="119" spans="1:29" ht="15.75" thickBot="1">
      <c r="A119" s="3540"/>
      <c r="B119" s="3728"/>
      <c r="C119" s="3745"/>
      <c r="D119" s="3719"/>
      <c r="E119" s="3719"/>
      <c r="F119" s="3719"/>
      <c r="G119" s="3719"/>
      <c r="H119" s="3719"/>
      <c r="I119" s="3719"/>
      <c r="J119" s="3719"/>
      <c r="K119" s="3719"/>
      <c r="L119" s="3719"/>
      <c r="M119" s="3720"/>
      <c r="N119" s="3721"/>
      <c r="O119" s="3722"/>
      <c r="P119" s="3695"/>
      <c r="Q119" s="3684"/>
      <c r="R119" s="3473"/>
      <c r="S119" s="3473"/>
      <c r="T119" s="3473"/>
      <c r="U119" s="3473"/>
      <c r="V119" s="3473"/>
      <c r="W119" s="3473"/>
      <c r="X119" s="3473"/>
      <c r="Y119" s="3473"/>
      <c r="Z119" s="3473"/>
      <c r="AA119" s="3473"/>
      <c r="AB119" s="3473"/>
      <c r="AC119" s="3473"/>
    </row>
    <row r="120" spans="1:29" ht="15" thickTop="1">
      <c r="A120" s="3590"/>
      <c r="B120" s="3723">
        <f>B41</f>
        <v>111</v>
      </c>
      <c r="C120" s="3738"/>
      <c r="D120" s="3738"/>
      <c r="E120" s="3738"/>
      <c r="F120" s="3738"/>
      <c r="G120" s="3778"/>
      <c r="H120" s="3778"/>
      <c r="I120" s="3778"/>
      <c r="J120" s="3778"/>
      <c r="K120" s="3779"/>
      <c r="L120" s="3780"/>
      <c r="M120" s="3781"/>
      <c r="N120" s="3716"/>
      <c r="O120" s="3717"/>
      <c r="P120" s="3695"/>
      <c r="Q120" s="3684"/>
      <c r="R120" s="3473"/>
      <c r="S120" s="3473"/>
      <c r="T120" s="3473"/>
      <c r="U120" s="3473"/>
      <c r="V120" s="3473"/>
      <c r="W120" s="3473"/>
      <c r="X120" s="3473"/>
      <c r="Y120" s="3473"/>
      <c r="Z120" s="3473"/>
      <c r="AA120" s="3473"/>
      <c r="AB120" s="3473"/>
      <c r="AC120" s="3473"/>
    </row>
    <row r="121" spans="1:29" ht="15.75" thickBot="1">
      <c r="A121" s="3540"/>
      <c r="B121" s="3728"/>
      <c r="C121" s="3745"/>
      <c r="D121" s="3745"/>
      <c r="E121" s="3745"/>
      <c r="F121" s="3745"/>
      <c r="G121" s="3719"/>
      <c r="H121" s="3719"/>
      <c r="I121" s="3719"/>
      <c r="J121" s="3719"/>
      <c r="K121" s="3719"/>
      <c r="L121" s="3719"/>
      <c r="M121" s="3720"/>
      <c r="N121" s="3721"/>
      <c r="O121" s="3722"/>
      <c r="P121" s="3695"/>
      <c r="Q121" s="3684"/>
      <c r="R121" s="3473"/>
      <c r="S121" s="3473"/>
      <c r="T121" s="3473"/>
      <c r="U121" s="3473"/>
      <c r="V121" s="3473"/>
      <c r="W121" s="3473"/>
      <c r="X121" s="3473"/>
      <c r="Y121" s="3473"/>
      <c r="Z121" s="3473"/>
      <c r="AA121" s="3473"/>
      <c r="AB121" s="3473"/>
      <c r="AC121" s="3473"/>
    </row>
    <row r="122" spans="1:29" s="3585" customFormat="1" ht="15" thickTop="1">
      <c r="A122" s="3595"/>
      <c r="B122" s="3723">
        <f>B42</f>
        <v>111</v>
      </c>
      <c r="C122" s="3703"/>
      <c r="D122" s="3703"/>
      <c r="E122" s="3703"/>
      <c r="F122" s="3703"/>
      <c r="G122" s="3739"/>
      <c r="H122" s="3739"/>
      <c r="I122" s="3739"/>
      <c r="J122" s="3739"/>
      <c r="K122" s="3739"/>
      <c r="L122" s="3740"/>
      <c r="M122" s="3741"/>
      <c r="N122" s="3742"/>
      <c r="O122" s="3743"/>
      <c r="P122" s="3743"/>
      <c r="Q122" s="3744"/>
      <c r="R122" s="3579"/>
      <c r="S122" s="3579"/>
      <c r="T122" s="3579"/>
      <c r="U122" s="3579"/>
      <c r="V122" s="3579"/>
      <c r="W122" s="3579"/>
      <c r="X122" s="3579"/>
      <c r="Y122" s="3579"/>
      <c r="Z122" s="3579"/>
      <c r="AA122" s="3579"/>
      <c r="AB122" s="3579"/>
      <c r="AC122" s="3579"/>
    </row>
    <row r="123" spans="1:29" s="3585" customFormat="1" ht="15.75" thickBot="1">
      <c r="A123" s="3753"/>
      <c r="B123" s="3800"/>
      <c r="C123" s="3755"/>
      <c r="D123" s="3755"/>
      <c r="E123" s="3755"/>
      <c r="F123" s="3755"/>
      <c r="G123" s="3787"/>
      <c r="H123" s="3787"/>
      <c r="I123" s="3787"/>
      <c r="J123" s="3787"/>
      <c r="K123" s="3787"/>
      <c r="L123" s="3787"/>
      <c r="M123" s="3788"/>
      <c r="N123" s="3742"/>
      <c r="O123" s="3743"/>
      <c r="P123" s="3743"/>
      <c r="Q123" s="3744"/>
      <c r="R123" s="3579"/>
      <c r="S123" s="3579"/>
      <c r="T123" s="3579"/>
      <c r="U123" s="3579"/>
      <c r="V123" s="3579"/>
      <c r="W123" s="3579"/>
      <c r="X123" s="3579"/>
      <c r="Y123" s="3579"/>
      <c r="Z123" s="3579"/>
      <c r="AA123" s="3579"/>
      <c r="AB123" s="3579"/>
      <c r="AC123" s="3579"/>
    </row>
    <row r="124" spans="1:29">
      <c r="A124" s="3801"/>
      <c r="B124" s="3801"/>
      <c r="C124" s="3801"/>
      <c r="D124" s="3801"/>
      <c r="E124" s="3801"/>
      <c r="F124" s="3801"/>
      <c r="G124" s="3801"/>
      <c r="H124" s="3801"/>
      <c r="I124" s="3801"/>
      <c r="J124" s="3801"/>
      <c r="K124" s="3802"/>
      <c r="L124" s="3803"/>
      <c r="M124" s="3801"/>
      <c r="N124" s="3801"/>
      <c r="O124" s="3801"/>
      <c r="P124" s="3801"/>
      <c r="Q124" s="3801"/>
      <c r="R124" s="3801"/>
      <c r="S124" s="3801"/>
      <c r="T124" s="3801"/>
      <c r="U124" s="3801"/>
      <c r="V124" s="3801"/>
      <c r="W124" s="3801"/>
      <c r="X124" s="3801"/>
      <c r="Y124" s="3801"/>
      <c r="Z124" s="3801"/>
      <c r="AA124" s="3801"/>
      <c r="AB124" s="3801"/>
      <c r="AC124" s="3801"/>
    </row>
    <row r="125" spans="1:29">
      <c r="A125" s="3801"/>
      <c r="B125" s="3801"/>
      <c r="C125" s="3801"/>
      <c r="D125" s="3801"/>
      <c r="E125" s="3801"/>
      <c r="F125" s="3801"/>
      <c r="G125" s="3801"/>
      <c r="H125" s="3801"/>
      <c r="I125" s="3801"/>
      <c r="J125" s="3801"/>
      <c r="K125" s="3802"/>
      <c r="L125" s="3803"/>
      <c r="M125" s="3801"/>
      <c r="N125" s="3801"/>
      <c r="O125" s="3801"/>
      <c r="P125" s="3801"/>
      <c r="Q125" s="3801"/>
      <c r="R125" s="3801"/>
      <c r="S125" s="3801"/>
      <c r="T125" s="3801"/>
      <c r="U125" s="3801"/>
      <c r="V125" s="3801"/>
      <c r="W125" s="3801"/>
      <c r="X125" s="3801"/>
      <c r="Y125" s="3801"/>
      <c r="Z125" s="3801"/>
      <c r="AA125" s="3801"/>
      <c r="AB125" s="3801"/>
      <c r="AC125" s="3801"/>
    </row>
    <row r="126" spans="1:29">
      <c r="A126" s="3801"/>
      <c r="B126" s="3801"/>
      <c r="C126" s="3801"/>
      <c r="D126" s="3801"/>
      <c r="E126" s="3801"/>
      <c r="F126" s="3801"/>
      <c r="G126" s="3801"/>
      <c r="H126" s="3801"/>
      <c r="I126" s="3801"/>
      <c r="J126" s="3801"/>
      <c r="K126" s="3802"/>
      <c r="L126" s="3803"/>
      <c r="M126" s="3801"/>
      <c r="N126" s="3801"/>
      <c r="O126" s="3801"/>
      <c r="P126" s="3801"/>
      <c r="Q126" s="3801"/>
      <c r="R126" s="3801"/>
      <c r="S126" s="3801"/>
      <c r="T126" s="3801"/>
      <c r="U126" s="3801"/>
      <c r="V126" s="3801"/>
      <c r="W126" s="3801"/>
      <c r="X126" s="3801"/>
      <c r="Y126" s="3801"/>
      <c r="Z126" s="3801"/>
      <c r="AA126" s="3801"/>
      <c r="AB126" s="3801"/>
      <c r="AC126" s="3801"/>
    </row>
    <row r="127" spans="1:29">
      <c r="A127" s="3801"/>
      <c r="B127" s="3801"/>
      <c r="C127" s="3801"/>
      <c r="D127" s="3801"/>
      <c r="E127" s="3801"/>
      <c r="F127" s="3801"/>
      <c r="G127" s="3801"/>
      <c r="H127" s="3801"/>
      <c r="I127" s="3801"/>
      <c r="J127" s="3801"/>
      <c r="K127" s="3802"/>
      <c r="L127" s="3803"/>
      <c r="M127" s="3801"/>
      <c r="N127" s="3801"/>
      <c r="O127" s="3801"/>
      <c r="P127" s="3801"/>
      <c r="Q127" s="3801"/>
      <c r="R127" s="3801"/>
      <c r="S127" s="3801"/>
      <c r="T127" s="3801"/>
      <c r="U127" s="3801"/>
      <c r="V127" s="3801"/>
      <c r="W127" s="3801"/>
      <c r="X127" s="3801"/>
      <c r="Y127" s="3801"/>
      <c r="Z127" s="3801"/>
      <c r="AA127" s="3801"/>
      <c r="AB127" s="3801"/>
      <c r="AC127" s="3801"/>
    </row>
    <row r="128" spans="1:29">
      <c r="A128" s="3801"/>
      <c r="B128" s="3801"/>
      <c r="C128" s="3801"/>
      <c r="D128" s="3801"/>
      <c r="E128" s="3801"/>
      <c r="F128" s="3801"/>
      <c r="G128" s="3801"/>
      <c r="H128" s="3801"/>
      <c r="I128" s="3801"/>
      <c r="J128" s="3801"/>
      <c r="K128" s="3802"/>
      <c r="L128" s="3803"/>
      <c r="M128" s="3801"/>
      <c r="N128" s="3801"/>
      <c r="O128" s="3801"/>
      <c r="P128" s="3801"/>
      <c r="Q128" s="3801"/>
      <c r="R128" s="3801"/>
      <c r="S128" s="3801"/>
      <c r="T128" s="3801"/>
      <c r="U128" s="3801"/>
      <c r="V128" s="3801"/>
      <c r="W128" s="3801"/>
      <c r="X128" s="3801"/>
      <c r="Y128" s="3801"/>
      <c r="Z128" s="3801"/>
      <c r="AA128" s="3801"/>
      <c r="AB128" s="3801"/>
      <c r="AC128" s="3801"/>
    </row>
    <row r="129" spans="1:29">
      <c r="A129" s="3801"/>
      <c r="B129" s="3801"/>
      <c r="C129" s="3801"/>
      <c r="D129" s="3801"/>
      <c r="E129" s="3801"/>
      <c r="F129" s="3801"/>
      <c r="G129" s="3801"/>
      <c r="H129" s="3801"/>
      <c r="I129" s="3801"/>
      <c r="J129" s="3801"/>
      <c r="K129" s="3802"/>
      <c r="L129" s="3803"/>
      <c r="M129" s="3801"/>
      <c r="N129" s="3801"/>
      <c r="O129" s="3801"/>
      <c r="P129" s="3801"/>
      <c r="Q129" s="3801"/>
      <c r="R129" s="3801"/>
      <c r="S129" s="3801"/>
      <c r="T129" s="3801"/>
      <c r="U129" s="3801"/>
      <c r="V129" s="3801"/>
      <c r="W129" s="3801"/>
      <c r="X129" s="3801"/>
      <c r="Y129" s="3801"/>
      <c r="Z129" s="3801"/>
      <c r="AA129" s="3801"/>
      <c r="AB129" s="3801"/>
      <c r="AC129" s="3801"/>
    </row>
    <row r="130" spans="1:29">
      <c r="A130" s="3801"/>
      <c r="B130" s="3801"/>
      <c r="C130" s="3801"/>
      <c r="D130" s="3801"/>
      <c r="E130" s="3801"/>
      <c r="F130" s="3801"/>
      <c r="G130" s="3801"/>
      <c r="H130" s="3801"/>
      <c r="I130" s="3801"/>
      <c r="J130" s="3801"/>
      <c r="K130" s="3802"/>
      <c r="L130" s="3803"/>
      <c r="M130" s="3801"/>
      <c r="N130" s="3801"/>
      <c r="O130" s="3801"/>
      <c r="P130" s="3801"/>
      <c r="Q130" s="3801"/>
      <c r="R130" s="3801"/>
      <c r="S130" s="3801"/>
      <c r="T130" s="3801"/>
      <c r="U130" s="3801"/>
      <c r="V130" s="3801"/>
      <c r="W130" s="3801"/>
      <c r="X130" s="3801"/>
      <c r="Y130" s="3801"/>
      <c r="Z130" s="3801"/>
      <c r="AA130" s="3801"/>
      <c r="AB130" s="3801"/>
      <c r="AC130" s="3801"/>
    </row>
    <row r="131" spans="1:29">
      <c r="A131" s="3801"/>
      <c r="B131" s="3801"/>
      <c r="C131" s="3801"/>
      <c r="D131" s="3801"/>
      <c r="E131" s="3801"/>
      <c r="F131" s="3801"/>
      <c r="G131" s="3801"/>
      <c r="H131" s="3801"/>
      <c r="I131" s="3801"/>
      <c r="J131" s="3801"/>
      <c r="K131" s="3802"/>
      <c r="L131" s="3803"/>
      <c r="M131" s="3801"/>
      <c r="N131" s="3801"/>
      <c r="O131" s="3801"/>
      <c r="P131" s="3801"/>
      <c r="Q131" s="3801"/>
      <c r="R131" s="3801"/>
      <c r="S131" s="3801"/>
      <c r="T131" s="3801"/>
      <c r="U131" s="3801"/>
      <c r="V131" s="3801"/>
      <c r="W131" s="3801"/>
      <c r="X131" s="3801"/>
      <c r="Y131" s="3801"/>
      <c r="Z131" s="3801"/>
      <c r="AA131" s="3801"/>
      <c r="AB131" s="3801"/>
      <c r="AC131" s="3801"/>
    </row>
    <row r="132" spans="1:29">
      <c r="A132" s="3801"/>
      <c r="B132" s="3801"/>
      <c r="C132" s="3801"/>
      <c r="D132" s="3801"/>
      <c r="E132" s="3801"/>
      <c r="F132" s="3801"/>
      <c r="G132" s="3801"/>
      <c r="H132" s="3801"/>
      <c r="I132" s="3801"/>
      <c r="J132" s="3801"/>
      <c r="K132" s="3802"/>
      <c r="L132" s="3803"/>
      <c r="M132" s="3801"/>
      <c r="N132" s="3801"/>
      <c r="O132" s="3801"/>
      <c r="P132" s="3801"/>
      <c r="Q132" s="3801"/>
      <c r="R132" s="3801"/>
      <c r="S132" s="3801"/>
      <c r="T132" s="3801"/>
      <c r="U132" s="3801"/>
      <c r="V132" s="3801"/>
      <c r="W132" s="3801"/>
      <c r="X132" s="3801"/>
      <c r="Y132" s="3801"/>
      <c r="Z132" s="3801"/>
      <c r="AA132" s="3801"/>
      <c r="AB132" s="3801"/>
      <c r="AC132" s="3801"/>
    </row>
    <row r="133" spans="1:29">
      <c r="A133" s="3801"/>
      <c r="B133" s="3801"/>
      <c r="C133" s="3801"/>
      <c r="D133" s="3801"/>
      <c r="E133" s="3801"/>
      <c r="F133" s="3801"/>
      <c r="G133" s="3801"/>
      <c r="H133" s="3801"/>
      <c r="I133" s="3801"/>
      <c r="J133" s="3801"/>
      <c r="K133" s="3802"/>
      <c r="L133" s="3803"/>
      <c r="M133" s="3801"/>
      <c r="N133" s="3801"/>
      <c r="O133" s="3801"/>
      <c r="P133" s="3801"/>
      <c r="Q133" s="3801"/>
      <c r="R133" s="3801"/>
      <c r="S133" s="3801"/>
      <c r="T133" s="3801"/>
      <c r="U133" s="3801"/>
      <c r="V133" s="3801"/>
      <c r="W133" s="3801"/>
      <c r="X133" s="3801"/>
      <c r="Y133" s="3801"/>
      <c r="Z133" s="3801"/>
      <c r="AA133" s="3801"/>
      <c r="AB133" s="3801"/>
      <c r="AC133" s="3801"/>
    </row>
    <row r="134" spans="1:29">
      <c r="A134" s="3801"/>
      <c r="B134" s="3801"/>
      <c r="C134" s="3801"/>
      <c r="D134" s="3801"/>
      <c r="E134" s="3801"/>
      <c r="F134" s="3801"/>
      <c r="G134" s="3801"/>
      <c r="H134" s="3801"/>
      <c r="I134" s="3801"/>
      <c r="J134" s="3801"/>
      <c r="K134" s="3802"/>
      <c r="L134" s="3803"/>
      <c r="M134" s="3801"/>
      <c r="N134" s="3801"/>
      <c r="O134" s="3801"/>
      <c r="P134" s="3801"/>
      <c r="Q134" s="3801"/>
      <c r="R134" s="3801"/>
      <c r="S134" s="3801"/>
      <c r="T134" s="3801"/>
      <c r="U134" s="3801"/>
      <c r="V134" s="3801"/>
      <c r="W134" s="3801"/>
      <c r="X134" s="3801"/>
      <c r="Y134" s="3801"/>
      <c r="Z134" s="3801"/>
      <c r="AA134" s="3801"/>
      <c r="AB134" s="3801"/>
      <c r="AC134" s="3801"/>
    </row>
    <row r="135" spans="1:29">
      <c r="A135" s="3801"/>
      <c r="B135" s="3801"/>
      <c r="C135" s="3801"/>
      <c r="D135" s="3801"/>
      <c r="E135" s="3801"/>
      <c r="F135" s="3801"/>
      <c r="G135" s="3801"/>
      <c r="H135" s="3801"/>
      <c r="I135" s="3801"/>
      <c r="J135" s="3801"/>
      <c r="K135" s="3802"/>
      <c r="L135" s="3803"/>
      <c r="M135" s="3801"/>
      <c r="N135" s="3801"/>
      <c r="O135" s="3801"/>
      <c r="P135" s="3801"/>
      <c r="Q135" s="3801"/>
      <c r="R135" s="3801"/>
      <c r="S135" s="3801"/>
      <c r="T135" s="3801"/>
      <c r="U135" s="3801"/>
      <c r="V135" s="3801"/>
      <c r="W135" s="3801"/>
      <c r="X135" s="3801"/>
      <c r="Y135" s="3801"/>
      <c r="Z135" s="3801"/>
      <c r="AA135" s="3801"/>
      <c r="AB135" s="3801"/>
      <c r="AC135" s="3801"/>
    </row>
    <row r="136" spans="1:29">
      <c r="A136" s="3801"/>
      <c r="B136" s="3801"/>
      <c r="C136" s="3801"/>
      <c r="D136" s="3801"/>
      <c r="E136" s="3801"/>
      <c r="F136" s="3801"/>
      <c r="G136" s="3801"/>
      <c r="H136" s="3801"/>
      <c r="I136" s="3801"/>
      <c r="J136" s="3801"/>
      <c r="K136" s="3802"/>
      <c r="L136" s="3803"/>
      <c r="M136" s="3801"/>
      <c r="N136" s="3801"/>
      <c r="O136" s="3801"/>
      <c r="P136" s="3801"/>
      <c r="Q136" s="3801"/>
      <c r="R136" s="3801"/>
      <c r="S136" s="3801"/>
      <c r="T136" s="3801"/>
      <c r="U136" s="3801"/>
      <c r="V136" s="3801"/>
      <c r="W136" s="3801"/>
      <c r="X136" s="3801"/>
      <c r="Y136" s="3801"/>
      <c r="Z136" s="3801"/>
      <c r="AA136" s="3801"/>
      <c r="AB136" s="3801"/>
      <c r="AC136" s="3801"/>
    </row>
    <row r="137" spans="1:29">
      <c r="A137" s="3801"/>
      <c r="B137" s="3801"/>
      <c r="C137" s="3801"/>
      <c r="D137" s="3801"/>
      <c r="E137" s="3801"/>
      <c r="F137" s="3801"/>
      <c r="G137" s="3801"/>
      <c r="H137" s="3801"/>
      <c r="I137" s="3801"/>
      <c r="J137" s="3801"/>
      <c r="K137" s="3802"/>
      <c r="L137" s="3803"/>
      <c r="M137" s="3801"/>
      <c r="N137" s="3801"/>
      <c r="O137" s="3801"/>
      <c r="P137" s="3801"/>
      <c r="Q137" s="3801"/>
      <c r="R137" s="3801"/>
      <c r="S137" s="3801"/>
      <c r="T137" s="3801"/>
      <c r="U137" s="3801"/>
      <c r="V137" s="3801"/>
      <c r="W137" s="3801"/>
      <c r="X137" s="3801"/>
      <c r="Y137" s="3801"/>
      <c r="Z137" s="3801"/>
      <c r="AA137" s="3801"/>
      <c r="AB137" s="3801"/>
      <c r="AC137" s="3801"/>
    </row>
    <row r="138" spans="1:29">
      <c r="A138" s="3801"/>
      <c r="B138" s="3801"/>
      <c r="C138" s="3801"/>
      <c r="D138" s="3801"/>
      <c r="E138" s="3801"/>
      <c r="F138" s="3801"/>
      <c r="G138" s="3801"/>
      <c r="H138" s="3801"/>
      <c r="I138" s="3801"/>
      <c r="J138" s="3801"/>
      <c r="K138" s="3802"/>
      <c r="L138" s="3803"/>
      <c r="M138" s="3801"/>
      <c r="N138" s="3801"/>
      <c r="O138" s="3801"/>
      <c r="P138" s="3801"/>
      <c r="Q138" s="3801"/>
      <c r="R138" s="3801"/>
      <c r="S138" s="3801"/>
      <c r="T138" s="3801"/>
      <c r="U138" s="3801"/>
      <c r="V138" s="3801"/>
      <c r="W138" s="3801"/>
      <c r="X138" s="3801"/>
      <c r="Y138" s="3801"/>
      <c r="Z138" s="3801"/>
      <c r="AA138" s="3801"/>
      <c r="AB138" s="3801"/>
      <c r="AC138" s="3801"/>
    </row>
    <row r="139" spans="1:29">
      <c r="A139" s="3801"/>
      <c r="B139" s="3801"/>
      <c r="C139" s="3801"/>
      <c r="D139" s="3801"/>
      <c r="E139" s="3801"/>
      <c r="F139" s="3801"/>
      <c r="G139" s="3801"/>
      <c r="H139" s="3801"/>
      <c r="I139" s="3801"/>
      <c r="J139" s="3801"/>
      <c r="K139" s="3802"/>
      <c r="L139" s="3803"/>
      <c r="M139" s="3801"/>
      <c r="N139" s="3801"/>
      <c r="O139" s="3801"/>
      <c r="P139" s="3801"/>
      <c r="Q139" s="3801"/>
      <c r="R139" s="3801"/>
      <c r="S139" s="3801"/>
      <c r="T139" s="3801"/>
      <c r="U139" s="3801"/>
      <c r="V139" s="3801"/>
      <c r="W139" s="3801"/>
      <c r="X139" s="3801"/>
      <c r="Y139" s="3801"/>
      <c r="Z139" s="3801"/>
      <c r="AA139" s="3801"/>
      <c r="AB139" s="3801"/>
      <c r="AC139" s="3801"/>
    </row>
    <row r="140" spans="1:29">
      <c r="A140" s="3801"/>
      <c r="B140" s="3801"/>
      <c r="C140" s="3801"/>
      <c r="D140" s="3801"/>
      <c r="E140" s="3801"/>
      <c r="F140" s="3801"/>
      <c r="G140" s="3801"/>
      <c r="H140" s="3801"/>
      <c r="I140" s="3801"/>
      <c r="J140" s="3801"/>
      <c r="K140" s="3802"/>
      <c r="L140" s="3803"/>
      <c r="M140" s="3801"/>
      <c r="N140" s="3801"/>
      <c r="O140" s="3801"/>
      <c r="P140" s="3801"/>
      <c r="Q140" s="3801"/>
      <c r="R140" s="3801"/>
      <c r="S140" s="3801"/>
      <c r="T140" s="3801"/>
      <c r="U140" s="3801"/>
      <c r="V140" s="3801"/>
      <c r="W140" s="3801"/>
      <c r="X140" s="3801"/>
      <c r="Y140" s="3801"/>
      <c r="Z140" s="3801"/>
      <c r="AA140" s="3801"/>
      <c r="AB140" s="3801"/>
      <c r="AC140" s="3801"/>
    </row>
    <row r="141" spans="1:29">
      <c r="A141" s="3801"/>
      <c r="B141" s="3801"/>
      <c r="C141" s="3801"/>
      <c r="D141" s="3801"/>
      <c r="E141" s="3801"/>
      <c r="F141" s="3801"/>
      <c r="G141" s="3801"/>
      <c r="H141" s="3801"/>
      <c r="I141" s="3801"/>
      <c r="J141" s="3801"/>
      <c r="K141" s="3802"/>
      <c r="L141" s="3803"/>
      <c r="M141" s="3801"/>
      <c r="N141" s="3801"/>
      <c r="O141" s="3801"/>
      <c r="P141" s="3801"/>
      <c r="Q141" s="3801"/>
      <c r="R141" s="3801"/>
      <c r="S141" s="3801"/>
      <c r="T141" s="3801"/>
      <c r="U141" s="3801"/>
      <c r="V141" s="3801"/>
      <c r="W141" s="3801"/>
      <c r="X141" s="3801"/>
      <c r="Y141" s="3801"/>
      <c r="Z141" s="3801"/>
      <c r="AA141" s="3801"/>
      <c r="AB141" s="3801"/>
      <c r="AC141" s="3801"/>
    </row>
    <row r="142" spans="1:29">
      <c r="A142" s="3801"/>
      <c r="B142" s="3801"/>
      <c r="C142" s="3801"/>
      <c r="D142" s="3801"/>
      <c r="E142" s="3801"/>
      <c r="F142" s="3801"/>
      <c r="G142" s="3801"/>
      <c r="H142" s="3801"/>
      <c r="I142" s="3801"/>
      <c r="J142" s="3801"/>
      <c r="K142" s="3802"/>
      <c r="L142" s="3803"/>
      <c r="M142" s="3801"/>
      <c r="N142" s="3801"/>
      <c r="O142" s="3801"/>
      <c r="P142" s="3801"/>
      <c r="Q142" s="3801"/>
      <c r="R142" s="3801"/>
      <c r="S142" s="3801"/>
      <c r="T142" s="3801"/>
      <c r="U142" s="3801"/>
      <c r="V142" s="3801"/>
      <c r="W142" s="3801"/>
      <c r="X142" s="3801"/>
      <c r="Y142" s="3801"/>
      <c r="Z142" s="3801"/>
      <c r="AA142" s="3801"/>
      <c r="AB142" s="3801"/>
      <c r="AC142" s="3801"/>
    </row>
    <row r="143" spans="1:29">
      <c r="A143" s="3801"/>
      <c r="B143" s="3801"/>
      <c r="C143" s="3801"/>
      <c r="D143" s="3801"/>
      <c r="E143" s="3801"/>
      <c r="F143" s="3801"/>
      <c r="G143" s="3801"/>
      <c r="H143" s="3801"/>
      <c r="I143" s="3801"/>
      <c r="J143" s="3801"/>
      <c r="K143" s="3802"/>
      <c r="L143" s="3803"/>
      <c r="M143" s="3801"/>
      <c r="N143" s="3801"/>
      <c r="O143" s="3801"/>
      <c r="P143" s="3801"/>
      <c r="Q143" s="3801"/>
      <c r="R143" s="3801"/>
      <c r="S143" s="3801"/>
      <c r="T143" s="3801"/>
      <c r="U143" s="3801"/>
      <c r="V143" s="3801"/>
      <c r="W143" s="3801"/>
      <c r="X143" s="3801"/>
      <c r="Y143" s="3801"/>
      <c r="Z143" s="3801"/>
      <c r="AA143" s="3801"/>
      <c r="AB143" s="3801"/>
      <c r="AC143" s="3801"/>
    </row>
    <row r="144" spans="1:29">
      <c r="A144" s="3801"/>
      <c r="B144" s="3801"/>
      <c r="C144" s="3801"/>
      <c r="D144" s="3801"/>
      <c r="E144" s="3801"/>
      <c r="F144" s="3801"/>
      <c r="G144" s="3801"/>
      <c r="H144" s="3801"/>
      <c r="I144" s="3801"/>
      <c r="J144" s="3801"/>
      <c r="K144" s="3802"/>
      <c r="L144" s="3803"/>
      <c r="M144" s="3801"/>
      <c r="N144" s="3801"/>
      <c r="O144" s="3801"/>
      <c r="P144" s="3801"/>
      <c r="Q144" s="3801"/>
      <c r="R144" s="3801"/>
      <c r="S144" s="3801"/>
      <c r="T144" s="3801"/>
      <c r="U144" s="3801"/>
      <c r="V144" s="3801"/>
      <c r="W144" s="3801"/>
      <c r="X144" s="3801"/>
      <c r="Y144" s="3801"/>
      <c r="Z144" s="3801"/>
      <c r="AA144" s="3801"/>
      <c r="AB144" s="3801"/>
      <c r="AC144" s="3801"/>
    </row>
    <row r="145" spans="1:29">
      <c r="A145" s="3801"/>
      <c r="B145" s="3801"/>
      <c r="C145" s="3801"/>
      <c r="D145" s="3801"/>
      <c r="E145" s="3801"/>
      <c r="F145" s="3801"/>
      <c r="G145" s="3801"/>
      <c r="H145" s="3801"/>
      <c r="I145" s="3801"/>
      <c r="J145" s="3801"/>
      <c r="K145" s="3802"/>
      <c r="L145" s="3803"/>
      <c r="M145" s="3801"/>
      <c r="N145" s="3801"/>
      <c r="O145" s="3801"/>
      <c r="P145" s="3801"/>
      <c r="Q145" s="3801"/>
      <c r="R145" s="3801"/>
      <c r="S145" s="3801"/>
      <c r="T145" s="3801"/>
      <c r="U145" s="3801"/>
      <c r="V145" s="3801"/>
      <c r="W145" s="3801"/>
      <c r="X145" s="3801"/>
      <c r="Y145" s="3801"/>
      <c r="Z145" s="3801"/>
      <c r="AA145" s="3801"/>
      <c r="AB145" s="3801"/>
      <c r="AC145" s="3801"/>
    </row>
    <row r="146" spans="1:29">
      <c r="A146" s="3801"/>
      <c r="B146" s="3801"/>
      <c r="C146" s="3801"/>
      <c r="D146" s="3801"/>
      <c r="E146" s="3801"/>
      <c r="F146" s="3801"/>
      <c r="G146" s="3801"/>
      <c r="H146" s="3801"/>
      <c r="I146" s="3801"/>
      <c r="J146" s="3801"/>
      <c r="K146" s="3802"/>
      <c r="L146" s="3803"/>
      <c r="M146" s="3801"/>
      <c r="N146" s="3801"/>
      <c r="O146" s="3801"/>
      <c r="P146" s="3801"/>
      <c r="Q146" s="3801"/>
      <c r="R146" s="3801"/>
      <c r="S146" s="3801"/>
      <c r="T146" s="3801"/>
      <c r="U146" s="3801"/>
      <c r="V146" s="3801"/>
      <c r="W146" s="3801"/>
      <c r="X146" s="3801"/>
      <c r="Y146" s="3801"/>
      <c r="Z146" s="3801"/>
      <c r="AA146" s="3801"/>
      <c r="AB146" s="3801"/>
      <c r="AC146" s="3801"/>
    </row>
    <row r="147" spans="1:29">
      <c r="A147" s="3801"/>
      <c r="B147" s="3801"/>
      <c r="C147" s="3801"/>
      <c r="D147" s="3801"/>
      <c r="E147" s="3801"/>
      <c r="F147" s="3801"/>
      <c r="G147" s="3801"/>
      <c r="H147" s="3801"/>
      <c r="I147" s="3801"/>
      <c r="J147" s="3801"/>
      <c r="K147" s="3802"/>
      <c r="L147" s="3803"/>
      <c r="M147" s="3801"/>
      <c r="N147" s="3801"/>
      <c r="O147" s="3801"/>
      <c r="P147" s="3801"/>
      <c r="Q147" s="3801"/>
      <c r="R147" s="3801"/>
      <c r="S147" s="3801"/>
      <c r="T147" s="3801"/>
      <c r="U147" s="3801"/>
      <c r="V147" s="3801"/>
      <c r="W147" s="3801"/>
      <c r="X147" s="3801"/>
      <c r="Y147" s="3801"/>
      <c r="Z147" s="3801"/>
      <c r="AA147" s="3801"/>
      <c r="AB147" s="3801"/>
      <c r="AC147" s="3801"/>
    </row>
    <row r="148" spans="1:29">
      <c r="A148" s="3801"/>
      <c r="B148" s="3801"/>
      <c r="C148" s="3801"/>
      <c r="D148" s="3801"/>
      <c r="E148" s="3801"/>
      <c r="F148" s="3801"/>
      <c r="G148" s="3801"/>
      <c r="H148" s="3801"/>
      <c r="I148" s="3801"/>
      <c r="J148" s="3801"/>
      <c r="K148" s="3802"/>
      <c r="L148" s="3803"/>
      <c r="M148" s="3801"/>
      <c r="N148" s="3801"/>
      <c r="O148" s="3801"/>
      <c r="P148" s="3801"/>
      <c r="Q148" s="3801"/>
      <c r="R148" s="3801"/>
      <c r="S148" s="3801"/>
      <c r="T148" s="3801"/>
      <c r="U148" s="3801"/>
      <c r="V148" s="3801"/>
      <c r="W148" s="3801"/>
      <c r="X148" s="3801"/>
      <c r="Y148" s="3801"/>
      <c r="Z148" s="3801"/>
      <c r="AA148" s="3801"/>
      <c r="AB148" s="3801"/>
      <c r="AC148" s="3801"/>
    </row>
    <row r="149" spans="1:29">
      <c r="A149" s="3801"/>
      <c r="B149" s="3801"/>
      <c r="C149" s="3801"/>
      <c r="D149" s="3801"/>
      <c r="E149" s="3801"/>
      <c r="F149" s="3801"/>
      <c r="G149" s="3801"/>
      <c r="H149" s="3801"/>
      <c r="I149" s="3801"/>
      <c r="J149" s="3801"/>
      <c r="K149" s="3802"/>
      <c r="L149" s="3803"/>
      <c r="M149" s="3801"/>
      <c r="N149" s="3801"/>
      <c r="O149" s="3801"/>
      <c r="P149" s="3801"/>
      <c r="Q149" s="3801"/>
      <c r="R149" s="3801"/>
      <c r="S149" s="3801"/>
      <c r="T149" s="3801"/>
      <c r="U149" s="3801"/>
      <c r="V149" s="3801"/>
      <c r="W149" s="3801"/>
      <c r="X149" s="3801"/>
      <c r="Y149" s="3801"/>
      <c r="Z149" s="3801"/>
      <c r="AA149" s="3801"/>
      <c r="AB149" s="3801"/>
      <c r="AC149" s="3801"/>
    </row>
    <row r="150" spans="1:29">
      <c r="A150" s="3801"/>
      <c r="B150" s="3801"/>
      <c r="C150" s="3801"/>
      <c r="D150" s="3801"/>
      <c r="E150" s="3801"/>
      <c r="F150" s="3801"/>
      <c r="G150" s="3801"/>
      <c r="H150" s="3801"/>
      <c r="I150" s="3801"/>
      <c r="J150" s="3801"/>
      <c r="K150" s="3802"/>
      <c r="L150" s="3803"/>
      <c r="M150" s="3801"/>
      <c r="N150" s="3801"/>
      <c r="O150" s="3801"/>
      <c r="P150" s="3801"/>
      <c r="Q150" s="3801"/>
      <c r="R150" s="3801"/>
      <c r="S150" s="3801"/>
      <c r="T150" s="3801"/>
      <c r="U150" s="3801"/>
      <c r="V150" s="3801"/>
      <c r="W150" s="3801"/>
      <c r="X150" s="3801"/>
      <c r="Y150" s="3801"/>
      <c r="Z150" s="3801"/>
      <c r="AA150" s="3801"/>
      <c r="AB150" s="3801"/>
      <c r="AC150" s="3801"/>
    </row>
    <row r="151" spans="1:29">
      <c r="A151" s="3801"/>
      <c r="B151" s="3801"/>
      <c r="C151" s="3801"/>
      <c r="D151" s="3801"/>
      <c r="E151" s="3801"/>
      <c r="F151" s="3801"/>
      <c r="G151" s="3801"/>
      <c r="H151" s="3801"/>
      <c r="I151" s="3801"/>
      <c r="J151" s="3801"/>
      <c r="K151" s="3802"/>
      <c r="L151" s="3803"/>
      <c r="M151" s="3801"/>
      <c r="N151" s="3801"/>
      <c r="O151" s="3801"/>
      <c r="P151" s="3801"/>
      <c r="Q151" s="3801"/>
      <c r="R151" s="3801"/>
      <c r="S151" s="3801"/>
      <c r="T151" s="3801"/>
      <c r="U151" s="3801"/>
      <c r="V151" s="3801"/>
      <c r="W151" s="3801"/>
      <c r="X151" s="3801"/>
      <c r="Y151" s="3801"/>
      <c r="Z151" s="3801"/>
      <c r="AA151" s="3801"/>
      <c r="AB151" s="3801"/>
      <c r="AC151" s="3801"/>
    </row>
    <row r="152" spans="1:29">
      <c r="A152" s="3801"/>
      <c r="B152" s="3801"/>
      <c r="C152" s="3801"/>
      <c r="D152" s="3801"/>
      <c r="E152" s="3801"/>
      <c r="F152" s="3801"/>
      <c r="G152" s="3801"/>
      <c r="H152" s="3801"/>
      <c r="I152" s="3801"/>
      <c r="J152" s="3801"/>
      <c r="K152" s="3802"/>
      <c r="L152" s="3803"/>
      <c r="M152" s="3801"/>
      <c r="N152" s="3801"/>
      <c r="O152" s="3801"/>
      <c r="P152" s="3801"/>
      <c r="Q152" s="3801"/>
      <c r="R152" s="3801"/>
      <c r="S152" s="3801"/>
      <c r="T152" s="3801"/>
      <c r="U152" s="3801"/>
      <c r="V152" s="3801"/>
      <c r="W152" s="3801"/>
      <c r="X152" s="3801"/>
      <c r="Y152" s="3801"/>
      <c r="Z152" s="3801"/>
      <c r="AA152" s="3801"/>
      <c r="AB152" s="3801"/>
      <c r="AC152" s="3801"/>
    </row>
    <row r="153" spans="1:29">
      <c r="A153" s="3801"/>
      <c r="B153" s="3801"/>
      <c r="C153" s="3801"/>
      <c r="D153" s="3801"/>
      <c r="E153" s="3801"/>
      <c r="F153" s="3801"/>
      <c r="G153" s="3801"/>
      <c r="H153" s="3801"/>
      <c r="I153" s="3801"/>
      <c r="J153" s="3801"/>
      <c r="K153" s="3802"/>
      <c r="L153" s="3803"/>
      <c r="M153" s="3801"/>
      <c r="N153" s="3801"/>
      <c r="O153" s="3801"/>
      <c r="P153" s="3801"/>
      <c r="Q153" s="3801"/>
      <c r="R153" s="3801"/>
      <c r="S153" s="3801"/>
      <c r="T153" s="3801"/>
      <c r="U153" s="3801"/>
      <c r="V153" s="3801"/>
      <c r="W153" s="3801"/>
      <c r="X153" s="3801"/>
      <c r="Y153" s="3801"/>
      <c r="Z153" s="3801"/>
      <c r="AA153" s="3801"/>
      <c r="AB153" s="3801"/>
      <c r="AC153" s="3801"/>
    </row>
    <row r="154" spans="1:29">
      <c r="A154" s="3801"/>
      <c r="B154" s="3801"/>
      <c r="C154" s="3801"/>
      <c r="D154" s="3801"/>
      <c r="E154" s="3801"/>
      <c r="F154" s="3801"/>
      <c r="G154" s="3801"/>
      <c r="H154" s="3801"/>
      <c r="I154" s="3801"/>
      <c r="J154" s="3801"/>
      <c r="K154" s="3802"/>
      <c r="L154" s="3803"/>
      <c r="M154" s="3801"/>
      <c r="N154" s="3801"/>
      <c r="O154" s="3801"/>
      <c r="P154" s="3801"/>
      <c r="Q154" s="3801"/>
      <c r="R154" s="3801"/>
      <c r="S154" s="3801"/>
      <c r="T154" s="3801"/>
      <c r="U154" s="3801"/>
      <c r="V154" s="3801"/>
      <c r="W154" s="3801"/>
      <c r="X154" s="3801"/>
      <c r="Y154" s="3801"/>
      <c r="Z154" s="3801"/>
      <c r="AA154" s="3801"/>
      <c r="AB154" s="3801"/>
      <c r="AC154" s="3801"/>
    </row>
    <row r="155" spans="1:29">
      <c r="A155" s="3801"/>
      <c r="B155" s="3801"/>
      <c r="C155" s="3801"/>
      <c r="D155" s="3801"/>
      <c r="E155" s="3801"/>
      <c r="F155" s="3801"/>
      <c r="G155" s="3801"/>
      <c r="H155" s="3801"/>
      <c r="I155" s="3801"/>
      <c r="J155" s="3801"/>
      <c r="K155" s="3802"/>
      <c r="L155" s="3803"/>
      <c r="M155" s="3801"/>
      <c r="N155" s="3801"/>
      <c r="O155" s="3801"/>
      <c r="P155" s="3801"/>
      <c r="Q155" s="3801"/>
      <c r="R155" s="3801"/>
      <c r="S155" s="3801"/>
      <c r="T155" s="3801"/>
      <c r="U155" s="3801"/>
      <c r="V155" s="3801"/>
      <c r="W155" s="3801"/>
      <c r="X155" s="3801"/>
      <c r="Y155" s="3801"/>
      <c r="Z155" s="3801"/>
      <c r="AA155" s="3801"/>
      <c r="AB155" s="3801"/>
      <c r="AC155" s="3801"/>
    </row>
    <row r="156" spans="1:29">
      <c r="A156" s="3801"/>
      <c r="B156" s="3801"/>
      <c r="C156" s="3801"/>
      <c r="D156" s="3801"/>
      <c r="E156" s="3801"/>
      <c r="F156" s="3801"/>
      <c r="G156" s="3801"/>
      <c r="H156" s="3801"/>
      <c r="I156" s="3801"/>
      <c r="J156" s="3801"/>
      <c r="K156" s="3802"/>
      <c r="L156" s="3803"/>
      <c r="M156" s="3801"/>
      <c r="N156" s="3801"/>
      <c r="O156" s="3801"/>
      <c r="P156" s="3801"/>
      <c r="Q156" s="3801"/>
      <c r="R156" s="3801"/>
      <c r="S156" s="3801"/>
      <c r="T156" s="3801"/>
      <c r="U156" s="3801"/>
      <c r="V156" s="3801"/>
      <c r="W156" s="3801"/>
      <c r="X156" s="3801"/>
      <c r="Y156" s="3801"/>
      <c r="Z156" s="3801"/>
      <c r="AA156" s="3801"/>
      <c r="AB156" s="3801"/>
      <c r="AC156" s="3801"/>
    </row>
    <row r="157" spans="1:29">
      <c r="A157" s="3801"/>
      <c r="B157" s="3801"/>
      <c r="C157" s="3801"/>
      <c r="D157" s="3801"/>
      <c r="E157" s="3801"/>
      <c r="F157" s="3801"/>
      <c r="G157" s="3801"/>
      <c r="H157" s="3801"/>
      <c r="I157" s="3801"/>
      <c r="J157" s="3801"/>
      <c r="K157" s="3802"/>
      <c r="L157" s="3803"/>
      <c r="M157" s="3801"/>
      <c r="N157" s="3801"/>
      <c r="O157" s="3801"/>
      <c r="P157" s="3801"/>
      <c r="Q157" s="3801"/>
      <c r="R157" s="3801"/>
      <c r="S157" s="3801"/>
      <c r="T157" s="3801"/>
      <c r="U157" s="3801"/>
      <c r="V157" s="3801"/>
      <c r="W157" s="3801"/>
      <c r="X157" s="3801"/>
      <c r="Y157" s="3801"/>
      <c r="Z157" s="3801"/>
      <c r="AA157" s="3801"/>
      <c r="AB157" s="3801"/>
      <c r="AC157" s="3801"/>
    </row>
    <row r="158" spans="1:29">
      <c r="A158" s="3801"/>
      <c r="B158" s="3801"/>
      <c r="C158" s="3801"/>
      <c r="D158" s="3801"/>
      <c r="E158" s="3801"/>
      <c r="F158" s="3801"/>
      <c r="G158" s="3801"/>
      <c r="H158" s="3801"/>
      <c r="I158" s="3801"/>
      <c r="J158" s="3801"/>
      <c r="K158" s="3802"/>
      <c r="L158" s="3803"/>
      <c r="M158" s="3801"/>
      <c r="N158" s="3801"/>
      <c r="O158" s="3801"/>
      <c r="P158" s="3801"/>
      <c r="Q158" s="3801"/>
      <c r="R158" s="3801"/>
      <c r="S158" s="3801"/>
      <c r="T158" s="3801"/>
      <c r="U158" s="3801"/>
      <c r="V158" s="3801"/>
      <c r="W158" s="3801"/>
      <c r="X158" s="3801"/>
      <c r="Y158" s="3801"/>
      <c r="Z158" s="3801"/>
      <c r="AA158" s="3801"/>
      <c r="AB158" s="3801"/>
      <c r="AC158" s="3801"/>
    </row>
    <row r="159" spans="1:29">
      <c r="A159" s="3801"/>
      <c r="B159" s="3801"/>
      <c r="C159" s="3801"/>
      <c r="D159" s="3801"/>
      <c r="E159" s="3801"/>
      <c r="F159" s="3801"/>
      <c r="G159" s="3801"/>
      <c r="H159" s="3801"/>
      <c r="I159" s="3801"/>
      <c r="J159" s="3801"/>
      <c r="K159" s="3802"/>
      <c r="L159" s="3803"/>
      <c r="M159" s="3801"/>
      <c r="N159" s="3801"/>
      <c r="O159" s="3801"/>
      <c r="P159" s="3801"/>
      <c r="Q159" s="3801"/>
      <c r="R159" s="3801"/>
      <c r="S159" s="3801"/>
      <c r="T159" s="3801"/>
      <c r="U159" s="3801"/>
      <c r="V159" s="3801"/>
      <c r="W159" s="3801"/>
      <c r="X159" s="3801"/>
      <c r="Y159" s="3801"/>
      <c r="Z159" s="3801"/>
      <c r="AA159" s="3801"/>
      <c r="AB159" s="3801"/>
      <c r="AC159" s="3801"/>
    </row>
    <row r="160" spans="1:29">
      <c r="A160" s="3801"/>
      <c r="B160" s="3801"/>
      <c r="C160" s="3801"/>
      <c r="D160" s="3801"/>
      <c r="E160" s="3801"/>
      <c r="F160" s="3801"/>
      <c r="G160" s="3801"/>
      <c r="H160" s="3801"/>
      <c r="I160" s="3801"/>
      <c r="J160" s="3801"/>
      <c r="K160" s="3802"/>
      <c r="L160" s="3803"/>
      <c r="M160" s="3801"/>
      <c r="N160" s="3801"/>
      <c r="O160" s="3801"/>
      <c r="P160" s="3801"/>
      <c r="Q160" s="3801"/>
      <c r="R160" s="3801"/>
      <c r="S160" s="3801"/>
      <c r="T160" s="3801"/>
      <c r="U160" s="3801"/>
      <c r="V160" s="3801"/>
      <c r="W160" s="3801"/>
      <c r="X160" s="3801"/>
      <c r="Y160" s="3801"/>
      <c r="Z160" s="3801"/>
      <c r="AA160" s="3801"/>
      <c r="AB160" s="3801"/>
      <c r="AC160" s="3801"/>
    </row>
    <row r="161" spans="1:29">
      <c r="A161" s="3801"/>
      <c r="B161" s="3801"/>
      <c r="C161" s="3801"/>
      <c r="D161" s="3801"/>
      <c r="E161" s="3801"/>
      <c r="F161" s="3801"/>
      <c r="G161" s="3801"/>
      <c r="H161" s="3801"/>
      <c r="I161" s="3801"/>
      <c r="J161" s="3801"/>
      <c r="K161" s="3802"/>
      <c r="L161" s="3803"/>
      <c r="M161" s="3801"/>
      <c r="N161" s="3801"/>
      <c r="O161" s="3801"/>
      <c r="P161" s="3801"/>
      <c r="Q161" s="3801"/>
      <c r="R161" s="3801"/>
      <c r="S161" s="3801"/>
      <c r="T161" s="3801"/>
      <c r="U161" s="3801"/>
      <c r="V161" s="3801"/>
      <c r="W161" s="3801"/>
      <c r="X161" s="3801"/>
      <c r="Y161" s="3801"/>
      <c r="Z161" s="3801"/>
      <c r="AA161" s="3801"/>
      <c r="AB161" s="3801"/>
      <c r="AC161" s="3801"/>
    </row>
    <row r="162" spans="1:29">
      <c r="A162" s="3801"/>
      <c r="B162" s="3801"/>
      <c r="C162" s="3801"/>
      <c r="D162" s="3801"/>
      <c r="E162" s="3801"/>
      <c r="F162" s="3801"/>
      <c r="G162" s="3801"/>
      <c r="H162" s="3801"/>
      <c r="I162" s="3801"/>
      <c r="J162" s="3801"/>
      <c r="K162" s="3802"/>
      <c r="L162" s="3803"/>
      <c r="M162" s="3801"/>
      <c r="N162" s="3801"/>
      <c r="O162" s="3801"/>
      <c r="P162" s="3801"/>
      <c r="Q162" s="3801"/>
      <c r="R162" s="3801"/>
      <c r="S162" s="3801"/>
      <c r="T162" s="3801"/>
      <c r="U162" s="3801"/>
      <c r="V162" s="3801"/>
      <c r="W162" s="3801"/>
      <c r="X162" s="3801"/>
      <c r="Y162" s="3801"/>
      <c r="Z162" s="3801"/>
      <c r="AA162" s="3801"/>
      <c r="AB162" s="3801"/>
      <c r="AC162" s="3801"/>
    </row>
    <row r="163" spans="1:29">
      <c r="A163" s="3801"/>
      <c r="B163" s="3801"/>
      <c r="C163" s="3801"/>
      <c r="D163" s="3801"/>
      <c r="E163" s="3801"/>
      <c r="F163" s="3801"/>
      <c r="G163" s="3801"/>
      <c r="H163" s="3801"/>
      <c r="I163" s="3801"/>
      <c r="J163" s="3801"/>
      <c r="K163" s="3802"/>
      <c r="L163" s="3803"/>
      <c r="M163" s="3801"/>
      <c r="N163" s="3801"/>
      <c r="O163" s="3801"/>
      <c r="P163" s="3801"/>
      <c r="Q163" s="3801"/>
      <c r="R163" s="3801"/>
      <c r="S163" s="3801"/>
      <c r="T163" s="3801"/>
      <c r="U163" s="3801"/>
      <c r="V163" s="3801"/>
      <c r="W163" s="3801"/>
      <c r="X163" s="3801"/>
      <c r="Y163" s="3801"/>
      <c r="Z163" s="3801"/>
      <c r="AA163" s="3801"/>
      <c r="AB163" s="3801"/>
      <c r="AC163" s="3801"/>
    </row>
    <row r="164" spans="1:29">
      <c r="A164" s="3801"/>
      <c r="B164" s="3801"/>
      <c r="C164" s="3801"/>
      <c r="D164" s="3801"/>
      <c r="E164" s="3801"/>
      <c r="F164" s="3801"/>
      <c r="G164" s="3801"/>
      <c r="H164" s="3801"/>
      <c r="I164" s="3801"/>
      <c r="J164" s="3801"/>
      <c r="K164" s="3802"/>
      <c r="L164" s="3803"/>
      <c r="M164" s="3801"/>
      <c r="N164" s="3801"/>
      <c r="O164" s="3801"/>
      <c r="P164" s="3801"/>
      <c r="Q164" s="3801"/>
      <c r="R164" s="3801"/>
      <c r="S164" s="3801"/>
      <c r="T164" s="3801"/>
      <c r="U164" s="3801"/>
      <c r="V164" s="3801"/>
      <c r="W164" s="3801"/>
      <c r="X164" s="3801"/>
      <c r="Y164" s="3801"/>
      <c r="Z164" s="3801"/>
      <c r="AA164" s="3801"/>
      <c r="AB164" s="3801"/>
      <c r="AC164" s="3801"/>
    </row>
    <row r="165" spans="1:29">
      <c r="A165" s="3801"/>
      <c r="B165" s="3801"/>
      <c r="C165" s="3801"/>
      <c r="D165" s="3801"/>
      <c r="E165" s="3801"/>
      <c r="F165" s="3801"/>
      <c r="G165" s="3801"/>
      <c r="H165" s="3801"/>
      <c r="I165" s="3801"/>
      <c r="J165" s="3801"/>
      <c r="K165" s="3802"/>
      <c r="L165" s="3803"/>
      <c r="M165" s="3801"/>
      <c r="N165" s="3801"/>
      <c r="O165" s="3801"/>
      <c r="P165" s="3801"/>
      <c r="Q165" s="3801"/>
      <c r="R165" s="3801"/>
      <c r="S165" s="3801"/>
      <c r="T165" s="3801"/>
      <c r="U165" s="3801"/>
      <c r="V165" s="3801"/>
      <c r="W165" s="3801"/>
      <c r="X165" s="3801"/>
      <c r="Y165" s="3801"/>
      <c r="Z165" s="3801"/>
      <c r="AA165" s="3801"/>
      <c r="AB165" s="3801"/>
      <c r="AC165" s="3801"/>
    </row>
    <row r="166" spans="1:29">
      <c r="A166" s="3801"/>
      <c r="B166" s="3801"/>
      <c r="C166" s="3801"/>
      <c r="D166" s="3801"/>
      <c r="E166" s="3801"/>
      <c r="F166" s="3801"/>
      <c r="G166" s="3801"/>
      <c r="H166" s="3801"/>
      <c r="I166" s="3801"/>
      <c r="J166" s="3801"/>
      <c r="K166" s="3802"/>
      <c r="L166" s="3803"/>
      <c r="M166" s="3801"/>
      <c r="N166" s="3801"/>
      <c r="O166" s="3801"/>
      <c r="P166" s="3801"/>
      <c r="Q166" s="3801"/>
      <c r="R166" s="3801"/>
      <c r="S166" s="3801"/>
      <c r="T166" s="3801"/>
      <c r="U166" s="3801"/>
      <c r="V166" s="3801"/>
      <c r="W166" s="3801"/>
      <c r="X166" s="3801"/>
      <c r="Y166" s="3801"/>
      <c r="Z166" s="3801"/>
      <c r="AA166" s="3801"/>
      <c r="AB166" s="3801"/>
      <c r="AC166" s="3801"/>
    </row>
    <row r="167" spans="1:29">
      <c r="A167" s="3801"/>
      <c r="B167" s="3801"/>
      <c r="C167" s="3801"/>
      <c r="D167" s="3801"/>
      <c r="E167" s="3801"/>
      <c r="F167" s="3801"/>
      <c r="G167" s="3801"/>
      <c r="H167" s="3801"/>
      <c r="I167" s="3801"/>
      <c r="J167" s="3801"/>
      <c r="K167" s="3802"/>
      <c r="L167" s="3803"/>
      <c r="M167" s="3801"/>
      <c r="N167" s="3801"/>
      <c r="O167" s="3801"/>
      <c r="P167" s="3801"/>
      <c r="Q167" s="3801"/>
      <c r="R167" s="3801"/>
      <c r="S167" s="3801"/>
      <c r="T167" s="3801"/>
      <c r="U167" s="3801"/>
      <c r="V167" s="3801"/>
      <c r="W167" s="3801"/>
      <c r="X167" s="3801"/>
      <c r="Y167" s="3801"/>
      <c r="Z167" s="3801"/>
      <c r="AA167" s="3801"/>
      <c r="AB167" s="3801"/>
      <c r="AC167" s="3801"/>
    </row>
    <row r="168" spans="1:29">
      <c r="A168" s="3801"/>
      <c r="B168" s="3801"/>
      <c r="C168" s="3801"/>
      <c r="D168" s="3801"/>
      <c r="E168" s="3801"/>
      <c r="F168" s="3801"/>
      <c r="G168" s="3801"/>
      <c r="H168" s="3801"/>
      <c r="I168" s="3801"/>
      <c r="J168" s="3801"/>
      <c r="K168" s="3802"/>
      <c r="L168" s="3803"/>
      <c r="M168" s="3801"/>
      <c r="N168" s="3801"/>
      <c r="O168" s="3801"/>
      <c r="P168" s="3801"/>
      <c r="Q168" s="3801"/>
      <c r="R168" s="3801"/>
      <c r="S168" s="3801"/>
      <c r="T168" s="3801"/>
      <c r="U168" s="3801"/>
      <c r="V168" s="3801"/>
      <c r="W168" s="3801"/>
      <c r="X168" s="3801"/>
      <c r="Y168" s="3801"/>
      <c r="Z168" s="3801"/>
      <c r="AA168" s="3801"/>
      <c r="AB168" s="3801"/>
      <c r="AC168" s="3801"/>
    </row>
    <row r="169" spans="1:29">
      <c r="A169" s="3801"/>
      <c r="B169" s="3801"/>
      <c r="C169" s="3801"/>
      <c r="D169" s="3801"/>
      <c r="E169" s="3801"/>
      <c r="F169" s="3801"/>
      <c r="G169" s="3801"/>
      <c r="H169" s="3801"/>
      <c r="I169" s="3801"/>
      <c r="J169" s="3801"/>
      <c r="K169" s="3802"/>
      <c r="L169" s="3803"/>
      <c r="M169" s="3801"/>
      <c r="N169" s="3801"/>
      <c r="O169" s="3801"/>
      <c r="P169" s="3801"/>
      <c r="Q169" s="3801"/>
      <c r="R169" s="3801"/>
      <c r="S169" s="3801"/>
      <c r="T169" s="3801"/>
      <c r="U169" s="3801"/>
      <c r="V169" s="3801"/>
      <c r="W169" s="3801"/>
      <c r="X169" s="3801"/>
      <c r="Y169" s="3801"/>
      <c r="Z169" s="3801"/>
      <c r="AA169" s="3801"/>
      <c r="AB169" s="3801"/>
      <c r="AC169" s="3801"/>
    </row>
    <row r="170" spans="1:29">
      <c r="A170" s="3801"/>
      <c r="B170" s="3801"/>
      <c r="C170" s="3801"/>
      <c r="D170" s="3801"/>
      <c r="E170" s="3801"/>
      <c r="F170" s="3801"/>
      <c r="G170" s="3801"/>
      <c r="H170" s="3801"/>
      <c r="I170" s="3801"/>
      <c r="J170" s="3801"/>
      <c r="K170" s="3802"/>
      <c r="L170" s="3803"/>
      <c r="M170" s="3801"/>
      <c r="N170" s="3801"/>
      <c r="O170" s="3801"/>
      <c r="P170" s="3801"/>
      <c r="Q170" s="3801"/>
      <c r="R170" s="3801"/>
      <c r="S170" s="3801"/>
      <c r="T170" s="3801"/>
      <c r="U170" s="3801"/>
      <c r="V170" s="3801"/>
      <c r="W170" s="3801"/>
      <c r="X170" s="3801"/>
      <c r="Y170" s="3801"/>
      <c r="Z170" s="3801"/>
      <c r="AA170" s="3801"/>
      <c r="AB170" s="3801"/>
      <c r="AC170" s="3801"/>
    </row>
    <row r="171" spans="1:29">
      <c r="A171" s="3801"/>
      <c r="B171" s="3801"/>
      <c r="C171" s="3801"/>
      <c r="D171" s="3801"/>
      <c r="E171" s="3801"/>
      <c r="F171" s="3801"/>
      <c r="G171" s="3801"/>
      <c r="H171" s="3801"/>
      <c r="I171" s="3801"/>
      <c r="J171" s="3801"/>
      <c r="K171" s="3802"/>
      <c r="L171" s="3803"/>
      <c r="M171" s="3801"/>
      <c r="N171" s="3801"/>
      <c r="O171" s="3801"/>
      <c r="P171" s="3801"/>
      <c r="Q171" s="3801"/>
      <c r="R171" s="3801"/>
      <c r="S171" s="3801"/>
      <c r="T171" s="3801"/>
      <c r="U171" s="3801"/>
      <c r="V171" s="3801"/>
      <c r="W171" s="3801"/>
      <c r="X171" s="3801"/>
      <c r="Y171" s="3801"/>
      <c r="Z171" s="3801"/>
      <c r="AA171" s="3801"/>
      <c r="AB171" s="3801"/>
      <c r="AC171" s="3801"/>
    </row>
    <row r="172" spans="1:29">
      <c r="A172" s="3801"/>
      <c r="B172" s="3801"/>
      <c r="C172" s="3801"/>
      <c r="D172" s="3801"/>
      <c r="E172" s="3801"/>
      <c r="F172" s="3801"/>
      <c r="G172" s="3801"/>
      <c r="H172" s="3801"/>
      <c r="I172" s="3801"/>
      <c r="J172" s="3801"/>
      <c r="K172" s="3802"/>
      <c r="L172" s="3803"/>
      <c r="M172" s="3801"/>
      <c r="N172" s="3801"/>
      <c r="O172" s="3801"/>
      <c r="P172" s="3801"/>
      <c r="Q172" s="3801"/>
      <c r="R172" s="3801"/>
      <c r="S172" s="3801"/>
      <c r="T172" s="3801"/>
      <c r="U172" s="3801"/>
      <c r="V172" s="3801"/>
      <c r="W172" s="3801"/>
      <c r="X172" s="3801"/>
      <c r="Y172" s="3801"/>
      <c r="Z172" s="3801"/>
      <c r="AA172" s="3801"/>
      <c r="AB172" s="3801"/>
      <c r="AC172" s="3801"/>
    </row>
    <row r="173" spans="1:29">
      <c r="A173" s="3801"/>
      <c r="B173" s="3801"/>
      <c r="C173" s="3801"/>
      <c r="D173" s="3801"/>
      <c r="E173" s="3801"/>
      <c r="F173" s="3801"/>
      <c r="G173" s="3801"/>
      <c r="H173" s="3801"/>
      <c r="I173" s="3801"/>
      <c r="J173" s="3801"/>
      <c r="K173" s="3802"/>
      <c r="L173" s="3803"/>
      <c r="M173" s="3801"/>
      <c r="N173" s="3801"/>
      <c r="O173" s="3801"/>
      <c r="P173" s="3801"/>
      <c r="Q173" s="3801"/>
      <c r="R173" s="3801"/>
      <c r="S173" s="3801"/>
      <c r="T173" s="3801"/>
      <c r="U173" s="3801"/>
      <c r="V173" s="3801"/>
      <c r="W173" s="3801"/>
      <c r="X173" s="3801"/>
      <c r="Y173" s="3801"/>
      <c r="Z173" s="3801"/>
      <c r="AA173" s="3801"/>
      <c r="AB173" s="3801"/>
      <c r="AC173" s="3801"/>
    </row>
    <row r="174" spans="1:29">
      <c r="A174" s="3801"/>
      <c r="B174" s="3801"/>
      <c r="C174" s="3801"/>
      <c r="D174" s="3801"/>
      <c r="E174" s="3801"/>
      <c r="F174" s="3801"/>
      <c r="G174" s="3801"/>
      <c r="H174" s="3801"/>
      <c r="I174" s="3801"/>
      <c r="J174" s="3801"/>
      <c r="K174" s="3802"/>
      <c r="L174" s="3803"/>
      <c r="M174" s="3801"/>
      <c r="N174" s="3801"/>
      <c r="O174" s="3801"/>
      <c r="P174" s="3801"/>
      <c r="Q174" s="3801"/>
      <c r="R174" s="3801"/>
      <c r="S174" s="3801"/>
      <c r="T174" s="3801"/>
      <c r="U174" s="3801"/>
      <c r="V174" s="3801"/>
      <c r="W174" s="3801"/>
      <c r="X174" s="3801"/>
      <c r="Y174" s="3801"/>
      <c r="Z174" s="3801"/>
      <c r="AA174" s="3801"/>
      <c r="AB174" s="3801"/>
      <c r="AC174" s="3801"/>
    </row>
    <row r="175" spans="1:29">
      <c r="A175" s="3801"/>
      <c r="B175" s="3801"/>
      <c r="C175" s="3801"/>
      <c r="D175" s="3801"/>
      <c r="E175" s="3801"/>
      <c r="F175" s="3801"/>
      <c r="G175" s="3801"/>
      <c r="H175" s="3801"/>
      <c r="I175" s="3801"/>
      <c r="J175" s="3801"/>
      <c r="K175" s="3802"/>
      <c r="L175" s="3803"/>
      <c r="M175" s="3801"/>
      <c r="N175" s="3801"/>
      <c r="O175" s="3801"/>
      <c r="P175" s="3801"/>
      <c r="Q175" s="3801"/>
      <c r="R175" s="3801"/>
      <c r="S175" s="3801"/>
      <c r="T175" s="3801"/>
      <c r="U175" s="3801"/>
      <c r="V175" s="3801"/>
      <c r="W175" s="3801"/>
      <c r="X175" s="3801"/>
      <c r="Y175" s="3801"/>
      <c r="Z175" s="3801"/>
      <c r="AA175" s="3801"/>
      <c r="AB175" s="3801"/>
      <c r="AC175" s="3801"/>
    </row>
    <row r="176" spans="1:29">
      <c r="A176" s="3801"/>
      <c r="B176" s="3801"/>
      <c r="C176" s="3801"/>
      <c r="D176" s="3801"/>
      <c r="E176" s="3801"/>
      <c r="F176" s="3801"/>
      <c r="G176" s="3801"/>
      <c r="H176" s="3801"/>
      <c r="I176" s="3801"/>
      <c r="J176" s="3801"/>
      <c r="K176" s="3802"/>
      <c r="L176" s="3803"/>
      <c r="M176" s="3801"/>
      <c r="N176" s="3801"/>
      <c r="O176" s="3801"/>
      <c r="P176" s="3801"/>
      <c r="Q176" s="3801"/>
      <c r="R176" s="3801"/>
      <c r="S176" s="3801"/>
      <c r="T176" s="3801"/>
      <c r="U176" s="3801"/>
      <c r="V176" s="3801"/>
      <c r="W176" s="3801"/>
      <c r="X176" s="3801"/>
      <c r="Y176" s="3801"/>
      <c r="Z176" s="3801"/>
      <c r="AA176" s="3801"/>
      <c r="AB176" s="3801"/>
      <c r="AC176" s="3801"/>
    </row>
    <row r="177" spans="1:29">
      <c r="A177" s="3801"/>
      <c r="B177" s="3801"/>
      <c r="C177" s="3801"/>
      <c r="D177" s="3801"/>
      <c r="E177" s="3801"/>
      <c r="F177" s="3801"/>
      <c r="G177" s="3801"/>
      <c r="H177" s="3801"/>
      <c r="I177" s="3801"/>
      <c r="J177" s="3801"/>
      <c r="K177" s="3802"/>
      <c r="L177" s="3803"/>
      <c r="M177" s="3801"/>
      <c r="N177" s="3801"/>
      <c r="O177" s="3801"/>
      <c r="P177" s="3801"/>
      <c r="Q177" s="3801"/>
      <c r="R177" s="3801"/>
      <c r="S177" s="3801"/>
      <c r="T177" s="3801"/>
      <c r="U177" s="3801"/>
      <c r="V177" s="3801"/>
      <c r="W177" s="3801"/>
      <c r="X177" s="3801"/>
      <c r="Y177" s="3801"/>
      <c r="Z177" s="3801"/>
      <c r="AA177" s="3801"/>
      <c r="AB177" s="3801"/>
      <c r="AC177" s="3801"/>
    </row>
    <row r="178" spans="1:29">
      <c r="A178" s="3801"/>
      <c r="B178" s="3801"/>
      <c r="C178" s="3801"/>
      <c r="D178" s="3801"/>
      <c r="E178" s="3801"/>
      <c r="F178" s="3801"/>
      <c r="G178" s="3801"/>
      <c r="H178" s="3801"/>
      <c r="I178" s="3801"/>
      <c r="J178" s="3801"/>
      <c r="K178" s="3802"/>
      <c r="L178" s="3803"/>
      <c r="M178" s="3801"/>
      <c r="N178" s="3801"/>
      <c r="O178" s="3801"/>
      <c r="P178" s="3801"/>
      <c r="Q178" s="3801"/>
      <c r="R178" s="3801"/>
      <c r="S178" s="3801"/>
      <c r="T178" s="3801"/>
      <c r="U178" s="3801"/>
      <c r="V178" s="3801"/>
      <c r="W178" s="3801"/>
      <c r="X178" s="3801"/>
      <c r="Y178" s="3801"/>
      <c r="Z178" s="3801"/>
      <c r="AA178" s="3801"/>
      <c r="AB178" s="3801"/>
      <c r="AC178" s="3801"/>
    </row>
    <row r="179" spans="1:29">
      <c r="A179" s="3801"/>
      <c r="B179" s="3801"/>
      <c r="C179" s="3801"/>
      <c r="D179" s="3801"/>
      <c r="E179" s="3801"/>
      <c r="F179" s="3801"/>
      <c r="G179" s="3801"/>
      <c r="H179" s="3801"/>
      <c r="I179" s="3801"/>
      <c r="J179" s="3801"/>
      <c r="K179" s="3802"/>
      <c r="L179" s="3803"/>
      <c r="M179" s="3801"/>
      <c r="N179" s="3801"/>
      <c r="O179" s="3801"/>
      <c r="P179" s="3801"/>
      <c r="Q179" s="3801"/>
      <c r="R179" s="3801"/>
      <c r="S179" s="3801"/>
      <c r="T179" s="3801"/>
      <c r="U179" s="3801"/>
      <c r="V179" s="3801"/>
      <c r="W179" s="3801"/>
      <c r="X179" s="3801"/>
      <c r="Y179" s="3801"/>
      <c r="Z179" s="3801"/>
      <c r="AA179" s="3801"/>
      <c r="AB179" s="3801"/>
      <c r="AC179" s="3801"/>
    </row>
    <row r="180" spans="1:29">
      <c r="A180" s="3801"/>
      <c r="B180" s="3801"/>
      <c r="C180" s="3801"/>
      <c r="D180" s="3801"/>
      <c r="E180" s="3801"/>
      <c r="F180" s="3801"/>
      <c r="G180" s="3801"/>
      <c r="H180" s="3801"/>
      <c r="I180" s="3801"/>
      <c r="J180" s="3801"/>
      <c r="K180" s="3802"/>
      <c r="L180" s="3803"/>
      <c r="M180" s="3801"/>
      <c r="N180" s="3801"/>
      <c r="O180" s="3801"/>
      <c r="P180" s="3801"/>
      <c r="Q180" s="3801"/>
      <c r="R180" s="3801"/>
      <c r="S180" s="3801"/>
      <c r="T180" s="3801"/>
      <c r="U180" s="3801"/>
      <c r="V180" s="3801"/>
      <c r="W180" s="3801"/>
      <c r="X180" s="3801"/>
      <c r="Y180" s="3801"/>
      <c r="Z180" s="3801"/>
      <c r="AA180" s="3801"/>
      <c r="AB180" s="3801"/>
      <c r="AC180" s="3801"/>
    </row>
    <row r="181" spans="1:29">
      <c r="A181" s="3801"/>
      <c r="B181" s="3801"/>
      <c r="C181" s="3801"/>
      <c r="D181" s="3801"/>
      <c r="E181" s="3801"/>
      <c r="F181" s="3801"/>
      <c r="G181" s="3801"/>
      <c r="H181" s="3801"/>
      <c r="I181" s="3801"/>
      <c r="J181" s="3801"/>
      <c r="K181" s="3802"/>
      <c r="L181" s="3803"/>
      <c r="M181" s="3801"/>
      <c r="N181" s="3801"/>
      <c r="O181" s="3801"/>
      <c r="P181" s="3801"/>
      <c r="Q181" s="3801"/>
      <c r="R181" s="3801"/>
      <c r="S181" s="3801"/>
      <c r="T181" s="3801"/>
      <c r="U181" s="3801"/>
      <c r="V181" s="3801"/>
      <c r="W181" s="3801"/>
      <c r="X181" s="3801"/>
      <c r="Y181" s="3801"/>
      <c r="Z181" s="3801"/>
      <c r="AA181" s="3801"/>
      <c r="AB181" s="3801"/>
      <c r="AC181" s="3801"/>
    </row>
    <row r="182" spans="1:29">
      <c r="A182" s="3801"/>
      <c r="B182" s="3801"/>
      <c r="C182" s="3801"/>
      <c r="D182" s="3801"/>
      <c r="E182" s="3801"/>
      <c r="F182" s="3801"/>
      <c r="G182" s="3801"/>
      <c r="H182" s="3801"/>
      <c r="I182" s="3801"/>
      <c r="J182" s="3801"/>
      <c r="K182" s="3802"/>
      <c r="L182" s="3803"/>
      <c r="M182" s="3801"/>
      <c r="N182" s="3801"/>
      <c r="O182" s="3801"/>
      <c r="P182" s="3801"/>
      <c r="Q182" s="3801"/>
      <c r="R182" s="3801"/>
      <c r="S182" s="3801"/>
      <c r="T182" s="3801"/>
      <c r="U182" s="3801"/>
      <c r="V182" s="3801"/>
      <c r="W182" s="3801"/>
      <c r="X182" s="3801"/>
      <c r="Y182" s="3801"/>
      <c r="Z182" s="3801"/>
      <c r="AA182" s="3801"/>
      <c r="AB182" s="3801"/>
      <c r="AC182" s="3801"/>
    </row>
    <row r="183" spans="1:29">
      <c r="A183" s="3801"/>
      <c r="B183" s="3801"/>
      <c r="C183" s="3801"/>
      <c r="D183" s="3801"/>
      <c r="E183" s="3801"/>
      <c r="F183" s="3801"/>
      <c r="G183" s="3801"/>
      <c r="H183" s="3801"/>
      <c r="I183" s="3801"/>
      <c r="J183" s="3801"/>
      <c r="K183" s="3802"/>
      <c r="L183" s="3803"/>
      <c r="M183" s="3801"/>
      <c r="N183" s="3801"/>
      <c r="O183" s="3801"/>
      <c r="P183" s="3801"/>
      <c r="Q183" s="3801"/>
      <c r="R183" s="3801"/>
      <c r="S183" s="3801"/>
      <c r="T183" s="3801"/>
      <c r="U183" s="3801"/>
      <c r="V183" s="3801"/>
      <c r="W183" s="3801"/>
      <c r="X183" s="3801"/>
      <c r="Y183" s="3801"/>
      <c r="Z183" s="3801"/>
      <c r="AA183" s="3801"/>
      <c r="AB183" s="3801"/>
      <c r="AC183" s="3801"/>
    </row>
    <row r="184" spans="1:29">
      <c r="A184" s="3801"/>
      <c r="B184" s="3801"/>
      <c r="C184" s="3801"/>
      <c r="D184" s="3801"/>
      <c r="E184" s="3801"/>
      <c r="F184" s="3801"/>
      <c r="G184" s="3801"/>
      <c r="H184" s="3801"/>
      <c r="I184" s="3801"/>
      <c r="J184" s="3801"/>
      <c r="K184" s="3802"/>
      <c r="L184" s="3803"/>
      <c r="M184" s="3801"/>
      <c r="N184" s="3801"/>
      <c r="O184" s="3801"/>
      <c r="P184" s="3801"/>
      <c r="Q184" s="3801"/>
      <c r="R184" s="3801"/>
      <c r="S184" s="3801"/>
      <c r="T184" s="3801"/>
      <c r="U184" s="3801"/>
      <c r="V184" s="3801"/>
      <c r="W184" s="3801"/>
      <c r="X184" s="3801"/>
      <c r="Y184" s="3801"/>
      <c r="Z184" s="3801"/>
      <c r="AA184" s="3801"/>
      <c r="AB184" s="3801"/>
      <c r="AC184" s="3801"/>
    </row>
    <row r="185" spans="1:29">
      <c r="A185" s="3801"/>
      <c r="B185" s="3801"/>
      <c r="C185" s="3801"/>
      <c r="D185" s="3801"/>
      <c r="E185" s="3801"/>
      <c r="F185" s="3801"/>
      <c r="G185" s="3801"/>
      <c r="H185" s="3801"/>
      <c r="I185" s="3801"/>
      <c r="J185" s="3801"/>
      <c r="K185" s="3802"/>
      <c r="L185" s="3803"/>
      <c r="M185" s="3801"/>
      <c r="N185" s="3801"/>
      <c r="O185" s="3801"/>
      <c r="P185" s="3801"/>
      <c r="Q185" s="3801"/>
      <c r="R185" s="3801"/>
      <c r="S185" s="3801"/>
      <c r="T185" s="3801"/>
      <c r="U185" s="3801"/>
      <c r="V185" s="3801"/>
      <c r="W185" s="3801"/>
      <c r="X185" s="3801"/>
      <c r="Y185" s="3801"/>
      <c r="Z185" s="3801"/>
      <c r="AA185" s="3801"/>
      <c r="AB185" s="3801"/>
      <c r="AC185" s="3801"/>
    </row>
    <row r="186" spans="1:29">
      <c r="A186" s="3801"/>
      <c r="B186" s="3801"/>
      <c r="C186" s="3801"/>
      <c r="D186" s="3801"/>
      <c r="E186" s="3801"/>
      <c r="F186" s="3801"/>
      <c r="G186" s="3801"/>
      <c r="H186" s="3801"/>
      <c r="I186" s="3801"/>
      <c r="J186" s="3801"/>
      <c r="K186" s="3802"/>
      <c r="L186" s="3803"/>
      <c r="M186" s="3801"/>
      <c r="N186" s="3801"/>
      <c r="O186" s="3801"/>
      <c r="P186" s="3801"/>
      <c r="Q186" s="3801"/>
      <c r="R186" s="3801"/>
      <c r="S186" s="3801"/>
      <c r="T186" s="3801"/>
      <c r="U186" s="3801"/>
      <c r="V186" s="3801"/>
      <c r="W186" s="3801"/>
      <c r="X186" s="3801"/>
      <c r="Y186" s="3801"/>
      <c r="Z186" s="3801"/>
      <c r="AA186" s="3801"/>
      <c r="AB186" s="3801"/>
      <c r="AC186" s="3801"/>
    </row>
    <row r="187" spans="1:29">
      <c r="A187" s="3801"/>
      <c r="B187" s="3801"/>
      <c r="C187" s="3801"/>
      <c r="D187" s="3801"/>
      <c r="E187" s="3801"/>
      <c r="F187" s="3801"/>
      <c r="G187" s="3801"/>
      <c r="H187" s="3801"/>
      <c r="I187" s="3801"/>
      <c r="J187" s="3801"/>
      <c r="K187" s="3802"/>
      <c r="L187" s="3803"/>
      <c r="M187" s="3801"/>
      <c r="N187" s="3801"/>
      <c r="O187" s="3801"/>
      <c r="P187" s="3801"/>
      <c r="Q187" s="3801"/>
      <c r="R187" s="3801"/>
      <c r="S187" s="3801"/>
      <c r="T187" s="3801"/>
      <c r="U187" s="3801"/>
      <c r="V187" s="3801"/>
      <c r="W187" s="3801"/>
      <c r="X187" s="3801"/>
      <c r="Y187" s="3801"/>
      <c r="Z187" s="3801"/>
      <c r="AA187" s="3801"/>
      <c r="AB187" s="3801"/>
      <c r="AC187" s="3801"/>
    </row>
    <row r="188" spans="1:29">
      <c r="A188" s="3801"/>
      <c r="B188" s="3801"/>
      <c r="C188" s="3801"/>
      <c r="D188" s="3801"/>
      <c r="E188" s="3801"/>
      <c r="F188" s="3801"/>
      <c r="G188" s="3801"/>
      <c r="H188" s="3801"/>
      <c r="I188" s="3801"/>
      <c r="J188" s="3801"/>
      <c r="K188" s="3802"/>
      <c r="L188" s="3803"/>
      <c r="M188" s="3801"/>
      <c r="N188" s="3801"/>
      <c r="O188" s="3801"/>
      <c r="P188" s="3801"/>
      <c r="Q188" s="3801"/>
      <c r="R188" s="3801"/>
      <c r="S188" s="3801"/>
      <c r="T188" s="3801"/>
      <c r="U188" s="3801"/>
      <c r="V188" s="3801"/>
      <c r="W188" s="3801"/>
      <c r="X188" s="3801"/>
      <c r="Y188" s="3801"/>
      <c r="Z188" s="3801"/>
      <c r="AA188" s="3801"/>
      <c r="AB188" s="3801"/>
      <c r="AC188" s="3801"/>
    </row>
    <row r="189" spans="1:29">
      <c r="A189" s="3801"/>
      <c r="B189" s="3801"/>
      <c r="C189" s="3801"/>
      <c r="D189" s="3801"/>
      <c r="E189" s="3801"/>
      <c r="F189" s="3801"/>
      <c r="G189" s="3801"/>
      <c r="H189" s="3801"/>
      <c r="I189" s="3801"/>
      <c r="J189" s="3801"/>
      <c r="K189" s="3802"/>
      <c r="L189" s="3803"/>
      <c r="M189" s="3801"/>
      <c r="N189" s="3801"/>
      <c r="O189" s="3801"/>
      <c r="P189" s="3801"/>
      <c r="Q189" s="3801"/>
      <c r="R189" s="3801"/>
      <c r="S189" s="3801"/>
      <c r="T189" s="3801"/>
      <c r="U189" s="3801"/>
      <c r="V189" s="3801"/>
      <c r="W189" s="3801"/>
      <c r="X189" s="3801"/>
      <c r="Y189" s="3801"/>
      <c r="Z189" s="3801"/>
      <c r="AA189" s="3801"/>
      <c r="AB189" s="3801"/>
      <c r="AC189" s="3801"/>
    </row>
    <row r="190" spans="1:29">
      <c r="A190" s="3801"/>
      <c r="B190" s="3801"/>
      <c r="C190" s="3801"/>
      <c r="D190" s="3801"/>
      <c r="E190" s="3801"/>
      <c r="F190" s="3801"/>
      <c r="G190" s="3801"/>
      <c r="H190" s="3801"/>
      <c r="I190" s="3801"/>
      <c r="J190" s="3801"/>
      <c r="K190" s="3802"/>
      <c r="L190" s="3803"/>
      <c r="M190" s="3801"/>
      <c r="N190" s="3801"/>
      <c r="O190" s="3801"/>
      <c r="P190" s="3801"/>
      <c r="Q190" s="3801"/>
      <c r="R190" s="3801"/>
      <c r="S190" s="3801"/>
      <c r="T190" s="3801"/>
      <c r="U190" s="3801"/>
      <c r="V190" s="3801"/>
      <c r="W190" s="3801"/>
      <c r="X190" s="3801"/>
      <c r="Y190" s="3801"/>
      <c r="Z190" s="3801"/>
      <c r="AA190" s="3801"/>
      <c r="AB190" s="3801"/>
      <c r="AC190" s="3801"/>
    </row>
    <row r="191" spans="1:29">
      <c r="A191" s="3801"/>
      <c r="B191" s="3801"/>
      <c r="C191" s="3801"/>
      <c r="D191" s="3801"/>
      <c r="E191" s="3801"/>
      <c r="F191" s="3801"/>
      <c r="G191" s="3801"/>
      <c r="H191" s="3801"/>
      <c r="I191" s="3801"/>
      <c r="J191" s="3801"/>
      <c r="K191" s="3802"/>
      <c r="L191" s="3803"/>
      <c r="M191" s="3801"/>
      <c r="N191" s="3801"/>
      <c r="O191" s="3801"/>
      <c r="P191" s="3801"/>
      <c r="Q191" s="3801"/>
      <c r="R191" s="3801"/>
      <c r="S191" s="3801"/>
      <c r="T191" s="3801"/>
      <c r="U191" s="3801"/>
      <c r="V191" s="3801"/>
      <c r="W191" s="3801"/>
      <c r="X191" s="3801"/>
      <c r="Y191" s="3801"/>
      <c r="Z191" s="3801"/>
      <c r="AA191" s="3801"/>
      <c r="AB191" s="3801"/>
      <c r="AC191" s="3801"/>
    </row>
    <row r="192" spans="1:29">
      <c r="A192" s="3801"/>
      <c r="B192" s="3801"/>
      <c r="C192" s="3801"/>
      <c r="D192" s="3801"/>
      <c r="E192" s="3801"/>
      <c r="F192" s="3801"/>
      <c r="G192" s="3801"/>
      <c r="H192" s="3801"/>
      <c r="I192" s="3801"/>
      <c r="J192" s="3801"/>
      <c r="K192" s="3802"/>
      <c r="L192" s="3803"/>
      <c r="M192" s="3801"/>
      <c r="N192" s="3801"/>
      <c r="O192" s="3801"/>
      <c r="P192" s="3801"/>
      <c r="Q192" s="3801"/>
      <c r="R192" s="3801"/>
      <c r="S192" s="3801"/>
      <c r="T192" s="3801"/>
      <c r="U192" s="3801"/>
      <c r="V192" s="3801"/>
      <c r="W192" s="3801"/>
      <c r="X192" s="3801"/>
      <c r="Y192" s="3801"/>
      <c r="Z192" s="3801"/>
      <c r="AA192" s="3801"/>
      <c r="AB192" s="3801"/>
      <c r="AC192" s="3801"/>
    </row>
    <row r="193" spans="1:29">
      <c r="A193" s="3801"/>
      <c r="B193" s="3801"/>
      <c r="C193" s="3801"/>
      <c r="D193" s="3801"/>
      <c r="E193" s="3801"/>
      <c r="F193" s="3801"/>
      <c r="G193" s="3801"/>
      <c r="H193" s="3801"/>
      <c r="I193" s="3801"/>
      <c r="J193" s="3801"/>
      <c r="K193" s="3802"/>
      <c r="L193" s="3803"/>
      <c r="M193" s="3801"/>
      <c r="N193" s="3801"/>
      <c r="O193" s="3801"/>
      <c r="P193" s="3801"/>
      <c r="Q193" s="3801"/>
      <c r="R193" s="3801"/>
      <c r="S193" s="3801"/>
      <c r="T193" s="3801"/>
      <c r="U193" s="3801"/>
      <c r="V193" s="3801"/>
      <c r="W193" s="3801"/>
      <c r="X193" s="3801"/>
      <c r="Y193" s="3801"/>
      <c r="Z193" s="3801"/>
      <c r="AA193" s="3801"/>
      <c r="AB193" s="3801"/>
      <c r="AC193" s="3801"/>
    </row>
    <row r="194" spans="1:29">
      <c r="A194" s="3801"/>
      <c r="B194" s="3801"/>
      <c r="C194" s="3801"/>
      <c r="D194" s="3801"/>
      <c r="E194" s="3801"/>
      <c r="F194" s="3801"/>
      <c r="G194" s="3801"/>
      <c r="H194" s="3801"/>
      <c r="I194" s="3801"/>
      <c r="J194" s="3801"/>
      <c r="K194" s="3802"/>
      <c r="L194" s="3803"/>
      <c r="M194" s="3801"/>
      <c r="N194" s="3801"/>
      <c r="O194" s="3801"/>
      <c r="P194" s="3801"/>
      <c r="Q194" s="3801"/>
      <c r="R194" s="3801"/>
      <c r="S194" s="3801"/>
      <c r="T194" s="3801"/>
      <c r="U194" s="3801"/>
      <c r="V194" s="3801"/>
      <c r="W194" s="3801"/>
      <c r="X194" s="3801"/>
      <c r="Y194" s="3801"/>
      <c r="Z194" s="3801"/>
      <c r="AA194" s="3801"/>
      <c r="AB194" s="3801"/>
      <c r="AC194" s="3801"/>
    </row>
    <row r="195" spans="1:29">
      <c r="A195" s="3801"/>
      <c r="B195" s="3801"/>
      <c r="C195" s="3801"/>
      <c r="D195" s="3801"/>
      <c r="E195" s="3801"/>
      <c r="F195" s="3801"/>
      <c r="G195" s="3801"/>
      <c r="H195" s="3801"/>
      <c r="I195" s="3801"/>
      <c r="J195" s="3801"/>
      <c r="K195" s="3802"/>
      <c r="L195" s="3803"/>
      <c r="M195" s="3801"/>
      <c r="N195" s="3801"/>
      <c r="O195" s="3801"/>
      <c r="P195" s="3801"/>
      <c r="Q195" s="3801"/>
      <c r="R195" s="3801"/>
      <c r="S195" s="3801"/>
      <c r="T195" s="3801"/>
      <c r="U195" s="3801"/>
      <c r="V195" s="3801"/>
      <c r="W195" s="3801"/>
      <c r="X195" s="3801"/>
      <c r="Y195" s="3801"/>
      <c r="Z195" s="3801"/>
      <c r="AA195" s="3801"/>
      <c r="AB195" s="3801"/>
      <c r="AC195" s="3801"/>
    </row>
    <row r="196" spans="1:29">
      <c r="A196" s="3801"/>
      <c r="B196" s="3801"/>
      <c r="C196" s="3801"/>
      <c r="D196" s="3801"/>
      <c r="E196" s="3801"/>
      <c r="F196" s="3801"/>
      <c r="G196" s="3801"/>
      <c r="H196" s="3801"/>
      <c r="I196" s="3801"/>
      <c r="J196" s="3801"/>
      <c r="K196" s="3802"/>
      <c r="L196" s="3803"/>
      <c r="M196" s="3801"/>
      <c r="N196" s="3801"/>
      <c r="O196" s="3801"/>
      <c r="P196" s="3801"/>
      <c r="Q196" s="3801"/>
      <c r="R196" s="3801"/>
      <c r="S196" s="3801"/>
      <c r="T196" s="3801"/>
      <c r="U196" s="3801"/>
      <c r="V196" s="3801"/>
      <c r="W196" s="3801"/>
      <c r="X196" s="3801"/>
      <c r="Y196" s="3801"/>
      <c r="Z196" s="3801"/>
      <c r="AA196" s="3801"/>
      <c r="AB196" s="3801"/>
      <c r="AC196" s="3801"/>
    </row>
    <row r="197" spans="1:29">
      <c r="A197" s="3801"/>
      <c r="B197" s="3801"/>
      <c r="C197" s="3801"/>
      <c r="D197" s="3801"/>
      <c r="E197" s="3801"/>
      <c r="F197" s="3801"/>
      <c r="G197" s="3801"/>
      <c r="H197" s="3801"/>
      <c r="I197" s="3801"/>
      <c r="J197" s="3801"/>
      <c r="K197" s="3802"/>
      <c r="L197" s="3803"/>
      <c r="M197" s="3801"/>
      <c r="N197" s="3801"/>
      <c r="O197" s="3801"/>
      <c r="P197" s="3801"/>
      <c r="Q197" s="3801"/>
      <c r="R197" s="3801"/>
      <c r="S197" s="3801"/>
      <c r="T197" s="3801"/>
      <c r="U197" s="3801"/>
      <c r="V197" s="3801"/>
      <c r="W197" s="3801"/>
      <c r="X197" s="3801"/>
      <c r="Y197" s="3801"/>
      <c r="Z197" s="3801"/>
      <c r="AA197" s="3801"/>
      <c r="AB197" s="3801"/>
      <c r="AC197" s="3801"/>
    </row>
    <row r="198" spans="1:29">
      <c r="A198" s="3801"/>
      <c r="B198" s="3801"/>
      <c r="C198" s="3801"/>
      <c r="D198" s="3801"/>
      <c r="E198" s="3801"/>
      <c r="F198" s="3801"/>
      <c r="G198" s="3801"/>
      <c r="H198" s="3801"/>
      <c r="I198" s="3801"/>
      <c r="J198" s="3801"/>
      <c r="K198" s="3802"/>
      <c r="L198" s="3803"/>
      <c r="M198" s="3801"/>
      <c r="N198" s="3801"/>
      <c r="O198" s="3801"/>
      <c r="P198" s="3801"/>
      <c r="Q198" s="3801"/>
      <c r="R198" s="3801"/>
      <c r="S198" s="3801"/>
      <c r="T198" s="3801"/>
      <c r="U198" s="3801"/>
      <c r="V198" s="3801"/>
      <c r="W198" s="3801"/>
      <c r="X198" s="3801"/>
      <c r="Y198" s="3801"/>
      <c r="Z198" s="3801"/>
      <c r="AA198" s="3801"/>
      <c r="AB198" s="3801"/>
      <c r="AC198" s="3801"/>
    </row>
    <row r="199" spans="1:29">
      <c r="A199" s="3801"/>
      <c r="B199" s="3801"/>
      <c r="C199" s="3801"/>
      <c r="D199" s="3801"/>
      <c r="E199" s="3801"/>
      <c r="F199" s="3801"/>
      <c r="G199" s="3801"/>
      <c r="H199" s="3801"/>
      <c r="I199" s="3801"/>
      <c r="J199" s="3801"/>
      <c r="K199" s="3802"/>
      <c r="L199" s="3803"/>
      <c r="M199" s="3801"/>
      <c r="N199" s="3801"/>
      <c r="O199" s="3801"/>
      <c r="P199" s="3801"/>
      <c r="Q199" s="3801"/>
      <c r="R199" s="3801"/>
      <c r="S199" s="3801"/>
      <c r="T199" s="3801"/>
      <c r="U199" s="3801"/>
      <c r="V199" s="3801"/>
      <c r="W199" s="3801"/>
      <c r="X199" s="3801"/>
      <c r="Y199" s="3801"/>
      <c r="Z199" s="3801"/>
      <c r="AA199" s="3801"/>
      <c r="AB199" s="3801"/>
      <c r="AC199" s="3801"/>
    </row>
    <row r="200" spans="1:29">
      <c r="A200" s="3801"/>
      <c r="B200" s="3801"/>
      <c r="C200" s="3801"/>
      <c r="D200" s="3801"/>
      <c r="E200" s="3801"/>
      <c r="F200" s="3801"/>
      <c r="G200" s="3801"/>
      <c r="H200" s="3801"/>
      <c r="I200" s="3801"/>
      <c r="J200" s="3801"/>
      <c r="K200" s="3802"/>
      <c r="L200" s="3803"/>
      <c r="M200" s="3801"/>
      <c r="N200" s="3801"/>
      <c r="O200" s="3801"/>
      <c r="P200" s="3801"/>
      <c r="Q200" s="3801"/>
      <c r="R200" s="3801"/>
      <c r="S200" s="3801"/>
      <c r="T200" s="3801"/>
      <c r="U200" s="3801"/>
      <c r="V200" s="3801"/>
      <c r="W200" s="3801"/>
      <c r="X200" s="3801"/>
      <c r="Y200" s="3801"/>
      <c r="Z200" s="3801"/>
      <c r="AA200" s="3801"/>
      <c r="AB200" s="3801"/>
      <c r="AC200" s="3801"/>
    </row>
    <row r="201" spans="1:29">
      <c r="A201" s="3801"/>
      <c r="B201" s="3801"/>
      <c r="C201" s="3801"/>
      <c r="D201" s="3801"/>
      <c r="E201" s="3801"/>
      <c r="F201" s="3801"/>
      <c r="G201" s="3801"/>
      <c r="H201" s="3801"/>
      <c r="I201" s="3801"/>
      <c r="J201" s="3801"/>
      <c r="K201" s="3802"/>
      <c r="L201" s="3803"/>
      <c r="M201" s="3801"/>
      <c r="N201" s="3801"/>
      <c r="O201" s="3801"/>
      <c r="P201" s="3801"/>
      <c r="Q201" s="3801"/>
      <c r="R201" s="3801"/>
      <c r="S201" s="3801"/>
      <c r="T201" s="3801"/>
      <c r="U201" s="3801"/>
      <c r="V201" s="3801"/>
      <c r="W201" s="3801"/>
      <c r="X201" s="3801"/>
      <c r="Y201" s="3801"/>
      <c r="Z201" s="3801"/>
      <c r="AA201" s="3801"/>
      <c r="AB201" s="3801"/>
      <c r="AC201" s="3801"/>
    </row>
    <row r="202" spans="1:29">
      <c r="A202" s="3801"/>
      <c r="B202" s="3801"/>
      <c r="C202" s="3801"/>
      <c r="D202" s="3801"/>
      <c r="E202" s="3801"/>
      <c r="F202" s="3801"/>
      <c r="G202" s="3801"/>
      <c r="H202" s="3801"/>
      <c r="I202" s="3801"/>
      <c r="J202" s="3801"/>
      <c r="K202" s="3802"/>
      <c r="L202" s="3803"/>
      <c r="M202" s="3801"/>
      <c r="N202" s="3801"/>
      <c r="O202" s="3801"/>
      <c r="P202" s="3801"/>
      <c r="Q202" s="3801"/>
      <c r="R202" s="3801"/>
      <c r="S202" s="3801"/>
      <c r="T202" s="3801"/>
      <c r="U202" s="3801"/>
      <c r="V202" s="3801"/>
      <c r="W202" s="3801"/>
      <c r="X202" s="3801"/>
      <c r="Y202" s="3801"/>
      <c r="Z202" s="3801"/>
      <c r="AA202" s="3801"/>
      <c r="AB202" s="3801"/>
      <c r="AC202" s="3801"/>
    </row>
    <row r="203" spans="1:29">
      <c r="A203" s="3801"/>
      <c r="B203" s="3801"/>
      <c r="C203" s="3801"/>
      <c r="D203" s="3801"/>
      <c r="E203" s="3801"/>
      <c r="F203" s="3801"/>
      <c r="G203" s="3801"/>
      <c r="H203" s="3801"/>
      <c r="I203" s="3801"/>
      <c r="J203" s="3801"/>
      <c r="K203" s="3802"/>
      <c r="L203" s="3803"/>
      <c r="M203" s="3801"/>
      <c r="N203" s="3801"/>
      <c r="O203" s="3801"/>
      <c r="P203" s="3801"/>
      <c r="Q203" s="3801"/>
      <c r="R203" s="3801"/>
      <c r="S203" s="3801"/>
      <c r="T203" s="3801"/>
      <c r="U203" s="3801"/>
      <c r="V203" s="3801"/>
      <c r="W203" s="3801"/>
      <c r="X203" s="3801"/>
      <c r="Y203" s="3801"/>
      <c r="Z203" s="3801"/>
      <c r="AA203" s="3801"/>
      <c r="AB203" s="3801"/>
      <c r="AC203" s="3801"/>
    </row>
    <row r="204" spans="1:29">
      <c r="A204" s="3801"/>
      <c r="B204" s="3801"/>
      <c r="C204" s="3801"/>
      <c r="D204" s="3801"/>
      <c r="E204" s="3801"/>
      <c r="F204" s="3801"/>
      <c r="G204" s="3801"/>
      <c r="H204" s="3801"/>
      <c r="I204" s="3801"/>
      <c r="J204" s="3801"/>
      <c r="K204" s="3802"/>
      <c r="L204" s="3803"/>
      <c r="M204" s="3801"/>
      <c r="N204" s="3801"/>
      <c r="O204" s="3801"/>
      <c r="P204" s="3801"/>
      <c r="Q204" s="3801"/>
      <c r="R204" s="3801"/>
      <c r="S204" s="3801"/>
      <c r="T204" s="3801"/>
      <c r="U204" s="3801"/>
      <c r="V204" s="3801"/>
      <c r="W204" s="3801"/>
      <c r="X204" s="3801"/>
      <c r="Y204" s="3801"/>
      <c r="Z204" s="3801"/>
      <c r="AA204" s="3801"/>
      <c r="AB204" s="3801"/>
      <c r="AC204" s="3801"/>
    </row>
    <row r="205" spans="1:29">
      <c r="A205" s="3801"/>
      <c r="B205" s="3801"/>
      <c r="C205" s="3801"/>
      <c r="D205" s="3801"/>
      <c r="E205" s="3801"/>
      <c r="F205" s="3801"/>
      <c r="G205" s="3801"/>
      <c r="H205" s="3801"/>
      <c r="I205" s="3801"/>
      <c r="J205" s="3801"/>
      <c r="K205" s="3802"/>
      <c r="L205" s="3803"/>
      <c r="M205" s="3801"/>
      <c r="N205" s="3801"/>
      <c r="O205" s="3801"/>
      <c r="P205" s="3801"/>
      <c r="Q205" s="3801"/>
      <c r="R205" s="3801"/>
      <c r="S205" s="3801"/>
      <c r="T205" s="3801"/>
      <c r="U205" s="3801"/>
      <c r="V205" s="3801"/>
      <c r="W205" s="3801"/>
      <c r="X205" s="3801"/>
      <c r="Y205" s="3801"/>
      <c r="Z205" s="3801"/>
      <c r="AA205" s="3801"/>
      <c r="AB205" s="3801"/>
      <c r="AC205" s="3801"/>
    </row>
    <row r="206" spans="1:29">
      <c r="A206" s="3801"/>
      <c r="B206" s="3801"/>
      <c r="C206" s="3801"/>
      <c r="D206" s="3801"/>
      <c r="E206" s="3801"/>
      <c r="F206" s="3801"/>
      <c r="G206" s="3801"/>
      <c r="H206" s="3801"/>
      <c r="I206" s="3801"/>
      <c r="J206" s="3801"/>
      <c r="K206" s="3802"/>
      <c r="L206" s="3803"/>
      <c r="M206" s="3801"/>
      <c r="N206" s="3801"/>
      <c r="O206" s="3801"/>
      <c r="P206" s="3801"/>
      <c r="Q206" s="3801"/>
      <c r="R206" s="3801"/>
      <c r="S206" s="3801"/>
      <c r="T206" s="3801"/>
      <c r="U206" s="3801"/>
      <c r="V206" s="3801"/>
      <c r="W206" s="3801"/>
      <c r="X206" s="3801"/>
      <c r="Y206" s="3801"/>
      <c r="Z206" s="3801"/>
      <c r="AA206" s="3801"/>
      <c r="AB206" s="3801"/>
      <c r="AC206" s="3801"/>
    </row>
    <row r="207" spans="1:29">
      <c r="A207" s="3801"/>
      <c r="B207" s="3801"/>
      <c r="C207" s="3801"/>
      <c r="D207" s="3801"/>
      <c r="E207" s="3801"/>
      <c r="F207" s="3801"/>
      <c r="G207" s="3801"/>
      <c r="H207" s="3801"/>
      <c r="I207" s="3801"/>
      <c r="J207" s="3801"/>
      <c r="K207" s="3802"/>
      <c r="L207" s="3803"/>
      <c r="M207" s="3801"/>
      <c r="N207" s="3801"/>
      <c r="O207" s="3801"/>
      <c r="P207" s="3801"/>
      <c r="Q207" s="3801"/>
      <c r="R207" s="3801"/>
      <c r="S207" s="3801"/>
      <c r="T207" s="3801"/>
      <c r="U207" s="3801"/>
      <c r="V207" s="3801"/>
      <c r="W207" s="3801"/>
      <c r="X207" s="3801"/>
      <c r="Y207" s="3801"/>
      <c r="Z207" s="3801"/>
      <c r="AA207" s="3801"/>
      <c r="AB207" s="3801"/>
      <c r="AC207" s="3801"/>
    </row>
    <row r="208" spans="1:29">
      <c r="A208" s="3801"/>
      <c r="B208" s="3801"/>
      <c r="C208" s="3801"/>
      <c r="D208" s="3801"/>
      <c r="E208" s="3801"/>
      <c r="F208" s="3801"/>
      <c r="G208" s="3801"/>
      <c r="H208" s="3801"/>
      <c r="I208" s="3801"/>
      <c r="J208" s="3801"/>
      <c r="K208" s="3802"/>
      <c r="L208" s="3803"/>
      <c r="M208" s="3801"/>
      <c r="N208" s="3801"/>
      <c r="O208" s="3801"/>
      <c r="P208" s="3801"/>
      <c r="Q208" s="3801"/>
      <c r="R208" s="3801"/>
      <c r="S208" s="3801"/>
      <c r="T208" s="3801"/>
      <c r="U208" s="3801"/>
      <c r="V208" s="3801"/>
      <c r="W208" s="3801"/>
      <c r="X208" s="3801"/>
      <c r="Y208" s="3801"/>
      <c r="Z208" s="3801"/>
      <c r="AA208" s="3801"/>
      <c r="AB208" s="3801"/>
      <c r="AC208" s="3801"/>
    </row>
    <row r="209" spans="1:29">
      <c r="A209" s="3801"/>
      <c r="B209" s="3801"/>
      <c r="C209" s="3801"/>
      <c r="D209" s="3801"/>
      <c r="E209" s="3801"/>
      <c r="F209" s="3801"/>
      <c r="G209" s="3801"/>
      <c r="H209" s="3801"/>
      <c r="I209" s="3801"/>
      <c r="J209" s="3801"/>
      <c r="K209" s="3802"/>
      <c r="L209" s="3803"/>
      <c r="M209" s="3801"/>
      <c r="N209" s="3801"/>
      <c r="O209" s="3801"/>
      <c r="P209" s="3801"/>
      <c r="Q209" s="3801"/>
      <c r="R209" s="3801"/>
      <c r="S209" s="3801"/>
      <c r="T209" s="3801"/>
      <c r="U209" s="3801"/>
      <c r="V209" s="3801"/>
      <c r="W209" s="3801"/>
      <c r="X209" s="3801"/>
      <c r="Y209" s="3801"/>
      <c r="Z209" s="3801"/>
      <c r="AA209" s="3801"/>
      <c r="AB209" s="3801"/>
      <c r="AC209" s="3801"/>
    </row>
    <row r="210" spans="1:29">
      <c r="A210" s="3801"/>
      <c r="B210" s="3801"/>
      <c r="C210" s="3801"/>
      <c r="D210" s="3801"/>
      <c r="E210" s="3801"/>
      <c r="F210" s="3801"/>
      <c r="G210" s="3801"/>
      <c r="H210" s="3801"/>
      <c r="I210" s="3801"/>
      <c r="J210" s="3801"/>
      <c r="K210" s="3802"/>
      <c r="L210" s="3803"/>
      <c r="M210" s="3801"/>
      <c r="N210" s="3801"/>
      <c r="O210" s="3801"/>
      <c r="P210" s="3801"/>
      <c r="Q210" s="3801"/>
      <c r="R210" s="3801"/>
      <c r="S210" s="3801"/>
      <c r="T210" s="3801"/>
      <c r="U210" s="3801"/>
      <c r="V210" s="3801"/>
      <c r="W210" s="3801"/>
      <c r="X210" s="3801"/>
      <c r="Y210" s="3801"/>
      <c r="Z210" s="3801"/>
      <c r="AA210" s="3801"/>
      <c r="AB210" s="3801"/>
      <c r="AC210" s="3801"/>
    </row>
    <row r="211" spans="1:29">
      <c r="A211" s="3801"/>
      <c r="B211" s="3801"/>
      <c r="C211" s="3801"/>
      <c r="D211" s="3801"/>
      <c r="E211" s="3801"/>
      <c r="F211" s="3801"/>
      <c r="G211" s="3801"/>
      <c r="H211" s="3801"/>
      <c r="I211" s="3801"/>
      <c r="J211" s="3801"/>
      <c r="K211" s="3802"/>
      <c r="L211" s="3803"/>
      <c r="M211" s="3801"/>
      <c r="N211" s="3801"/>
      <c r="O211" s="3801"/>
      <c r="P211" s="3801"/>
      <c r="Q211" s="3801"/>
      <c r="R211" s="3801"/>
      <c r="S211" s="3801"/>
      <c r="T211" s="3801"/>
      <c r="U211" s="3801"/>
      <c r="V211" s="3801"/>
      <c r="W211" s="3801"/>
      <c r="X211" s="3801"/>
      <c r="Y211" s="3801"/>
      <c r="Z211" s="3801"/>
      <c r="AA211" s="3801"/>
      <c r="AB211" s="3801"/>
      <c r="AC211" s="3801"/>
    </row>
    <row r="212" spans="1:29">
      <c r="A212" s="3801"/>
      <c r="B212" s="3801"/>
      <c r="C212" s="3801"/>
      <c r="D212" s="3801"/>
      <c r="E212" s="3801"/>
      <c r="F212" s="3801"/>
      <c r="G212" s="3801"/>
      <c r="H212" s="3801"/>
      <c r="I212" s="3801"/>
      <c r="J212" s="3801"/>
      <c r="K212" s="3802"/>
      <c r="L212" s="3803"/>
      <c r="M212" s="3801"/>
      <c r="N212" s="3801"/>
      <c r="O212" s="3801"/>
      <c r="P212" s="3801"/>
      <c r="Q212" s="3801"/>
      <c r="R212" s="3801"/>
      <c r="S212" s="3801"/>
      <c r="T212" s="3801"/>
      <c r="U212" s="3801"/>
      <c r="V212" s="3801"/>
      <c r="W212" s="3801"/>
      <c r="X212" s="3801"/>
      <c r="Y212" s="3801"/>
      <c r="Z212" s="3801"/>
      <c r="AA212" s="3801"/>
      <c r="AB212" s="3801"/>
      <c r="AC212" s="3801"/>
    </row>
    <row r="213" spans="1:29">
      <c r="A213" s="3801"/>
      <c r="B213" s="3801"/>
      <c r="C213" s="3801"/>
      <c r="D213" s="3801"/>
      <c r="E213" s="3801"/>
      <c r="F213" s="3801"/>
      <c r="G213" s="3801"/>
      <c r="H213" s="3801"/>
      <c r="I213" s="3801"/>
      <c r="J213" s="3801"/>
      <c r="K213" s="3802"/>
      <c r="L213" s="3803"/>
      <c r="M213" s="3801"/>
      <c r="N213" s="3801"/>
      <c r="O213" s="3801"/>
      <c r="P213" s="3801"/>
      <c r="Q213" s="3801"/>
      <c r="R213" s="3801"/>
      <c r="S213" s="3801"/>
      <c r="T213" s="3801"/>
      <c r="U213" s="3801"/>
      <c r="V213" s="3801"/>
      <c r="W213" s="3801"/>
      <c r="X213" s="3801"/>
      <c r="Y213" s="3801"/>
      <c r="Z213" s="3801"/>
      <c r="AA213" s="3801"/>
      <c r="AB213" s="3801"/>
      <c r="AC213" s="3801"/>
    </row>
    <row r="214" spans="1:29">
      <c r="A214" s="3801"/>
      <c r="B214" s="3801"/>
      <c r="C214" s="3801"/>
      <c r="D214" s="3801"/>
      <c r="E214" s="3801"/>
      <c r="F214" s="3801"/>
      <c r="G214" s="3801"/>
      <c r="H214" s="3801"/>
      <c r="I214" s="3801"/>
      <c r="J214" s="3801"/>
      <c r="K214" s="3802"/>
      <c r="L214" s="3803"/>
      <c r="M214" s="3801"/>
      <c r="N214" s="3801"/>
      <c r="O214" s="3801"/>
      <c r="P214" s="3801"/>
      <c r="Q214" s="3801"/>
      <c r="R214" s="3801"/>
      <c r="S214" s="3801"/>
      <c r="T214" s="3801"/>
      <c r="U214" s="3801"/>
      <c r="V214" s="3801"/>
      <c r="W214" s="3801"/>
      <c r="X214" s="3801"/>
      <c r="Y214" s="3801"/>
      <c r="Z214" s="3801"/>
      <c r="AA214" s="3801"/>
      <c r="AB214" s="3801"/>
      <c r="AC214" s="3801"/>
    </row>
    <row r="215" spans="1:29">
      <c r="A215" s="3801"/>
      <c r="B215" s="3801"/>
      <c r="C215" s="3801"/>
      <c r="D215" s="3801"/>
      <c r="E215" s="3801"/>
      <c r="F215" s="3801"/>
      <c r="G215" s="3801"/>
      <c r="H215" s="3801"/>
      <c r="I215" s="3801"/>
      <c r="J215" s="3801"/>
      <c r="K215" s="3802"/>
      <c r="L215" s="3803"/>
      <c r="M215" s="3801"/>
      <c r="N215" s="3801"/>
      <c r="O215" s="3801"/>
      <c r="P215" s="3801"/>
      <c r="Q215" s="3801"/>
      <c r="R215" s="3801"/>
      <c r="S215" s="3801"/>
      <c r="T215" s="3801"/>
      <c r="U215" s="3801"/>
      <c r="V215" s="3801"/>
      <c r="W215" s="3801"/>
      <c r="X215" s="3801"/>
      <c r="Y215" s="3801"/>
      <c r="Z215" s="3801"/>
      <c r="AA215" s="3801"/>
      <c r="AB215" s="3801"/>
      <c r="AC215" s="3801"/>
    </row>
    <row r="216" spans="1:29">
      <c r="A216" s="3801"/>
      <c r="B216" s="3801"/>
      <c r="C216" s="3801"/>
      <c r="D216" s="3801"/>
      <c r="E216" s="3801"/>
      <c r="F216" s="3801"/>
      <c r="G216" s="3801"/>
      <c r="H216" s="3801"/>
      <c r="I216" s="3801"/>
      <c r="J216" s="3801"/>
      <c r="K216" s="3802"/>
      <c r="L216" s="3803"/>
      <c r="M216" s="3801"/>
      <c r="N216" s="3801"/>
      <c r="O216" s="3801"/>
      <c r="P216" s="3801"/>
      <c r="Q216" s="3801"/>
      <c r="R216" s="3801"/>
      <c r="S216" s="3801"/>
      <c r="T216" s="3801"/>
      <c r="U216" s="3801"/>
      <c r="V216" s="3801"/>
      <c r="W216" s="3801"/>
      <c r="X216" s="3801"/>
      <c r="Y216" s="3801"/>
      <c r="Z216" s="3801"/>
      <c r="AA216" s="3801"/>
      <c r="AB216" s="3801"/>
      <c r="AC216" s="3801"/>
    </row>
    <row r="217" spans="1:29">
      <c r="A217" s="3801"/>
      <c r="B217" s="3801"/>
      <c r="C217" s="3801"/>
      <c r="D217" s="3801"/>
      <c r="E217" s="3801"/>
      <c r="F217" s="3801"/>
      <c r="G217" s="3801"/>
      <c r="H217" s="3801"/>
      <c r="I217" s="3801"/>
      <c r="J217" s="3801"/>
      <c r="K217" s="3802"/>
      <c r="L217" s="3803"/>
      <c r="M217" s="3801"/>
      <c r="N217" s="3801"/>
      <c r="O217" s="3801"/>
      <c r="P217" s="3801"/>
      <c r="Q217" s="3801"/>
      <c r="R217" s="3801"/>
      <c r="S217" s="3801"/>
      <c r="T217" s="3801"/>
      <c r="U217" s="3801"/>
      <c r="V217" s="3801"/>
      <c r="W217" s="3801"/>
      <c r="X217" s="3801"/>
      <c r="Y217" s="3801"/>
      <c r="Z217" s="3801"/>
      <c r="AA217" s="3801"/>
      <c r="AB217" s="3801"/>
      <c r="AC217" s="3801"/>
    </row>
    <row r="218" spans="1:29">
      <c r="A218" s="3801"/>
      <c r="B218" s="3801"/>
      <c r="C218" s="3801"/>
      <c r="D218" s="3801"/>
      <c r="E218" s="3801"/>
      <c r="F218" s="3801"/>
      <c r="G218" s="3801"/>
      <c r="H218" s="3801"/>
      <c r="I218" s="3801"/>
      <c r="J218" s="3801"/>
      <c r="K218" s="3802"/>
      <c r="L218" s="3803"/>
      <c r="M218" s="3801"/>
      <c r="N218" s="3801"/>
      <c r="O218" s="3801"/>
      <c r="P218" s="3801"/>
      <c r="Q218" s="3801"/>
      <c r="R218" s="3801"/>
      <c r="S218" s="3801"/>
      <c r="T218" s="3801"/>
      <c r="U218" s="3801"/>
      <c r="V218" s="3801"/>
      <c r="W218" s="3801"/>
      <c r="X218" s="3801"/>
      <c r="Y218" s="3801"/>
      <c r="Z218" s="3801"/>
      <c r="AA218" s="3801"/>
      <c r="AB218" s="3801"/>
      <c r="AC218" s="3801"/>
    </row>
    <row r="219" spans="1:29">
      <c r="A219" s="3801"/>
      <c r="B219" s="3801"/>
      <c r="C219" s="3801"/>
      <c r="D219" s="3801"/>
      <c r="E219" s="3801"/>
      <c r="F219" s="3801"/>
      <c r="G219" s="3801"/>
      <c r="H219" s="3801"/>
      <c r="I219" s="3801"/>
      <c r="J219" s="3801"/>
      <c r="K219" s="3802"/>
      <c r="L219" s="3803"/>
      <c r="M219" s="3801"/>
      <c r="N219" s="3801"/>
      <c r="O219" s="3801"/>
      <c r="P219" s="3801"/>
      <c r="Q219" s="3801"/>
      <c r="R219" s="3801"/>
      <c r="S219" s="3801"/>
      <c r="T219" s="3801"/>
      <c r="U219" s="3801"/>
      <c r="V219" s="3801"/>
      <c r="W219" s="3801"/>
      <c r="X219" s="3801"/>
      <c r="Y219" s="3801"/>
      <c r="Z219" s="3801"/>
      <c r="AA219" s="3801"/>
      <c r="AB219" s="3801"/>
      <c r="AC219" s="3801"/>
    </row>
    <row r="220" spans="1:29">
      <c r="A220" s="3801"/>
      <c r="B220" s="3801"/>
      <c r="C220" s="3801"/>
      <c r="D220" s="3801"/>
      <c r="E220" s="3801"/>
      <c r="F220" s="3801"/>
      <c r="G220" s="3801"/>
      <c r="H220" s="3801"/>
      <c r="I220" s="3801"/>
      <c r="J220" s="3801"/>
      <c r="K220" s="3802"/>
      <c r="L220" s="3803"/>
      <c r="M220" s="3801"/>
      <c r="N220" s="3801"/>
      <c r="O220" s="3801"/>
      <c r="P220" s="3801"/>
      <c r="Q220" s="3801"/>
      <c r="R220" s="3801"/>
      <c r="S220" s="3801"/>
      <c r="T220" s="3801"/>
      <c r="U220" s="3801"/>
      <c r="V220" s="3801"/>
      <c r="W220" s="3801"/>
      <c r="X220" s="3801"/>
      <c r="Y220" s="3801"/>
      <c r="Z220" s="3801"/>
      <c r="AA220" s="3801"/>
      <c r="AB220" s="3801"/>
      <c r="AC220" s="3801"/>
    </row>
    <row r="221" spans="1:29">
      <c r="A221" s="3801"/>
      <c r="B221" s="3801"/>
      <c r="C221" s="3801"/>
      <c r="D221" s="3801"/>
      <c r="E221" s="3801"/>
      <c r="F221" s="3801"/>
      <c r="G221" s="3801"/>
      <c r="H221" s="3801"/>
      <c r="I221" s="3801"/>
      <c r="J221" s="3801"/>
      <c r="K221" s="3802"/>
      <c r="L221" s="3803"/>
      <c r="M221" s="3801"/>
      <c r="N221" s="3801"/>
      <c r="O221" s="3801"/>
      <c r="P221" s="3801"/>
      <c r="Q221" s="3801"/>
      <c r="R221" s="3801"/>
      <c r="S221" s="3801"/>
      <c r="T221" s="3801"/>
      <c r="U221" s="3801"/>
      <c r="V221" s="3801"/>
      <c r="W221" s="3801"/>
      <c r="X221" s="3801"/>
      <c r="Y221" s="3801"/>
      <c r="Z221" s="3801"/>
      <c r="AA221" s="3801"/>
      <c r="AB221" s="3801"/>
      <c r="AC221" s="3801"/>
    </row>
    <row r="222" spans="1:29">
      <c r="A222" s="3801"/>
      <c r="B222" s="3801"/>
      <c r="C222" s="3801"/>
      <c r="D222" s="3801"/>
      <c r="E222" s="3801"/>
      <c r="F222" s="3801"/>
      <c r="G222" s="3801"/>
      <c r="H222" s="3801"/>
      <c r="I222" s="3801"/>
      <c r="J222" s="3801"/>
      <c r="K222" s="3802"/>
      <c r="L222" s="3803"/>
      <c r="M222" s="3801"/>
      <c r="N222" s="3801"/>
      <c r="O222" s="3801"/>
      <c r="P222" s="3801"/>
      <c r="Q222" s="3801"/>
      <c r="R222" s="3801"/>
      <c r="S222" s="3801"/>
      <c r="T222" s="3801"/>
      <c r="U222" s="3801"/>
      <c r="V222" s="3801"/>
      <c r="W222" s="3801"/>
      <c r="X222" s="3801"/>
      <c r="Y222" s="3801"/>
      <c r="Z222" s="3801"/>
      <c r="AA222" s="3801"/>
      <c r="AB222" s="3801"/>
      <c r="AC222" s="3801"/>
    </row>
    <row r="223" spans="1:29">
      <c r="A223" s="3801"/>
      <c r="B223" s="3801"/>
      <c r="C223" s="3801"/>
      <c r="D223" s="3801"/>
      <c r="E223" s="3801"/>
      <c r="F223" s="3801"/>
      <c r="G223" s="3801"/>
      <c r="H223" s="3801"/>
      <c r="I223" s="3801"/>
      <c r="J223" s="3801"/>
      <c r="K223" s="3802"/>
      <c r="L223" s="3803"/>
      <c r="M223" s="3801"/>
      <c r="N223" s="3801"/>
      <c r="O223" s="3801"/>
      <c r="P223" s="3801"/>
      <c r="Q223" s="3801"/>
      <c r="R223" s="3801"/>
      <c r="S223" s="3801"/>
      <c r="T223" s="3801"/>
      <c r="U223" s="3801"/>
      <c r="V223" s="3801"/>
      <c r="W223" s="3801"/>
      <c r="X223" s="3801"/>
      <c r="Y223" s="3801"/>
      <c r="Z223" s="3801"/>
      <c r="AA223" s="3801"/>
      <c r="AB223" s="3801"/>
      <c r="AC223" s="3801"/>
    </row>
    <row r="224" spans="1:29">
      <c r="A224" s="3801"/>
      <c r="B224" s="3801"/>
      <c r="C224" s="3801"/>
      <c r="D224" s="3801"/>
      <c r="E224" s="3801"/>
      <c r="F224" s="3801"/>
      <c r="G224" s="3801"/>
      <c r="H224" s="3801"/>
      <c r="I224" s="3801"/>
      <c r="J224" s="3801"/>
      <c r="K224" s="3802"/>
      <c r="L224" s="3803"/>
      <c r="M224" s="3801"/>
      <c r="N224" s="3801"/>
      <c r="O224" s="3801"/>
      <c r="P224" s="3801"/>
      <c r="Q224" s="3801"/>
      <c r="R224" s="3801"/>
      <c r="S224" s="3801"/>
      <c r="T224" s="3801"/>
      <c r="U224" s="3801"/>
      <c r="V224" s="3801"/>
      <c r="W224" s="3801"/>
      <c r="X224" s="3801"/>
      <c r="Y224" s="3801"/>
      <c r="Z224" s="3801"/>
      <c r="AA224" s="3801"/>
      <c r="AB224" s="3801"/>
      <c r="AC224" s="3801"/>
    </row>
    <row r="225" spans="1:29">
      <c r="A225" s="3801"/>
      <c r="B225" s="3801"/>
      <c r="C225" s="3801"/>
      <c r="D225" s="3801"/>
      <c r="E225" s="3801"/>
      <c r="F225" s="3801"/>
      <c r="G225" s="3801"/>
      <c r="H225" s="3801"/>
      <c r="I225" s="3801"/>
      <c r="J225" s="3801"/>
      <c r="K225" s="3802"/>
      <c r="L225" s="3803"/>
      <c r="M225" s="3801"/>
      <c r="N225" s="3801"/>
      <c r="O225" s="3801"/>
      <c r="P225" s="3801"/>
      <c r="Q225" s="3801"/>
      <c r="R225" s="3801"/>
      <c r="S225" s="3801"/>
      <c r="T225" s="3801"/>
      <c r="U225" s="3801"/>
      <c r="V225" s="3801"/>
      <c r="W225" s="3801"/>
      <c r="X225" s="3801"/>
      <c r="Y225" s="3801"/>
      <c r="Z225" s="3801"/>
      <c r="AA225" s="3801"/>
      <c r="AB225" s="3801"/>
      <c r="AC225" s="3801"/>
    </row>
    <row r="226" spans="1:29">
      <c r="A226" s="3801"/>
      <c r="B226" s="3801"/>
      <c r="C226" s="3801"/>
      <c r="D226" s="3801"/>
      <c r="E226" s="3801"/>
      <c r="F226" s="3801"/>
      <c r="G226" s="3801"/>
      <c r="H226" s="3801"/>
      <c r="I226" s="3801"/>
      <c r="J226" s="3801"/>
      <c r="K226" s="3802"/>
      <c r="L226" s="3803"/>
      <c r="M226" s="3801"/>
      <c r="N226" s="3801"/>
      <c r="O226" s="3801"/>
      <c r="P226" s="3801"/>
      <c r="Q226" s="3801"/>
      <c r="R226" s="3801"/>
      <c r="S226" s="3801"/>
      <c r="T226" s="3801"/>
      <c r="U226" s="3801"/>
      <c r="V226" s="3801"/>
      <c r="W226" s="3801"/>
      <c r="X226" s="3801"/>
      <c r="Y226" s="3801"/>
      <c r="Z226" s="3801"/>
      <c r="AA226" s="3801"/>
      <c r="AB226" s="3801"/>
      <c r="AC226" s="3801"/>
    </row>
    <row r="227" spans="1:29">
      <c r="A227" s="3801"/>
      <c r="B227" s="3801"/>
      <c r="C227" s="3801"/>
      <c r="D227" s="3801"/>
      <c r="E227" s="3801"/>
      <c r="F227" s="3801"/>
      <c r="G227" s="3801"/>
      <c r="H227" s="3801"/>
      <c r="I227" s="3801"/>
      <c r="J227" s="3801"/>
      <c r="K227" s="3802"/>
      <c r="L227" s="3803"/>
      <c r="M227" s="3801"/>
      <c r="N227" s="3801"/>
      <c r="O227" s="3801"/>
      <c r="P227" s="3801"/>
      <c r="Q227" s="3801"/>
      <c r="R227" s="3801"/>
      <c r="S227" s="3801"/>
      <c r="T227" s="3801"/>
      <c r="U227" s="3801"/>
      <c r="V227" s="3801"/>
      <c r="W227" s="3801"/>
      <c r="X227" s="3801"/>
      <c r="Y227" s="3801"/>
      <c r="Z227" s="3801"/>
      <c r="AA227" s="3801"/>
      <c r="AB227" s="3801"/>
      <c r="AC227" s="3801"/>
    </row>
    <row r="228" spans="1:29">
      <c r="A228" s="3801"/>
      <c r="B228" s="3801"/>
      <c r="C228" s="3801"/>
      <c r="D228" s="3801"/>
      <c r="E228" s="3801"/>
      <c r="F228" s="3801"/>
      <c r="G228" s="3801"/>
      <c r="H228" s="3801"/>
      <c r="I228" s="3801"/>
      <c r="J228" s="3801"/>
      <c r="K228" s="3802"/>
      <c r="L228" s="3803"/>
      <c r="M228" s="3801"/>
      <c r="N228" s="3801"/>
      <c r="O228" s="3801"/>
      <c r="P228" s="3801"/>
      <c r="Q228" s="3801"/>
      <c r="R228" s="3801"/>
      <c r="S228" s="3801"/>
      <c r="T228" s="3801"/>
      <c r="U228" s="3801"/>
      <c r="V228" s="3801"/>
      <c r="W228" s="3801"/>
      <c r="X228" s="3801"/>
      <c r="Y228" s="3801"/>
      <c r="Z228" s="3801"/>
      <c r="AA228" s="3801"/>
      <c r="AB228" s="3801"/>
      <c r="AC228" s="3801"/>
    </row>
    <row r="229" spans="1:29">
      <c r="A229" s="3801"/>
      <c r="B229" s="3801"/>
      <c r="C229" s="3801"/>
      <c r="D229" s="3801"/>
      <c r="E229" s="3801"/>
      <c r="F229" s="3801"/>
      <c r="G229" s="3801"/>
      <c r="H229" s="3801"/>
      <c r="I229" s="3801"/>
      <c r="J229" s="3801"/>
      <c r="K229" s="3802"/>
      <c r="L229" s="3803"/>
      <c r="M229" s="3801"/>
      <c r="N229" s="3801"/>
      <c r="O229" s="3801"/>
      <c r="P229" s="3801"/>
      <c r="Q229" s="3801"/>
      <c r="R229" s="3801"/>
      <c r="S229" s="3801"/>
      <c r="T229" s="3801"/>
      <c r="U229" s="3801"/>
      <c r="V229" s="3801"/>
      <c r="W229" s="3801"/>
      <c r="X229" s="3801"/>
      <c r="Y229" s="3801"/>
      <c r="Z229" s="3801"/>
      <c r="AA229" s="3801"/>
      <c r="AB229" s="3801"/>
      <c r="AC229" s="3801"/>
    </row>
    <row r="230" spans="1:29">
      <c r="A230" s="3801"/>
      <c r="B230" s="3801"/>
      <c r="C230" s="3801"/>
      <c r="D230" s="3801"/>
      <c r="E230" s="3801"/>
      <c r="F230" s="3801"/>
      <c r="G230" s="3801"/>
      <c r="H230" s="3801"/>
      <c r="I230" s="3801"/>
      <c r="J230" s="3801"/>
      <c r="K230" s="3802"/>
      <c r="L230" s="3803"/>
      <c r="M230" s="3801"/>
      <c r="N230" s="3801"/>
      <c r="O230" s="3801"/>
      <c r="P230" s="3801"/>
      <c r="Q230" s="3801"/>
      <c r="R230" s="3801"/>
      <c r="S230" s="3801"/>
      <c r="T230" s="3801"/>
      <c r="U230" s="3801"/>
      <c r="V230" s="3801"/>
      <c r="W230" s="3801"/>
      <c r="X230" s="3801"/>
      <c r="Y230" s="3801"/>
      <c r="Z230" s="3801"/>
      <c r="AA230" s="3801"/>
      <c r="AB230" s="3801"/>
      <c r="AC230" s="3801"/>
    </row>
    <row r="231" spans="1:29">
      <c r="A231" s="3801"/>
      <c r="B231" s="3801"/>
      <c r="C231" s="3801"/>
      <c r="D231" s="3801"/>
      <c r="E231" s="3801"/>
      <c r="F231" s="3801"/>
      <c r="G231" s="3801"/>
      <c r="H231" s="3801"/>
      <c r="I231" s="3801"/>
      <c r="J231" s="3801"/>
      <c r="K231" s="3802"/>
      <c r="L231" s="3803"/>
      <c r="M231" s="3801"/>
      <c r="N231" s="3801"/>
      <c r="O231" s="3801"/>
      <c r="P231" s="3801"/>
      <c r="Q231" s="3801"/>
      <c r="R231" s="3801"/>
      <c r="S231" s="3801"/>
      <c r="T231" s="3801"/>
      <c r="U231" s="3801"/>
      <c r="V231" s="3801"/>
      <c r="W231" s="3801"/>
      <c r="X231" s="3801"/>
      <c r="Y231" s="3801"/>
      <c r="Z231" s="3801"/>
      <c r="AA231" s="3801"/>
      <c r="AB231" s="3801"/>
      <c r="AC231" s="3801"/>
    </row>
    <row r="232" spans="1:29">
      <c r="A232" s="3801"/>
      <c r="B232" s="3801"/>
      <c r="C232" s="3801"/>
      <c r="D232" s="3801"/>
      <c r="E232" s="3801"/>
      <c r="F232" s="3801"/>
      <c r="G232" s="3801"/>
      <c r="H232" s="3801"/>
      <c r="I232" s="3801"/>
      <c r="J232" s="3801"/>
      <c r="K232" s="3802"/>
      <c r="L232" s="3803"/>
      <c r="M232" s="3801"/>
      <c r="N232" s="3801"/>
      <c r="O232" s="3801"/>
      <c r="P232" s="3801"/>
      <c r="Q232" s="3801"/>
      <c r="R232" s="3801"/>
      <c r="S232" s="3801"/>
      <c r="T232" s="3801"/>
      <c r="U232" s="3801"/>
      <c r="V232" s="3801"/>
      <c r="W232" s="3801"/>
      <c r="X232" s="3801"/>
      <c r="Y232" s="3801"/>
      <c r="Z232" s="3801"/>
      <c r="AA232" s="3801"/>
      <c r="AB232" s="3801"/>
      <c r="AC232" s="3801"/>
    </row>
    <row r="233" spans="1:29">
      <c r="A233" s="3801"/>
      <c r="B233" s="3801"/>
      <c r="C233" s="3801"/>
      <c r="D233" s="3801"/>
      <c r="E233" s="3801"/>
      <c r="F233" s="3801"/>
      <c r="G233" s="3801"/>
      <c r="H233" s="3801"/>
      <c r="I233" s="3801"/>
      <c r="J233" s="3801"/>
      <c r="K233" s="3802"/>
      <c r="L233" s="3803"/>
      <c r="M233" s="3801"/>
      <c r="N233" s="3801"/>
      <c r="O233" s="3801"/>
      <c r="P233" s="3801"/>
      <c r="Q233" s="3801"/>
      <c r="R233" s="3801"/>
      <c r="S233" s="3801"/>
      <c r="T233" s="3801"/>
      <c r="U233" s="3801"/>
      <c r="V233" s="3801"/>
      <c r="W233" s="3801"/>
      <c r="X233" s="3801"/>
      <c r="Y233" s="3801"/>
      <c r="Z233" s="3801"/>
      <c r="AA233" s="3801"/>
      <c r="AB233" s="3801"/>
      <c r="AC233" s="3801"/>
    </row>
    <row r="234" spans="1:29">
      <c r="A234" s="3801"/>
      <c r="B234" s="3801"/>
      <c r="C234" s="3801"/>
      <c r="D234" s="3801"/>
      <c r="E234" s="3801"/>
      <c r="F234" s="3801"/>
      <c r="G234" s="3801"/>
      <c r="H234" s="3801"/>
      <c r="I234" s="3801"/>
      <c r="J234" s="3801"/>
      <c r="K234" s="3802"/>
      <c r="L234" s="3803"/>
      <c r="M234" s="3801"/>
      <c r="N234" s="3801"/>
      <c r="O234" s="3801"/>
      <c r="P234" s="3801"/>
      <c r="Q234" s="3801"/>
      <c r="R234" s="3801"/>
      <c r="S234" s="3801"/>
      <c r="T234" s="3801"/>
      <c r="U234" s="3801"/>
      <c r="V234" s="3801"/>
      <c r="W234" s="3801"/>
      <c r="X234" s="3801"/>
      <c r="Y234" s="3801"/>
      <c r="Z234" s="3801"/>
      <c r="AA234" s="3801"/>
      <c r="AB234" s="3801"/>
      <c r="AC234" s="3801"/>
    </row>
    <row r="235" spans="1:29">
      <c r="A235" s="3801"/>
      <c r="B235" s="3801"/>
      <c r="C235" s="3801"/>
      <c r="D235" s="3801"/>
      <c r="E235" s="3801"/>
      <c r="F235" s="3801"/>
      <c r="G235" s="3801"/>
      <c r="H235" s="3801"/>
      <c r="I235" s="3801"/>
      <c r="J235" s="3801"/>
      <c r="K235" s="3802"/>
      <c r="L235" s="3803"/>
      <c r="M235" s="3801"/>
      <c r="N235" s="3801"/>
      <c r="O235" s="3801"/>
      <c r="P235" s="3801"/>
      <c r="Q235" s="3801"/>
      <c r="R235" s="3801"/>
      <c r="S235" s="3801"/>
      <c r="T235" s="3801"/>
      <c r="U235" s="3801"/>
      <c r="V235" s="3801"/>
      <c r="W235" s="3801"/>
      <c r="X235" s="3801"/>
      <c r="Y235" s="3801"/>
      <c r="Z235" s="3801"/>
      <c r="AA235" s="3801"/>
      <c r="AB235" s="3801"/>
      <c r="AC235" s="3801"/>
    </row>
    <row r="236" spans="1:29">
      <c r="A236" s="3801"/>
      <c r="B236" s="3801"/>
      <c r="C236" s="3801"/>
      <c r="D236" s="3801"/>
      <c r="E236" s="3801"/>
      <c r="F236" s="3801"/>
      <c r="G236" s="3801"/>
      <c r="H236" s="3801"/>
      <c r="I236" s="3801"/>
      <c r="J236" s="3801"/>
      <c r="K236" s="3802"/>
      <c r="L236" s="3803"/>
      <c r="M236" s="3801"/>
      <c r="N236" s="3801"/>
      <c r="O236" s="3801"/>
      <c r="P236" s="3801"/>
      <c r="Q236" s="3801"/>
      <c r="R236" s="3801"/>
      <c r="S236" s="3801"/>
      <c r="T236" s="3801"/>
      <c r="U236" s="3801"/>
      <c r="V236" s="3801"/>
      <c r="W236" s="3801"/>
      <c r="X236" s="3801"/>
      <c r="Y236" s="3801"/>
      <c r="Z236" s="3801"/>
      <c r="AA236" s="3801"/>
      <c r="AB236" s="3801"/>
      <c r="AC236" s="3801"/>
    </row>
    <row r="237" spans="1:29">
      <c r="A237" s="3801"/>
      <c r="B237" s="3801"/>
      <c r="C237" s="3801"/>
      <c r="D237" s="3801"/>
      <c r="E237" s="3801"/>
      <c r="F237" s="3801"/>
      <c r="G237" s="3801"/>
      <c r="H237" s="3801"/>
      <c r="I237" s="3801"/>
      <c r="J237" s="3801"/>
      <c r="K237" s="3802"/>
      <c r="L237" s="3803"/>
      <c r="M237" s="3801"/>
      <c r="N237" s="3801"/>
      <c r="O237" s="3801"/>
      <c r="P237" s="3801"/>
      <c r="Q237" s="3801"/>
      <c r="R237" s="3801"/>
      <c r="S237" s="3801"/>
      <c r="T237" s="3801"/>
      <c r="U237" s="3801"/>
      <c r="V237" s="3801"/>
      <c r="W237" s="3801"/>
      <c r="X237" s="3801"/>
      <c r="Y237" s="3801"/>
      <c r="Z237" s="3801"/>
      <c r="AA237" s="3801"/>
      <c r="AB237" s="3801"/>
      <c r="AC237" s="3801"/>
    </row>
    <row r="238" spans="1:29">
      <c r="A238" s="3801"/>
      <c r="B238" s="3801"/>
      <c r="C238" s="3801"/>
      <c r="D238" s="3801"/>
      <c r="E238" s="3801"/>
      <c r="F238" s="3801"/>
      <c r="G238" s="3801"/>
      <c r="H238" s="3801"/>
      <c r="I238" s="3801"/>
      <c r="J238" s="3801"/>
      <c r="K238" s="3802"/>
      <c r="L238" s="3803"/>
      <c r="M238" s="3801"/>
      <c r="N238" s="3801"/>
      <c r="O238" s="3801"/>
      <c r="P238" s="3801"/>
      <c r="Q238" s="3801"/>
      <c r="R238" s="3801"/>
      <c r="S238" s="3801"/>
      <c r="T238" s="3801"/>
      <c r="U238" s="3801"/>
      <c r="V238" s="3801"/>
      <c r="W238" s="3801"/>
      <c r="X238" s="3801"/>
      <c r="Y238" s="3801"/>
      <c r="Z238" s="3801"/>
      <c r="AA238" s="3801"/>
      <c r="AB238" s="3801"/>
      <c r="AC238" s="3801"/>
    </row>
    <row r="239" spans="1:29">
      <c r="A239" s="3801"/>
      <c r="B239" s="3801"/>
      <c r="C239" s="3801"/>
      <c r="D239" s="3801"/>
      <c r="E239" s="3801"/>
      <c r="F239" s="3801"/>
      <c r="G239" s="3801"/>
      <c r="H239" s="3801"/>
      <c r="I239" s="3801"/>
      <c r="J239" s="3801"/>
      <c r="K239" s="3802"/>
      <c r="L239" s="3803"/>
      <c r="M239" s="3801"/>
      <c r="N239" s="3801"/>
      <c r="O239" s="3801"/>
      <c r="P239" s="3801"/>
      <c r="Q239" s="3801"/>
      <c r="R239" s="3801"/>
      <c r="S239" s="3801"/>
      <c r="T239" s="3801"/>
      <c r="U239" s="3801"/>
      <c r="V239" s="3801"/>
      <c r="W239" s="3801"/>
      <c r="X239" s="3801"/>
      <c r="Y239" s="3801"/>
      <c r="Z239" s="3801"/>
      <c r="AA239" s="3801"/>
      <c r="AB239" s="3801"/>
      <c r="AC239" s="3801"/>
    </row>
    <row r="240" spans="1:29">
      <c r="A240" s="3801"/>
      <c r="B240" s="3801"/>
      <c r="C240" s="3801"/>
      <c r="D240" s="3801"/>
      <c r="E240" s="3801"/>
      <c r="F240" s="3801"/>
      <c r="G240" s="3801"/>
      <c r="H240" s="3801"/>
      <c r="I240" s="3801"/>
      <c r="J240" s="3801"/>
      <c r="K240" s="3802"/>
      <c r="L240" s="3803"/>
      <c r="M240" s="3801"/>
      <c r="N240" s="3801"/>
      <c r="O240" s="3801"/>
      <c r="P240" s="3801"/>
      <c r="Q240" s="3801"/>
      <c r="R240" s="3801"/>
      <c r="S240" s="3801"/>
      <c r="T240" s="3801"/>
      <c r="U240" s="3801"/>
      <c r="V240" s="3801"/>
      <c r="W240" s="3801"/>
      <c r="X240" s="3801"/>
      <c r="Y240" s="3801"/>
      <c r="Z240" s="3801"/>
      <c r="AA240" s="3801"/>
      <c r="AB240" s="3801"/>
      <c r="AC240" s="3801"/>
    </row>
    <row r="241" spans="1:29">
      <c r="A241" s="3801"/>
      <c r="B241" s="3801"/>
      <c r="C241" s="3801"/>
      <c r="D241" s="3801"/>
      <c r="E241" s="3801"/>
      <c r="F241" s="3801"/>
      <c r="G241" s="3801"/>
      <c r="H241" s="3801"/>
      <c r="I241" s="3801"/>
      <c r="J241" s="3801"/>
      <c r="K241" s="3802"/>
      <c r="L241" s="3803"/>
      <c r="M241" s="3801"/>
      <c r="N241" s="3801"/>
      <c r="O241" s="3801"/>
      <c r="P241" s="3801"/>
      <c r="Q241" s="3801"/>
      <c r="R241" s="3801"/>
      <c r="S241" s="3801"/>
      <c r="T241" s="3801"/>
      <c r="U241" s="3801"/>
      <c r="V241" s="3801"/>
      <c r="W241" s="3801"/>
      <c r="X241" s="3801"/>
      <c r="Y241" s="3801"/>
      <c r="Z241" s="3801"/>
      <c r="AA241" s="3801"/>
      <c r="AB241" s="3801"/>
      <c r="AC241" s="3801"/>
    </row>
    <row r="242" spans="1:29">
      <c r="A242" s="3801"/>
      <c r="B242" s="3801"/>
      <c r="C242" s="3801"/>
      <c r="D242" s="3801"/>
      <c r="E242" s="3801"/>
      <c r="F242" s="3801"/>
      <c r="G242" s="3801"/>
      <c r="H242" s="3801"/>
      <c r="I242" s="3801"/>
      <c r="J242" s="3801"/>
      <c r="K242" s="3802"/>
      <c r="L242" s="3803"/>
      <c r="M242" s="3801"/>
      <c r="N242" s="3801"/>
      <c r="O242" s="3801"/>
      <c r="P242" s="3801"/>
      <c r="Q242" s="3801"/>
      <c r="R242" s="3801"/>
      <c r="S242" s="3801"/>
      <c r="T242" s="3801"/>
      <c r="U242" s="3801"/>
      <c r="V242" s="3801"/>
      <c r="W242" s="3801"/>
      <c r="X242" s="3801"/>
      <c r="Y242" s="3801"/>
      <c r="Z242" s="3801"/>
      <c r="AA242" s="3801"/>
      <c r="AB242" s="3801"/>
      <c r="AC242" s="3801"/>
    </row>
    <row r="243" spans="1:29">
      <c r="A243" s="3801"/>
      <c r="B243" s="3801"/>
      <c r="C243" s="3801"/>
      <c r="D243" s="3801"/>
      <c r="E243" s="3801"/>
      <c r="F243" s="3801"/>
      <c r="G243" s="3801"/>
      <c r="H243" s="3801"/>
      <c r="I243" s="3801"/>
      <c r="J243" s="3801"/>
      <c r="K243" s="3802"/>
      <c r="L243" s="3803"/>
      <c r="M243" s="3801"/>
      <c r="N243" s="3801"/>
      <c r="O243" s="3801"/>
      <c r="P243" s="3801"/>
      <c r="Q243" s="3801"/>
      <c r="R243" s="3801"/>
      <c r="S243" s="3801"/>
      <c r="T243" s="3801"/>
      <c r="U243" s="3801"/>
      <c r="V243" s="3801"/>
      <c r="W243" s="3801"/>
      <c r="X243" s="3801"/>
      <c r="Y243" s="3801"/>
      <c r="Z243" s="3801"/>
      <c r="AA243" s="3801"/>
      <c r="AB243" s="3801"/>
      <c r="AC243" s="3801"/>
    </row>
    <row r="244" spans="1:29">
      <c r="A244" s="3801"/>
      <c r="B244" s="3801"/>
      <c r="C244" s="3801"/>
      <c r="D244" s="3801"/>
      <c r="E244" s="3801"/>
      <c r="F244" s="3801"/>
      <c r="G244" s="3801"/>
      <c r="H244" s="3801"/>
      <c r="I244" s="3801"/>
      <c r="J244" s="3801"/>
      <c r="K244" s="3802"/>
      <c r="L244" s="3803"/>
      <c r="M244" s="3801"/>
      <c r="N244" s="3801"/>
      <c r="O244" s="3801"/>
      <c r="P244" s="3801"/>
      <c r="Q244" s="3801"/>
      <c r="R244" s="3801"/>
      <c r="S244" s="3801"/>
      <c r="T244" s="3801"/>
      <c r="U244" s="3801"/>
      <c r="V244" s="3801"/>
      <c r="W244" s="3801"/>
      <c r="X244" s="3801"/>
      <c r="Y244" s="3801"/>
      <c r="Z244" s="3801"/>
      <c r="AA244" s="3801"/>
      <c r="AB244" s="3801"/>
      <c r="AC244" s="3801"/>
    </row>
    <row r="245" spans="1:29">
      <c r="A245" s="3801"/>
      <c r="B245" s="3801"/>
      <c r="C245" s="3801"/>
      <c r="D245" s="3801"/>
      <c r="E245" s="3801"/>
      <c r="F245" s="3801"/>
      <c r="G245" s="3801"/>
      <c r="H245" s="3801"/>
      <c r="I245" s="3801"/>
      <c r="J245" s="3801"/>
      <c r="K245" s="3802"/>
      <c r="L245" s="3803"/>
      <c r="M245" s="3801"/>
      <c r="N245" s="3801"/>
      <c r="O245" s="3801"/>
      <c r="P245" s="3801"/>
      <c r="Q245" s="3801"/>
      <c r="R245" s="3801"/>
      <c r="S245" s="3801"/>
      <c r="T245" s="3801"/>
      <c r="U245" s="3801"/>
      <c r="V245" s="3801"/>
      <c r="W245" s="3801"/>
      <c r="X245" s="3801"/>
      <c r="Y245" s="3801"/>
      <c r="Z245" s="3801"/>
      <c r="AA245" s="3801"/>
      <c r="AB245" s="3801"/>
      <c r="AC245" s="3801"/>
    </row>
    <row r="246" spans="1:29">
      <c r="A246" s="3801"/>
      <c r="B246" s="3801"/>
      <c r="C246" s="3801"/>
      <c r="D246" s="3801"/>
      <c r="E246" s="3801"/>
      <c r="F246" s="3801"/>
      <c r="G246" s="3801"/>
      <c r="H246" s="3801"/>
      <c r="I246" s="3801"/>
      <c r="J246" s="3801"/>
      <c r="K246" s="3802"/>
      <c r="L246" s="3803"/>
      <c r="M246" s="3801"/>
      <c r="N246" s="3801"/>
      <c r="O246" s="3801"/>
      <c r="P246" s="3801"/>
      <c r="Q246" s="3801"/>
      <c r="R246" s="3801"/>
      <c r="S246" s="3801"/>
      <c r="T246" s="3801"/>
      <c r="U246" s="3801"/>
      <c r="V246" s="3801"/>
      <c r="W246" s="3801"/>
      <c r="X246" s="3801"/>
      <c r="Y246" s="3801"/>
      <c r="Z246" s="3801"/>
      <c r="AA246" s="3801"/>
      <c r="AB246" s="3801"/>
      <c r="AC246" s="3801"/>
    </row>
    <row r="247" spans="1:29">
      <c r="A247" s="3801"/>
      <c r="B247" s="3801"/>
      <c r="C247" s="3801"/>
      <c r="D247" s="3801"/>
      <c r="E247" s="3801"/>
      <c r="F247" s="3801"/>
      <c r="G247" s="3801"/>
      <c r="H247" s="3801"/>
      <c r="I247" s="3801"/>
      <c r="J247" s="3801"/>
      <c r="K247" s="3802"/>
      <c r="L247" s="3803"/>
      <c r="M247" s="3801"/>
      <c r="N247" s="3801"/>
      <c r="O247" s="3801"/>
      <c r="P247" s="3801"/>
      <c r="Q247" s="3801"/>
      <c r="R247" s="3801"/>
      <c r="S247" s="3801"/>
      <c r="T247" s="3801"/>
      <c r="U247" s="3801"/>
      <c r="V247" s="3801"/>
      <c r="W247" s="3801"/>
      <c r="X247" s="3801"/>
      <c r="Y247" s="3801"/>
      <c r="Z247" s="3801"/>
      <c r="AA247" s="3801"/>
      <c r="AB247" s="3801"/>
      <c r="AC247" s="3801"/>
    </row>
    <row r="248" spans="1:29">
      <c r="A248" s="3801"/>
      <c r="B248" s="3801"/>
      <c r="C248" s="3801"/>
      <c r="D248" s="3801"/>
      <c r="E248" s="3801"/>
      <c r="F248" s="3801"/>
      <c r="G248" s="3801"/>
      <c r="H248" s="3801"/>
      <c r="I248" s="3801"/>
      <c r="J248" s="3801"/>
      <c r="K248" s="3802"/>
      <c r="L248" s="3803"/>
      <c r="M248" s="3801"/>
      <c r="N248" s="3801"/>
      <c r="O248" s="3801"/>
      <c r="P248" s="3801"/>
      <c r="Q248" s="3801"/>
      <c r="R248" s="3801"/>
      <c r="S248" s="3801"/>
      <c r="T248" s="3801"/>
      <c r="U248" s="3801"/>
      <c r="V248" s="3801"/>
      <c r="W248" s="3801"/>
      <c r="X248" s="3801"/>
      <c r="Y248" s="3801"/>
      <c r="Z248" s="3801"/>
      <c r="AA248" s="3801"/>
      <c r="AB248" s="3801"/>
      <c r="AC248" s="3801"/>
    </row>
    <row r="249" spans="1:29">
      <c r="A249" s="3801"/>
      <c r="B249" s="3801"/>
      <c r="C249" s="3801"/>
      <c r="D249" s="3801"/>
      <c r="E249" s="3801"/>
      <c r="F249" s="3801"/>
      <c r="G249" s="3801"/>
      <c r="H249" s="3801"/>
      <c r="I249" s="3801"/>
      <c r="J249" s="3801"/>
      <c r="K249" s="3802"/>
      <c r="L249" s="3803"/>
      <c r="M249" s="3801"/>
      <c r="N249" s="3801"/>
      <c r="O249" s="3801"/>
      <c r="P249" s="3801"/>
      <c r="Q249" s="3801"/>
      <c r="R249" s="3801"/>
      <c r="S249" s="3801"/>
      <c r="T249" s="3801"/>
      <c r="U249" s="3801"/>
      <c r="V249" s="3801"/>
      <c r="W249" s="3801"/>
      <c r="X249" s="3801"/>
      <c r="Y249" s="3801"/>
      <c r="Z249" s="3801"/>
      <c r="AA249" s="3801"/>
      <c r="AB249" s="3801"/>
      <c r="AC249" s="3801"/>
    </row>
    <row r="250" spans="1:29">
      <c r="A250" s="3801"/>
      <c r="B250" s="3801"/>
      <c r="C250" s="3801"/>
      <c r="D250" s="3801"/>
      <c r="E250" s="3801"/>
      <c r="F250" s="3801"/>
      <c r="G250" s="3801"/>
      <c r="H250" s="3801"/>
      <c r="I250" s="3801"/>
      <c r="J250" s="3801"/>
      <c r="K250" s="3802"/>
      <c r="L250" s="3803"/>
      <c r="M250" s="3801"/>
      <c r="N250" s="3801"/>
      <c r="O250" s="3801"/>
      <c r="P250" s="3801"/>
      <c r="Q250" s="3801"/>
      <c r="R250" s="3801"/>
      <c r="S250" s="3801"/>
      <c r="T250" s="3801"/>
      <c r="U250" s="3801"/>
      <c r="V250" s="3801"/>
      <c r="W250" s="3801"/>
      <c r="X250" s="3801"/>
      <c r="Y250" s="3801"/>
      <c r="Z250" s="3801"/>
      <c r="AA250" s="3801"/>
      <c r="AB250" s="3801"/>
      <c r="AC250" s="3801"/>
    </row>
    <row r="251" spans="1:29">
      <c r="A251" s="3801"/>
      <c r="B251" s="3801"/>
      <c r="C251" s="3801"/>
      <c r="D251" s="3801"/>
      <c r="E251" s="3801"/>
      <c r="F251" s="3801"/>
      <c r="G251" s="3801"/>
      <c r="H251" s="3801"/>
      <c r="I251" s="3801"/>
      <c r="J251" s="3801"/>
      <c r="K251" s="3802"/>
      <c r="L251" s="3803"/>
      <c r="M251" s="3801"/>
      <c r="N251" s="3801"/>
      <c r="O251" s="3801"/>
      <c r="P251" s="3801"/>
      <c r="Q251" s="3801"/>
      <c r="R251" s="3801"/>
      <c r="S251" s="3801"/>
      <c r="T251" s="3801"/>
      <c r="U251" s="3801"/>
      <c r="V251" s="3801"/>
      <c r="W251" s="3801"/>
      <c r="X251" s="3801"/>
      <c r="Y251" s="3801"/>
      <c r="Z251" s="3801"/>
      <c r="AA251" s="3801"/>
      <c r="AB251" s="3801"/>
      <c r="AC251" s="3801"/>
    </row>
    <row r="252" spans="1:29">
      <c r="A252" s="3801"/>
      <c r="B252" s="3801"/>
      <c r="C252" s="3801"/>
      <c r="D252" s="3801"/>
      <c r="E252" s="3801"/>
      <c r="F252" s="3801"/>
      <c r="G252" s="3801"/>
      <c r="H252" s="3801"/>
      <c r="I252" s="3801"/>
      <c r="J252" s="3801"/>
      <c r="K252" s="3802"/>
      <c r="L252" s="3803"/>
      <c r="M252" s="3801"/>
      <c r="N252" s="3801"/>
      <c r="O252" s="3801"/>
      <c r="P252" s="3801"/>
      <c r="Q252" s="3801"/>
      <c r="R252" s="3801"/>
      <c r="S252" s="3801"/>
      <c r="T252" s="3801"/>
      <c r="U252" s="3801"/>
      <c r="V252" s="3801"/>
      <c r="W252" s="3801"/>
      <c r="X252" s="3801"/>
      <c r="Y252" s="3801"/>
      <c r="Z252" s="3801"/>
      <c r="AA252" s="3801"/>
      <c r="AB252" s="3801"/>
      <c r="AC252" s="3801"/>
    </row>
    <row r="253" spans="1:29">
      <c r="A253" s="3801"/>
      <c r="B253" s="3801"/>
      <c r="C253" s="3801"/>
      <c r="D253" s="3801"/>
      <c r="E253" s="3801"/>
      <c r="F253" s="3801"/>
      <c r="G253" s="3801"/>
      <c r="H253" s="3801"/>
      <c r="I253" s="3801"/>
      <c r="J253" s="3801"/>
      <c r="K253" s="3802"/>
      <c r="L253" s="3803"/>
      <c r="M253" s="3801"/>
      <c r="N253" s="3801"/>
      <c r="O253" s="3801"/>
      <c r="P253" s="3801"/>
      <c r="Q253" s="3801"/>
      <c r="R253" s="3801"/>
      <c r="S253" s="3801"/>
      <c r="T253" s="3801"/>
      <c r="U253" s="3801"/>
      <c r="V253" s="3801"/>
      <c r="W253" s="3801"/>
      <c r="X253" s="3801"/>
      <c r="Y253" s="3801"/>
      <c r="Z253" s="3801"/>
      <c r="AA253" s="3801"/>
      <c r="AB253" s="3801"/>
      <c r="AC253" s="3801"/>
    </row>
    <row r="254" spans="1:29">
      <c r="A254" s="3801"/>
      <c r="B254" s="3801"/>
      <c r="C254" s="3801"/>
      <c r="D254" s="3801"/>
      <c r="E254" s="3801"/>
      <c r="F254" s="3801"/>
      <c r="G254" s="3801"/>
      <c r="H254" s="3801"/>
      <c r="I254" s="3801"/>
      <c r="J254" s="3801"/>
      <c r="K254" s="3802"/>
      <c r="L254" s="3803"/>
      <c r="M254" s="3801"/>
      <c r="N254" s="3801"/>
      <c r="O254" s="3801"/>
      <c r="P254" s="3801"/>
      <c r="Q254" s="3801"/>
      <c r="R254" s="3801"/>
      <c r="S254" s="3801"/>
      <c r="T254" s="3801"/>
      <c r="U254" s="3801"/>
      <c r="V254" s="3801"/>
      <c r="W254" s="3801"/>
      <c r="X254" s="3801"/>
      <c r="Y254" s="3801"/>
      <c r="Z254" s="3801"/>
      <c r="AA254" s="3801"/>
      <c r="AB254" s="3801"/>
      <c r="AC254" s="3801"/>
    </row>
    <row r="255" spans="1:29">
      <c r="A255" s="3801"/>
      <c r="B255" s="3801"/>
      <c r="C255" s="3801"/>
      <c r="D255" s="3801"/>
      <c r="E255" s="3801"/>
      <c r="F255" s="3801"/>
      <c r="G255" s="3801"/>
      <c r="H255" s="3801"/>
      <c r="I255" s="3801"/>
      <c r="J255" s="3801"/>
      <c r="K255" s="3802"/>
      <c r="L255" s="3803"/>
      <c r="M255" s="3801"/>
      <c r="N255" s="3801"/>
      <c r="O255" s="3801"/>
      <c r="P255" s="3801"/>
      <c r="Q255" s="3801"/>
      <c r="R255" s="3801"/>
      <c r="S255" s="3801"/>
      <c r="T255" s="3801"/>
      <c r="U255" s="3801"/>
      <c r="V255" s="3801"/>
      <c r="W255" s="3801"/>
      <c r="X255" s="3801"/>
      <c r="Y255" s="3801"/>
      <c r="Z255" s="3801"/>
      <c r="AA255" s="3801"/>
      <c r="AB255" s="3801"/>
      <c r="AC255" s="3801"/>
    </row>
    <row r="256" spans="1:29">
      <c r="A256" s="3801"/>
      <c r="B256" s="3801"/>
      <c r="C256" s="3801"/>
      <c r="D256" s="3801"/>
      <c r="E256" s="3801"/>
      <c r="F256" s="3801"/>
      <c r="G256" s="3801"/>
      <c r="H256" s="3801"/>
      <c r="I256" s="3801"/>
      <c r="J256" s="3801"/>
      <c r="K256" s="3802"/>
      <c r="L256" s="3803"/>
      <c r="M256" s="3801"/>
      <c r="N256" s="3801"/>
      <c r="O256" s="3801"/>
      <c r="P256" s="3801"/>
      <c r="Q256" s="3801"/>
      <c r="R256" s="3801"/>
      <c r="S256" s="3801"/>
      <c r="T256" s="3801"/>
      <c r="U256" s="3801"/>
      <c r="V256" s="3801"/>
      <c r="W256" s="3801"/>
      <c r="X256" s="3801"/>
      <c r="Y256" s="3801"/>
      <c r="Z256" s="3801"/>
      <c r="AA256" s="3801"/>
      <c r="AB256" s="3801"/>
      <c r="AC256" s="3801"/>
    </row>
    <row r="257" spans="1:29">
      <c r="A257" s="3801"/>
      <c r="B257" s="3801"/>
      <c r="C257" s="3801"/>
      <c r="D257" s="3801"/>
      <c r="E257" s="3801"/>
      <c r="F257" s="3801"/>
      <c r="G257" s="3801"/>
      <c r="H257" s="3801"/>
      <c r="I257" s="3801"/>
      <c r="J257" s="3801"/>
      <c r="K257" s="3802"/>
      <c r="L257" s="3803"/>
      <c r="M257" s="3801"/>
      <c r="N257" s="3801"/>
      <c r="O257" s="3801"/>
      <c r="P257" s="3801"/>
      <c r="Q257" s="3801"/>
      <c r="R257" s="3801"/>
      <c r="S257" s="3801"/>
      <c r="T257" s="3801"/>
      <c r="U257" s="3801"/>
      <c r="V257" s="3801"/>
      <c r="W257" s="3801"/>
      <c r="X257" s="3801"/>
      <c r="Y257" s="3801"/>
      <c r="Z257" s="3801"/>
      <c r="AA257" s="3801"/>
      <c r="AB257" s="3801"/>
      <c r="AC257" s="3801"/>
    </row>
    <row r="258" spans="1:29">
      <c r="A258" s="3801"/>
      <c r="B258" s="3801"/>
      <c r="C258" s="3801"/>
      <c r="D258" s="3801"/>
      <c r="E258" s="3801"/>
      <c r="F258" s="3801"/>
      <c r="G258" s="3801"/>
      <c r="H258" s="3801"/>
      <c r="I258" s="3801"/>
      <c r="J258" s="3801"/>
      <c r="K258" s="3802"/>
      <c r="L258" s="3803"/>
      <c r="M258" s="3801"/>
      <c r="N258" s="3801"/>
      <c r="O258" s="3801"/>
      <c r="P258" s="3801"/>
      <c r="Q258" s="3801"/>
      <c r="R258" s="3801"/>
      <c r="S258" s="3801"/>
      <c r="T258" s="3801"/>
      <c r="U258" s="3801"/>
      <c r="V258" s="3801"/>
      <c r="W258" s="3801"/>
      <c r="X258" s="3801"/>
      <c r="Y258" s="3801"/>
      <c r="Z258" s="3801"/>
      <c r="AA258" s="3801"/>
      <c r="AB258" s="3801"/>
      <c r="AC258" s="3801"/>
    </row>
    <row r="259" spans="1:29">
      <c r="A259" s="3801"/>
      <c r="B259" s="3801"/>
      <c r="C259" s="3801"/>
      <c r="D259" s="3801"/>
      <c r="E259" s="3801"/>
      <c r="F259" s="3801"/>
      <c r="G259" s="3801"/>
      <c r="H259" s="3801"/>
      <c r="I259" s="3801"/>
      <c r="J259" s="3801"/>
      <c r="K259" s="3802"/>
      <c r="L259" s="3803"/>
      <c r="M259" s="3801"/>
      <c r="N259" s="3801"/>
      <c r="O259" s="3801"/>
      <c r="P259" s="3801"/>
      <c r="Q259" s="3801"/>
      <c r="R259" s="3801"/>
      <c r="S259" s="3801"/>
      <c r="T259" s="3801"/>
      <c r="U259" s="3801"/>
      <c r="V259" s="3801"/>
      <c r="W259" s="3801"/>
      <c r="X259" s="3801"/>
      <c r="Y259" s="3801"/>
      <c r="Z259" s="3801"/>
      <c r="AA259" s="3801"/>
      <c r="AB259" s="3801"/>
      <c r="AC259" s="3801"/>
    </row>
    <row r="260" spans="1:29">
      <c r="A260" s="3801"/>
      <c r="B260" s="3801"/>
      <c r="C260" s="3801"/>
      <c r="D260" s="3801"/>
      <c r="E260" s="3801"/>
      <c r="F260" s="3801"/>
      <c r="G260" s="3801"/>
      <c r="H260" s="3801"/>
      <c r="I260" s="3801"/>
      <c r="J260" s="3801"/>
      <c r="K260" s="3802"/>
      <c r="L260" s="3803"/>
      <c r="M260" s="3801"/>
      <c r="N260" s="3801"/>
      <c r="O260" s="3801"/>
      <c r="P260" s="3801"/>
      <c r="Q260" s="3801"/>
      <c r="R260" s="3801"/>
      <c r="S260" s="3801"/>
      <c r="T260" s="3801"/>
      <c r="U260" s="3801"/>
      <c r="V260" s="3801"/>
      <c r="W260" s="3801"/>
      <c r="X260" s="3801"/>
      <c r="Y260" s="3801"/>
      <c r="Z260" s="3801"/>
      <c r="AA260" s="3801"/>
      <c r="AB260" s="3801"/>
      <c r="AC260" s="3801"/>
    </row>
    <row r="261" spans="1:29">
      <c r="A261" s="3801"/>
      <c r="B261" s="3801"/>
      <c r="C261" s="3801"/>
      <c r="D261" s="3801"/>
      <c r="E261" s="3801"/>
      <c r="F261" s="3801"/>
      <c r="G261" s="3801"/>
      <c r="H261" s="3801"/>
      <c r="I261" s="3801"/>
      <c r="J261" s="3801"/>
      <c r="K261" s="3802"/>
      <c r="L261" s="3803"/>
      <c r="M261" s="3801"/>
      <c r="N261" s="3801"/>
      <c r="O261" s="3801"/>
      <c r="P261" s="3801"/>
      <c r="Q261" s="3801"/>
      <c r="R261" s="3801"/>
      <c r="S261" s="3801"/>
      <c r="T261" s="3801"/>
      <c r="U261" s="3801"/>
      <c r="V261" s="3801"/>
      <c r="W261" s="3801"/>
      <c r="X261" s="3801"/>
      <c r="Y261" s="3801"/>
      <c r="Z261" s="3801"/>
      <c r="AA261" s="3801"/>
      <c r="AB261" s="3801"/>
      <c r="AC261" s="3801"/>
    </row>
    <row r="262" spans="1:29">
      <c r="A262" s="3801"/>
      <c r="B262" s="3801"/>
      <c r="C262" s="3801"/>
      <c r="D262" s="3801"/>
      <c r="E262" s="3801"/>
      <c r="F262" s="3801"/>
      <c r="G262" s="3801"/>
      <c r="H262" s="3801"/>
      <c r="I262" s="3801"/>
      <c r="J262" s="3801"/>
      <c r="K262" s="3802"/>
      <c r="L262" s="3803"/>
      <c r="M262" s="3801"/>
      <c r="N262" s="3801"/>
      <c r="O262" s="3801"/>
      <c r="P262" s="3801"/>
      <c r="Q262" s="3801"/>
      <c r="R262" s="3801"/>
      <c r="S262" s="3801"/>
      <c r="T262" s="3801"/>
      <c r="U262" s="3801"/>
      <c r="V262" s="3801"/>
      <c r="W262" s="3801"/>
      <c r="X262" s="3801"/>
      <c r="Y262" s="3801"/>
      <c r="Z262" s="3801"/>
      <c r="AA262" s="3801"/>
      <c r="AB262" s="3801"/>
      <c r="AC262" s="3801"/>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4" type="noConversion"/>
  <conditionalFormatting sqref="F48 H48 J48">
    <cfRule type="containsText" dxfId="167" priority="17" stopIfTrue="1" operator="containsText" text="超过">
      <formula>NOT(ISERROR(SEARCH("超过",F48)))</formula>
    </cfRule>
  </conditionalFormatting>
  <conditionalFormatting sqref="J50">
    <cfRule type="containsText" dxfId="166" priority="16" stopIfTrue="1" operator="containsText" text="超过">
      <formula>NOT(ISERROR(SEARCH("超过",J50)))</formula>
    </cfRule>
  </conditionalFormatting>
  <conditionalFormatting sqref="H50">
    <cfRule type="containsText" dxfId="165" priority="15" stopIfTrue="1" operator="containsText" text="超过">
      <formula>NOT(ISERROR(SEARCH("超过",H50)))</formula>
    </cfRule>
  </conditionalFormatting>
  <conditionalFormatting sqref="F50">
    <cfRule type="containsText" dxfId="164" priority="14" stopIfTrue="1" operator="containsText" text="超过">
      <formula>NOT(ISERROR(SEARCH("超过",F50)))</formula>
    </cfRule>
  </conditionalFormatting>
  <conditionalFormatting sqref="F49 H49 J49">
    <cfRule type="containsText" dxfId="163" priority="13" stopIfTrue="1" operator="containsText" text="超过">
      <formula>NOT(ISERROR(SEARCH("超过",F49)))</formula>
    </cfRule>
  </conditionalFormatting>
  <conditionalFormatting sqref="E48">
    <cfRule type="expression" dxfId="162" priority="12" stopIfTrue="1">
      <formula>$F$48="超过30%"</formula>
    </cfRule>
  </conditionalFormatting>
  <conditionalFormatting sqref="G50">
    <cfRule type="expression" dxfId="161" priority="11"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18"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20" sqref="F20"/>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41" s="1862" customFormat="1" ht="18" customHeight="1">
      <c r="A2" s="416" t="s">
        <v>461</v>
      </c>
      <c r="B2" s="417">
        <f ca="1">C27</f>
        <v>1793.9792840115606</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2870</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652</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43</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 ca="1">SUM(C10:K10)</f>
        <v>3676</v>
      </c>
      <c r="D6" s="1929"/>
      <c r="E6" s="1929"/>
      <c r="F6" s="1929"/>
      <c r="G6" s="1929"/>
      <c r="H6" s="1929"/>
      <c r="I6" s="1929"/>
      <c r="J6" s="1929"/>
      <c r="K6" s="1930"/>
      <c r="L6" s="3112"/>
      <c r="M6" s="3112"/>
      <c r="N6" s="3112"/>
      <c r="O6" s="3112"/>
      <c r="P6" s="3112"/>
      <c r="Q6" s="3112"/>
      <c r="R6" s="3112"/>
      <c r="S6" s="3112"/>
      <c r="T6" s="3112"/>
      <c r="U6" s="3112"/>
      <c r="V6" s="3112"/>
      <c r="W6" s="3112"/>
      <c r="X6" s="3112"/>
      <c r="Y6" s="3112"/>
      <c r="Z6" s="3112"/>
    </row>
    <row r="7" spans="1:41" s="1933" customFormat="1" ht="15">
      <c r="A7" s="427" t="s">
        <v>464</v>
      </c>
      <c r="B7" s="428" t="s">
        <v>465</v>
      </c>
      <c r="C7" s="429" t="s">
        <v>951</v>
      </c>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6250.48</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f ca="1">不动产收益法!C40</f>
        <v>3676</v>
      </c>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2780</v>
      </c>
      <c r="B11" s="1499"/>
      <c r="C11" s="1499"/>
      <c r="D11" s="1499"/>
      <c r="E11" s="1499"/>
      <c r="F11" s="1499"/>
      <c r="G11" s="1499"/>
      <c r="H11" s="1499"/>
      <c r="I11" s="1499"/>
      <c r="J11" s="1499"/>
      <c r="K11" s="1500"/>
      <c r="L11" s="3112"/>
      <c r="M11" s="3112"/>
      <c r="N11" s="3112"/>
      <c r="O11" s="3112"/>
      <c r="P11" s="3112"/>
      <c r="Q11" s="3112"/>
      <c r="R11" s="3112"/>
      <c r="S11" s="3112"/>
      <c r="T11" s="3112"/>
      <c r="U11" s="3112"/>
      <c r="V11" s="3112"/>
      <c r="W11" s="3112"/>
      <c r="X11" s="3112"/>
      <c r="Y11" s="3112"/>
      <c r="Z11" s="3112"/>
    </row>
    <row r="12" spans="1:41" s="1905" customFormat="1" ht="13.5" customHeight="1">
      <c r="A12" s="427" t="s">
        <v>2781</v>
      </c>
      <c r="B12" s="436" t="s">
        <v>2782</v>
      </c>
      <c r="C12" s="437" t="s">
        <v>2783</v>
      </c>
      <c r="D12" s="438" t="s">
        <v>2784</v>
      </c>
      <c r="E12" s="438" t="s">
        <v>2785</v>
      </c>
      <c r="F12" s="438" t="s">
        <v>2786</v>
      </c>
      <c r="G12" s="436"/>
      <c r="H12" s="439"/>
      <c r="I12" s="439"/>
      <c r="J12" s="439"/>
      <c r="K12" s="440"/>
      <c r="L12" s="3113"/>
      <c r="M12" s="3113"/>
      <c r="N12" s="3113"/>
      <c r="O12" s="3113"/>
      <c r="P12" s="3113"/>
      <c r="Q12" s="3113"/>
      <c r="R12" s="3113"/>
      <c r="S12" s="3113"/>
      <c r="T12" s="3113"/>
      <c r="U12" s="3113"/>
      <c r="V12" s="3113"/>
      <c r="W12" s="3113"/>
      <c r="X12" s="3113"/>
      <c r="Y12" s="3113"/>
      <c r="Z12" s="3113"/>
    </row>
    <row r="13" spans="1:41" s="1936" customFormat="1" ht="13.5" customHeight="1">
      <c r="A13" s="1511" t="s">
        <v>2787</v>
      </c>
      <c r="B13" s="441" t="s">
        <v>2788</v>
      </c>
      <c r="C13" s="442">
        <f ca="1">IF(B1="",'数据-取费表'!M16,INDIRECT("'数据-取费表'!M"&amp;$K$1)+INDIRECT("'数据-取费表'!t"&amp;$K$1))</f>
        <v>1250</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2789</v>
      </c>
      <c r="C14" s="53">
        <f ca="1">ROUND(C13*F14,0)</f>
        <v>38</v>
      </c>
      <c r="D14" s="443"/>
      <c r="E14" s="362"/>
      <c r="F14" s="445">
        <f>'数据-取费表'!B33</f>
        <v>0.03</v>
      </c>
      <c r="G14" s="436" t="s">
        <v>2790</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2791</v>
      </c>
      <c r="C15" s="53">
        <f ca="1">ROUND(IF(B1="",SUMIF('数据-取费表'!C:C,"住宅",'数据-取费表'!M:M)*F15,IF(INDIRECT("'数据-取费表'!c"&amp;$K$1)="住宅",INDIRECT("'数据-取费表'!M"&amp;$K$1)*F15,0)),0)</f>
        <v>0</v>
      </c>
      <c r="D15" s="443"/>
      <c r="E15" s="362"/>
      <c r="F15" s="445">
        <f>'数据-取费表'!B34</f>
        <v>0</v>
      </c>
      <c r="G15" s="436" t="s">
        <v>2790</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2792</v>
      </c>
      <c r="C16" s="53">
        <f ca="1">ROUND(D16*E16/10000,0)</f>
        <v>113</v>
      </c>
      <c r="D16" s="443">
        <f ca="1">IF(B1="",'数据-汇总表'!E3,INDIRECT("'数据-取费表'!K"&amp;$K$1)+INDIRECT("'数据-取费表'!S"&amp;$K$1))</f>
        <v>6250.48</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2793</v>
      </c>
      <c r="C17" s="446">
        <f ca="1">ROUND(C13*F17,0)</f>
        <v>19</v>
      </c>
      <c r="D17" s="447"/>
      <c r="E17" s="446"/>
      <c r="F17" s="448">
        <f>'数据-取费表'!B36</f>
        <v>1.4999999999999999E-2</v>
      </c>
      <c r="G17" s="436" t="s">
        <v>2790</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2794</v>
      </c>
      <c r="B18" s="451" t="s">
        <v>2795</v>
      </c>
      <c r="C18" s="452">
        <f ca="1">SUM(C13:C17)</f>
        <v>1420</v>
      </c>
      <c r="D18" s="453"/>
      <c r="E18" s="454"/>
      <c r="F18" s="454"/>
      <c r="G18" s="1239" t="s">
        <v>2796</v>
      </c>
      <c r="H18" s="439"/>
      <c r="I18" s="439"/>
      <c r="J18" s="439"/>
      <c r="K18" s="440"/>
      <c r="L18" s="3115"/>
      <c r="M18" s="3115"/>
      <c r="N18" s="3115"/>
      <c r="O18" s="3115"/>
      <c r="P18" s="3115"/>
      <c r="Q18" s="3115"/>
      <c r="R18" s="3115"/>
      <c r="S18" s="3115"/>
      <c r="T18" s="3115"/>
      <c r="U18" s="3115"/>
      <c r="V18" s="3115"/>
      <c r="W18" s="3115"/>
      <c r="X18" s="3115"/>
      <c r="Y18" s="3115"/>
      <c r="Z18" s="3115"/>
    </row>
    <row r="19" spans="1:26" s="1939" customFormat="1" ht="13.5" customHeight="1">
      <c r="A19" s="1512" t="s">
        <v>1645</v>
      </c>
      <c r="B19" s="451" t="s">
        <v>2797</v>
      </c>
      <c r="C19" s="452">
        <f ca="1">ROUND(C18*F19,0)</f>
        <v>28</v>
      </c>
      <c r="D19" s="453"/>
      <c r="E19" s="454"/>
      <c r="F19" s="458">
        <f>'数据-取费表'!B37</f>
        <v>0.02</v>
      </c>
      <c r="G19" s="436" t="s">
        <v>2798</v>
      </c>
      <c r="H19" s="439"/>
      <c r="I19" s="439"/>
      <c r="J19" s="439"/>
      <c r="K19" s="440"/>
      <c r="L19" s="3117"/>
      <c r="M19" s="3117"/>
      <c r="N19" s="3117"/>
      <c r="O19" s="3115"/>
      <c r="P19" s="3115"/>
      <c r="Q19" s="3115"/>
      <c r="R19" s="3115"/>
      <c r="S19" s="3115"/>
      <c r="T19" s="3115"/>
      <c r="U19" s="3115"/>
      <c r="V19" s="3115"/>
      <c r="W19" s="3115"/>
      <c r="X19" s="3115"/>
      <c r="Y19" s="3115"/>
      <c r="Z19" s="3115"/>
    </row>
    <row r="20" spans="1:26" s="1939" customFormat="1" ht="13.5" customHeight="1">
      <c r="A20" s="1512" t="s">
        <v>1646</v>
      </c>
      <c r="B20" s="453" t="s">
        <v>2799</v>
      </c>
      <c r="C20" s="462">
        <f ca="1">ROUND(IF('数据-取费表'!B22&lt;=1,(C18+C19)*F20*'数据-取费表'!B20/2,(C18+C19)*(POWER((1+F20),'数据-取费表'!B20/2)-1)),0)</f>
        <v>31</v>
      </c>
      <c r="D20" s="454">
        <f>ROUND(((1+F20)^'[9]数据-取费表'!B20)-1,4)</f>
        <v>0</v>
      </c>
      <c r="E20" s="454"/>
      <c r="F20" s="463">
        <v>4.3499999999999997E-2</v>
      </c>
      <c r="G20" s="1239" t="str">
        <f>IF('[9]数据-取费表'!B22&lt;=1,"单利计息。","复利计息。")&amp;"建造成本、管理费用产生的利息 / 地价及税费产生的利息。"</f>
        <v>单利计息。建造成本、管理费用产生的利息 / 地价及税费产生的利息。</v>
      </c>
      <c r="H20" s="439"/>
      <c r="I20" s="439"/>
      <c r="J20" s="439"/>
      <c r="K20" s="440"/>
      <c r="L20" s="3117"/>
      <c r="M20" s="3117"/>
      <c r="N20" s="3117"/>
      <c r="O20" s="3115"/>
      <c r="P20" s="3115"/>
      <c r="Q20" s="3115"/>
      <c r="R20" s="3115"/>
      <c r="S20" s="3115"/>
      <c r="T20" s="3115"/>
      <c r="U20" s="3115"/>
      <c r="V20" s="3115"/>
      <c r="W20" s="3115"/>
      <c r="X20" s="3115"/>
      <c r="Y20" s="3115"/>
      <c r="Z20" s="3115"/>
    </row>
    <row r="21" spans="1:26" s="1941" customFormat="1" ht="13.5" customHeight="1">
      <c r="A21" s="1512" t="s">
        <v>2800</v>
      </c>
      <c r="B21" s="2672" t="s">
        <v>2801</v>
      </c>
      <c r="C21" s="470">
        <f ca="1">ROUND((C18+C19)*F21,0)</f>
        <v>217</v>
      </c>
      <c r="D21" s="3188"/>
      <c r="E21" s="454"/>
      <c r="F21" s="471">
        <v>0.15</v>
      </c>
      <c r="G21" s="436"/>
      <c r="H21" s="439"/>
      <c r="I21" s="439"/>
      <c r="J21" s="439"/>
      <c r="K21" s="440"/>
      <c r="L21" s="3122" t="s">
        <v>2223</v>
      </c>
      <c r="M21" s="3123"/>
      <c r="N21" s="3123"/>
      <c r="O21" s="3123"/>
      <c r="P21" s="3123"/>
      <c r="Q21" s="3117"/>
      <c r="R21" s="3117"/>
      <c r="S21" s="3117"/>
      <c r="T21" s="3117"/>
      <c r="U21" s="3117"/>
      <c r="V21" s="3117"/>
      <c r="W21" s="3117"/>
      <c r="X21" s="3117"/>
      <c r="Y21" s="3117"/>
      <c r="Z21" s="3117"/>
    </row>
    <row r="22" spans="1:26" s="1940" customFormat="1" ht="13.5" customHeight="1">
      <c r="A22" s="1512" t="s">
        <v>1650</v>
      </c>
      <c r="B22" s="468" t="s">
        <v>2802</v>
      </c>
      <c r="C22" s="475"/>
      <c r="D22" s="475"/>
      <c r="E22" s="454"/>
      <c r="F22" s="3189">
        <f ca="1">IF(B1="",'数据-取费表'!N16,INDIRECT("'数据-取费表'!N"&amp;$K$1))</f>
        <v>0.8</v>
      </c>
      <c r="G22" s="436"/>
      <c r="H22" s="439"/>
      <c r="I22" s="439"/>
      <c r="J22" s="439"/>
      <c r="K22" s="440"/>
      <c r="L22" s="3116"/>
      <c r="M22" s="3116"/>
      <c r="N22" s="3116"/>
      <c r="O22" s="3116"/>
      <c r="P22" s="3116"/>
      <c r="Q22" s="3116"/>
      <c r="R22" s="3116"/>
      <c r="S22" s="3116"/>
      <c r="T22" s="3116"/>
      <c r="U22" s="3116"/>
      <c r="V22" s="3116"/>
      <c r="W22" s="3116"/>
      <c r="X22" s="3116"/>
      <c r="Y22" s="3116"/>
      <c r="Z22" s="3116"/>
    </row>
    <row r="23" spans="1:26" s="1940" customFormat="1" ht="13.5" customHeight="1" thickBot="1">
      <c r="A23" s="3190" t="s">
        <v>1651</v>
      </c>
      <c r="B23" s="3191" t="s">
        <v>2803</v>
      </c>
      <c r="C23" s="3192">
        <f ca="1">ROUND((C18+C19+C20+C21)*F22,0)</f>
        <v>1357</v>
      </c>
      <c r="D23" s="3193"/>
      <c r="E23" s="454"/>
      <c r="F23" s="476"/>
      <c r="G23" s="428"/>
      <c r="H23" s="3194"/>
      <c r="I23" s="3194"/>
      <c r="J23" s="3194"/>
      <c r="K23" s="3195"/>
      <c r="L23" s="3116"/>
      <c r="M23" s="3116"/>
      <c r="N23" s="3116"/>
      <c r="O23" s="3116"/>
      <c r="P23" s="3116"/>
      <c r="Q23" s="3116"/>
      <c r="R23" s="3116"/>
      <c r="S23" s="3116"/>
      <c r="T23" s="3116"/>
      <c r="U23" s="3116"/>
      <c r="V23" s="3116"/>
      <c r="W23" s="3116"/>
      <c r="X23" s="3116"/>
      <c r="Y23" s="3116"/>
      <c r="Z23" s="3116"/>
    </row>
    <row r="24" spans="1:26" s="1940" customFormat="1" ht="13.5" customHeight="1" thickBot="1">
      <c r="A24" s="4052" t="s">
        <v>2804</v>
      </c>
      <c r="B24" s="4053"/>
      <c r="C24" s="3196">
        <f ca="1">ROUND(C6*F24/(1+'数据-取费表'!B42),0)</f>
        <v>193</v>
      </c>
      <c r="D24" s="3197"/>
      <c r="E24" s="454"/>
      <c r="F24" s="3198">
        <f>'数据-取费表'!B41</f>
        <v>5.5000000000000007E-2</v>
      </c>
      <c r="G24" s="3199"/>
      <c r="H24" s="3199"/>
      <c r="I24" s="3199"/>
      <c r="J24" s="3199"/>
      <c r="K24" s="3200"/>
      <c r="L24" s="3116"/>
      <c r="M24" s="3116"/>
      <c r="N24" s="3116"/>
      <c r="O24" s="3116"/>
      <c r="P24" s="3116"/>
      <c r="Q24" s="3116"/>
      <c r="R24" s="3116"/>
      <c r="S24" s="3116"/>
      <c r="T24" s="3116"/>
      <c r="U24" s="3116"/>
      <c r="V24" s="3116"/>
      <c r="W24" s="3116"/>
      <c r="X24" s="3116"/>
      <c r="Y24" s="3116"/>
      <c r="Z24" s="3116"/>
    </row>
    <row r="25" spans="1:26" s="1940" customFormat="1" ht="13.5" customHeight="1" thickBot="1">
      <c r="A25" s="4052" t="s">
        <v>2805</v>
      </c>
      <c r="B25" s="4053"/>
      <c r="C25" s="3196">
        <f ca="1">ROUND(C6*F25,0)</f>
        <v>0</v>
      </c>
      <c r="D25" s="3197"/>
      <c r="E25" s="454"/>
      <c r="F25" s="3201">
        <v>0</v>
      </c>
      <c r="G25" s="3202"/>
      <c r="H25" s="3199"/>
      <c r="I25" s="3199"/>
      <c r="J25" s="3199"/>
      <c r="K25" s="3200"/>
      <c r="L25" s="3116"/>
      <c r="M25" s="3116"/>
      <c r="N25" s="3116"/>
      <c r="O25" s="3116"/>
      <c r="P25" s="3116"/>
      <c r="Q25" s="3116"/>
      <c r="R25" s="3116"/>
      <c r="S25" s="3116"/>
      <c r="T25" s="3116"/>
      <c r="U25" s="3116"/>
      <c r="V25" s="3116"/>
      <c r="W25" s="3116"/>
      <c r="X25" s="3116"/>
      <c r="Y25" s="3116"/>
      <c r="Z25" s="3116"/>
    </row>
    <row r="26" spans="1:26" s="1940" customFormat="1" ht="13.5" customHeight="1" thickBot="1">
      <c r="A26" s="4052" t="s">
        <v>2806</v>
      </c>
      <c r="B26" s="4053"/>
      <c r="C26" s="3203"/>
      <c r="D26" s="3204"/>
      <c r="E26" s="3204"/>
      <c r="F26" s="3205">
        <f>'数据-取费表'!B48+'数据-取费表'!B49</f>
        <v>3.0499999999999999E-2</v>
      </c>
      <c r="G26" s="3206"/>
      <c r="H26" s="3206"/>
      <c r="I26" s="3206"/>
      <c r="J26" s="3207"/>
      <c r="K26" s="3208"/>
      <c r="L26" s="3116"/>
      <c r="M26" s="3116"/>
      <c r="N26" s="3116"/>
      <c r="O26" s="3116"/>
      <c r="P26" s="3116"/>
      <c r="Q26" s="3116"/>
      <c r="R26" s="3116"/>
      <c r="S26" s="3116"/>
      <c r="T26" s="3116"/>
      <c r="U26" s="3116"/>
      <c r="V26" s="3116"/>
      <c r="W26" s="3116"/>
      <c r="X26" s="3116"/>
      <c r="Y26" s="3116"/>
      <c r="Z26" s="3116"/>
    </row>
    <row r="27" spans="1:26" s="1940" customFormat="1" ht="13.5" customHeight="1" thickBot="1">
      <c r="A27" s="4054" t="s">
        <v>2807</v>
      </c>
      <c r="B27" s="4055"/>
      <c r="C27" s="3209">
        <f ca="1">(C6-C23-C24-C25)/((1+F26)*(1+D20+F21))</f>
        <v>1793.9792840115606</v>
      </c>
      <c r="D27" s="3210"/>
      <c r="E27" s="3210"/>
      <c r="F27" s="3210"/>
      <c r="G27" s="3211" t="s">
        <v>2808</v>
      </c>
      <c r="H27" s="3210"/>
      <c r="I27" s="3210"/>
      <c r="J27" s="3210"/>
      <c r="K27" s="3212"/>
      <c r="L27" s="3116"/>
      <c r="M27" s="3116"/>
      <c r="N27" s="3116"/>
      <c r="O27" s="3116"/>
      <c r="P27" s="3116"/>
      <c r="Q27" s="3116"/>
      <c r="R27" s="3116"/>
      <c r="S27" s="3116"/>
      <c r="T27" s="3116"/>
      <c r="U27" s="3116"/>
      <c r="V27" s="3116"/>
      <c r="W27" s="3116"/>
      <c r="X27" s="3116"/>
      <c r="Y27" s="3116"/>
      <c r="Z27" s="3116"/>
    </row>
    <row r="28" spans="1:26" s="1935" customFormat="1">
      <c r="A28" s="3120"/>
      <c r="C28" s="3121"/>
      <c r="E28" s="3120"/>
    </row>
    <row r="29" spans="1:26" s="1935" customFormat="1">
      <c r="A29" s="3120"/>
      <c r="C29" s="3121"/>
      <c r="E29" s="3120"/>
    </row>
    <row r="30" spans="1:26" s="1935" customFormat="1">
      <c r="A30" s="3120"/>
      <c r="C30" s="3121"/>
      <c r="E30" s="3120"/>
    </row>
    <row r="31" spans="1:26" s="1935" customFormat="1">
      <c r="A31" s="3120"/>
      <c r="C31" s="3121"/>
      <c r="E31" s="3120"/>
    </row>
    <row r="32" spans="1:26" s="1935" customFormat="1">
      <c r="A32" s="3120"/>
      <c r="C32" s="3121"/>
      <c r="E32" s="3120"/>
    </row>
    <row r="33" spans="1:5" s="1935" customFormat="1">
      <c r="A33" s="3120"/>
      <c r="C33" s="3121"/>
      <c r="E33" s="3120"/>
    </row>
    <row r="34" spans="1:5" s="1935" customFormat="1">
      <c r="A34" s="3120"/>
      <c r="C34" s="3121"/>
      <c r="E34" s="3120"/>
    </row>
    <row r="35" spans="1:5" s="1935" customFormat="1">
      <c r="A35" s="3120"/>
      <c r="C35" s="3121"/>
      <c r="E35" s="3120"/>
    </row>
    <row r="36" spans="1:5" s="1935" customFormat="1">
      <c r="A36" s="3120"/>
      <c r="C36" s="3121"/>
      <c r="E36" s="3120"/>
    </row>
    <row r="37" spans="1:5" s="1935" customFormat="1">
      <c r="A37" s="3120"/>
      <c r="C37" s="3121"/>
      <c r="E37" s="3120"/>
    </row>
    <row r="38" spans="1:5" s="1935" customFormat="1">
      <c r="A38" s="3120"/>
      <c r="C38" s="3121"/>
      <c r="E38" s="3120"/>
    </row>
    <row r="39" spans="1:5" s="1935" customFormat="1">
      <c r="A39" s="3120"/>
      <c r="C39" s="3121"/>
      <c r="E39" s="3120"/>
    </row>
    <row r="40" spans="1:5" s="1935" customFormat="1">
      <c r="A40" s="3120"/>
      <c r="C40" s="3121"/>
      <c r="E40" s="3120"/>
    </row>
    <row r="41" spans="1:5" s="1935" customFormat="1">
      <c r="A41" s="3120"/>
      <c r="C41" s="3121"/>
      <c r="E41" s="3120"/>
    </row>
    <row r="42" spans="1:5" s="1935" customFormat="1">
      <c r="A42" s="3120"/>
      <c r="C42" s="3121"/>
      <c r="E42" s="3120"/>
    </row>
    <row r="43" spans="1:5" s="1935" customFormat="1">
      <c r="A43" s="3120"/>
      <c r="C43" s="3121"/>
      <c r="E43" s="3120"/>
    </row>
    <row r="44" spans="1:5" s="1935" customFormat="1">
      <c r="A44" s="3120"/>
      <c r="C44" s="3121"/>
      <c r="E44" s="3120"/>
    </row>
    <row r="45" spans="1:5" s="1935" customFormat="1">
      <c r="A45" s="3120"/>
      <c r="C45" s="3121"/>
      <c r="E45" s="3120"/>
    </row>
    <row r="46" spans="1:5" s="1935" customFormat="1">
      <c r="A46" s="3120"/>
      <c r="C46" s="3121"/>
      <c r="E46" s="3120"/>
    </row>
    <row r="47" spans="1:5" s="1935" customFormat="1">
      <c r="A47" s="3120"/>
      <c r="C47" s="3121"/>
      <c r="E47" s="3120"/>
    </row>
    <row r="48" spans="1:5"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6" zoomScale="60" zoomScaleNormal="95" workbookViewId="0">
      <selection activeCell="P17" sqref="P17:P37"/>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4"/>
      <c r="M1" s="3125"/>
      <c r="N1" s="3125"/>
      <c r="O1" s="3125"/>
      <c r="P1" s="1951"/>
      <c r="Q1" s="1951"/>
      <c r="R1" s="1951"/>
      <c r="S1" s="1951"/>
      <c r="T1" s="1951"/>
      <c r="U1" s="1951"/>
      <c r="V1" s="1951"/>
      <c r="W1" s="1951"/>
      <c r="X1" s="1951"/>
      <c r="Y1" s="1951"/>
      <c r="Z1" s="1951"/>
      <c r="AA1" s="1951"/>
      <c r="AB1" s="1951"/>
      <c r="AC1" s="3126"/>
      <c r="AD1" s="1240"/>
    </row>
    <row r="2" spans="1:30" s="1241" customFormat="1" ht="28.5" customHeight="1">
      <c r="A2" s="416" t="s">
        <v>461</v>
      </c>
      <c r="B2" s="483" t="e">
        <f>F67</f>
        <v>#DIV/0!</v>
      </c>
      <c r="C2" s="3134"/>
      <c r="D2" s="3134"/>
      <c r="E2" s="3136"/>
      <c r="F2" s="3137"/>
      <c r="G2" s="3136"/>
      <c r="H2" s="3136"/>
      <c r="I2" s="3136"/>
      <c r="J2" s="3136"/>
      <c r="K2" s="3138"/>
      <c r="L2" s="1950"/>
      <c r="M2" s="1951"/>
      <c r="N2" s="1951"/>
      <c r="O2" s="1951"/>
      <c r="P2" s="1951"/>
      <c r="Q2" s="1951"/>
      <c r="R2" s="1951"/>
      <c r="S2" s="1951"/>
      <c r="T2" s="1951"/>
      <c r="U2" s="1951"/>
      <c r="V2" s="1951"/>
      <c r="W2" s="1951"/>
      <c r="X2" s="1951"/>
      <c r="Y2" s="1951"/>
      <c r="Z2" s="1951"/>
      <c r="AA2" s="1951"/>
      <c r="AB2" s="1951"/>
      <c r="AC2" s="3126"/>
      <c r="AD2" s="1240"/>
    </row>
    <row r="3" spans="1:30" s="1241" customFormat="1" ht="28.5" customHeight="1">
      <c r="A3" s="1281" t="s">
        <v>1475</v>
      </c>
      <c r="B3" s="485" t="e">
        <f>ROUND(B2*10000/'数据-汇总表'!E3,0)</f>
        <v>#DIV/0!</v>
      </c>
      <c r="C3" s="3135"/>
      <c r="D3" s="3139"/>
      <c r="E3" s="3135"/>
      <c r="F3" s="3135"/>
      <c r="G3" s="3136"/>
      <c r="H3" s="3136"/>
      <c r="I3" s="3136"/>
      <c r="J3" s="3136"/>
      <c r="K3" s="3138"/>
      <c r="L3" s="1950"/>
      <c r="M3" s="1951"/>
      <c r="N3" s="1951"/>
      <c r="O3" s="1951"/>
      <c r="P3" s="1951"/>
      <c r="Q3" s="1951"/>
      <c r="R3" s="1951"/>
      <c r="S3" s="1951"/>
      <c r="T3" s="1951"/>
      <c r="U3" s="1951"/>
      <c r="V3" s="1951"/>
      <c r="W3" s="1951"/>
      <c r="X3" s="1951"/>
      <c r="Y3" s="1951"/>
      <c r="Z3" s="1951"/>
      <c r="AA3" s="1951"/>
      <c r="AB3" s="3127"/>
      <c r="AC3" s="1882"/>
    </row>
    <row r="4" spans="1:30" s="1241" customFormat="1" ht="28.5" customHeight="1">
      <c r="A4" s="486" t="s">
        <v>498</v>
      </c>
      <c r="B4" s="420" t="e">
        <f>IF(B48="单位面积地价",C50,ROUND(B2*10000/'数据-汇总表'!D3,0))</f>
        <v>#DIV/0!</v>
      </c>
      <c r="C4" s="3135"/>
      <c r="D4" s="3139"/>
      <c r="E4" s="3135"/>
      <c r="F4" s="3135"/>
      <c r="G4" s="3136"/>
      <c r="H4" s="3136"/>
      <c r="I4" s="3136"/>
      <c r="J4" s="3136"/>
      <c r="K4" s="3138"/>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5"/>
      <c r="E5" s="3135"/>
      <c r="F5" s="3135"/>
      <c r="G5" s="3136"/>
      <c r="H5" s="3136"/>
      <c r="I5" s="3136"/>
      <c r="J5" s="3136"/>
      <c r="K5" s="3138"/>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063" t="s">
        <v>500</v>
      </c>
      <c r="D6" s="4064"/>
      <c r="E6" s="4063" t="s">
        <v>501</v>
      </c>
      <c r="F6" s="4064"/>
      <c r="G6" s="4063" t="s">
        <v>502</v>
      </c>
      <c r="H6" s="4064"/>
      <c r="I6" s="4063" t="s">
        <v>503</v>
      </c>
      <c r="J6" s="4064"/>
      <c r="K6" s="489" t="s">
        <v>504</v>
      </c>
      <c r="L6" s="1952"/>
      <c r="M6" s="1951"/>
      <c r="N6" s="1951"/>
      <c r="O6" s="1953"/>
      <c r="P6" s="4065" t="s">
        <v>505</v>
      </c>
      <c r="Q6" s="4066"/>
      <c r="R6" s="4071" t="s">
        <v>501</v>
      </c>
      <c r="S6" s="4072"/>
      <c r="T6" s="4071" t="s">
        <v>502</v>
      </c>
      <c r="U6" s="4072"/>
      <c r="V6" s="4058" t="s">
        <v>503</v>
      </c>
      <c r="W6" s="4058"/>
      <c r="X6" s="1451"/>
      <c r="Y6" s="4071" t="s">
        <v>505</v>
      </c>
      <c r="Z6" s="4072"/>
      <c r="AA6" s="4060" t="s">
        <v>501</v>
      </c>
      <c r="AB6" s="4061" t="s">
        <v>502</v>
      </c>
      <c r="AC6" s="4060" t="s">
        <v>503</v>
      </c>
    </row>
    <row r="7" spans="1:30" ht="20.25">
      <c r="A7" s="490"/>
      <c r="B7" s="491"/>
      <c r="C7" s="4079" t="s">
        <v>2678</v>
      </c>
      <c r="D7" s="4080"/>
      <c r="E7" s="4079" t="s">
        <v>2679</v>
      </c>
      <c r="F7" s="4080"/>
      <c r="G7" s="4079" t="s">
        <v>2680</v>
      </c>
      <c r="H7" s="4080"/>
      <c r="I7" s="4079" t="s">
        <v>2681</v>
      </c>
      <c r="J7" s="4080"/>
      <c r="K7" s="489"/>
      <c r="L7" s="1952"/>
      <c r="M7" s="1951"/>
      <c r="N7" s="1951"/>
      <c r="O7" s="1953"/>
      <c r="P7" s="4067"/>
      <c r="Q7" s="4068"/>
      <c r="R7" s="4073"/>
      <c r="S7" s="4074"/>
      <c r="T7" s="4073"/>
      <c r="U7" s="4074"/>
      <c r="V7" s="4058"/>
      <c r="W7" s="4058"/>
      <c r="X7" s="1451"/>
      <c r="Y7" s="4073"/>
      <c r="Z7" s="4074"/>
      <c r="AA7" s="4061"/>
      <c r="AB7" s="4061"/>
      <c r="AC7" s="4061"/>
    </row>
    <row r="8" spans="1:30" ht="21" thickBot="1">
      <c r="A8" s="490"/>
      <c r="B8" s="491"/>
      <c r="C8" s="4081" t="s">
        <v>2682</v>
      </c>
      <c r="D8" s="4082"/>
      <c r="E8" s="4081" t="s">
        <v>2682</v>
      </c>
      <c r="F8" s="4082"/>
      <c r="G8" s="4077" t="s">
        <v>2682</v>
      </c>
      <c r="H8" s="4078"/>
      <c r="I8" s="4077" t="s">
        <v>2682</v>
      </c>
      <c r="J8" s="4078"/>
      <c r="K8" s="489" t="s">
        <v>506</v>
      </c>
      <c r="L8" s="1952"/>
      <c r="M8" s="1951"/>
      <c r="N8" s="1951"/>
      <c r="O8" s="1953"/>
      <c r="P8" s="4069"/>
      <c r="Q8" s="4070"/>
      <c r="R8" s="4073"/>
      <c r="S8" s="4074"/>
      <c r="T8" s="4075"/>
      <c r="U8" s="4076"/>
      <c r="V8" s="4058"/>
      <c r="W8" s="4058"/>
      <c r="X8" s="1451"/>
      <c r="Y8" s="4075"/>
      <c r="Z8" s="4076"/>
      <c r="AA8" s="4062"/>
      <c r="AB8" s="4062"/>
      <c r="AC8" s="4062"/>
    </row>
    <row r="9" spans="1:30" s="1162" customFormat="1" ht="21" thickBot="1">
      <c r="A9" s="2558"/>
      <c r="B9" s="2565" t="s">
        <v>507</v>
      </c>
      <c r="C9" s="2557">
        <f>'数据-取费表'!B2</f>
        <v>44867</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087" t="s">
        <v>508</v>
      </c>
      <c r="Q9" s="4089"/>
      <c r="R9" s="1452" t="s">
        <v>8</v>
      </c>
      <c r="S9" s="1453">
        <f t="shared" ref="S9:S17" si="0">F9</f>
        <v>0</v>
      </c>
      <c r="T9" s="1452" t="s">
        <v>8</v>
      </c>
      <c r="U9" s="1453">
        <f t="shared" ref="U9:U17" si="1">H9</f>
        <v>0</v>
      </c>
      <c r="V9" s="1452" t="s">
        <v>8</v>
      </c>
      <c r="W9" s="1453">
        <f t="shared" ref="W9:W17" si="2">J9</f>
        <v>0</v>
      </c>
      <c r="X9" s="1454"/>
      <c r="Y9" s="4087" t="s">
        <v>508</v>
      </c>
      <c r="Z9" s="4088"/>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087" t="s">
        <v>511</v>
      </c>
      <c r="Q10" s="4088"/>
      <c r="R10" s="1452" t="s">
        <v>8</v>
      </c>
      <c r="S10" s="1453">
        <f t="shared" si="0"/>
        <v>0</v>
      </c>
      <c r="T10" s="1452" t="s">
        <v>8</v>
      </c>
      <c r="U10" s="1453">
        <f t="shared" si="1"/>
        <v>0</v>
      </c>
      <c r="V10" s="1452" t="s">
        <v>8</v>
      </c>
      <c r="W10" s="1453">
        <f t="shared" si="2"/>
        <v>0</v>
      </c>
      <c r="X10" s="1454"/>
      <c r="Y10" s="4087" t="s">
        <v>511</v>
      </c>
      <c r="Z10" s="4088"/>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057" t="s">
        <v>513</v>
      </c>
      <c r="Q11" s="1093" t="str">
        <f t="shared" ref="Q11:Q17" si="6">B11</f>
        <v>用途</v>
      </c>
      <c r="R11" s="1452" t="s">
        <v>8</v>
      </c>
      <c r="S11" s="1453">
        <f t="shared" si="0"/>
        <v>100</v>
      </c>
      <c r="T11" s="1452" t="s">
        <v>8</v>
      </c>
      <c r="U11" s="1453">
        <f t="shared" si="1"/>
        <v>100</v>
      </c>
      <c r="V11" s="1452" t="s">
        <v>8</v>
      </c>
      <c r="W11" s="1453">
        <f t="shared" si="2"/>
        <v>100</v>
      </c>
      <c r="X11" s="1454"/>
      <c r="Y11" s="3945"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100</v>
      </c>
      <c r="G12" s="505"/>
      <c r="H12" s="253">
        <f>ROUND(100/'数据-取费表'!G16,0)</f>
        <v>100</v>
      </c>
      <c r="I12" s="505"/>
      <c r="J12" s="253">
        <f>ROUND(100/'数据-取费表'!G16,0)</f>
        <v>100</v>
      </c>
      <c r="K12" s="506"/>
      <c r="L12" s="1957"/>
      <c r="M12" s="1951"/>
      <c r="N12" s="1951"/>
      <c r="O12" s="1958"/>
      <c r="P12" s="4057"/>
      <c r="Q12" s="1093" t="str">
        <f t="shared" si="6"/>
        <v>土地使用年限（年）</v>
      </c>
      <c r="R12" s="1452" t="s">
        <v>8</v>
      </c>
      <c r="S12" s="1453">
        <f t="shared" si="0"/>
        <v>100</v>
      </c>
      <c r="T12" s="1452" t="s">
        <v>8</v>
      </c>
      <c r="U12" s="1453">
        <f t="shared" si="1"/>
        <v>100</v>
      </c>
      <c r="V12" s="1452" t="s">
        <v>8</v>
      </c>
      <c r="W12" s="1453">
        <f t="shared" si="2"/>
        <v>100</v>
      </c>
      <c r="X12" s="1454"/>
      <c r="Y12" s="3945"/>
      <c r="Z12" s="1092" t="str">
        <f t="shared" si="7"/>
        <v>土地使用年限（年）</v>
      </c>
      <c r="AA12" s="1455">
        <f t="shared" si="3"/>
        <v>1</v>
      </c>
      <c r="AB12" s="1455">
        <f t="shared" si="4"/>
        <v>1</v>
      </c>
      <c r="AC12" s="1455">
        <f t="shared" si="5"/>
        <v>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057"/>
      <c r="Q13" s="1093" t="str">
        <f t="shared" si="6"/>
        <v>容积率</v>
      </c>
      <c r="R13" s="1452" t="s">
        <v>8</v>
      </c>
      <c r="S13" s="1453" t="e">
        <f t="shared" si="0"/>
        <v>#N/A</v>
      </c>
      <c r="T13" s="1452" t="s">
        <v>8</v>
      </c>
      <c r="U13" s="1453" t="e">
        <f t="shared" si="1"/>
        <v>#N/A</v>
      </c>
      <c r="V13" s="1452" t="s">
        <v>8</v>
      </c>
      <c r="W13" s="1453" t="e">
        <f t="shared" si="2"/>
        <v>#N/A</v>
      </c>
      <c r="X13" s="1454"/>
      <c r="Y13" s="3945"/>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057"/>
      <c r="Q14" s="1093" t="str">
        <f t="shared" si="6"/>
        <v>配建</v>
      </c>
      <c r="R14" s="1452" t="s">
        <v>8</v>
      </c>
      <c r="S14" s="1453">
        <f t="shared" si="0"/>
        <v>100</v>
      </c>
      <c r="T14" s="1452" t="s">
        <v>8</v>
      </c>
      <c r="U14" s="1453">
        <f t="shared" si="1"/>
        <v>100</v>
      </c>
      <c r="V14" s="1452" t="s">
        <v>8</v>
      </c>
      <c r="W14" s="1453">
        <f t="shared" si="2"/>
        <v>100</v>
      </c>
      <c r="X14" s="1454"/>
      <c r="Y14" s="3945"/>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057"/>
      <c r="Q15" s="1093">
        <f t="shared" si="6"/>
        <v>111</v>
      </c>
      <c r="R15" s="1452" t="s">
        <v>8</v>
      </c>
      <c r="S15" s="1453">
        <f t="shared" si="0"/>
        <v>100</v>
      </c>
      <c r="T15" s="1452" t="s">
        <v>8</v>
      </c>
      <c r="U15" s="1453">
        <f t="shared" si="1"/>
        <v>100</v>
      </c>
      <c r="V15" s="1452" t="s">
        <v>8</v>
      </c>
      <c r="W15" s="1453">
        <f t="shared" si="2"/>
        <v>100</v>
      </c>
      <c r="X15" s="1454"/>
      <c r="Y15" s="3945"/>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057"/>
      <c r="Q16" s="1093">
        <f t="shared" si="6"/>
        <v>111</v>
      </c>
      <c r="R16" s="1452" t="s">
        <v>8</v>
      </c>
      <c r="S16" s="1453">
        <f t="shared" si="0"/>
        <v>100</v>
      </c>
      <c r="T16" s="1452" t="s">
        <v>8</v>
      </c>
      <c r="U16" s="1453">
        <f t="shared" si="1"/>
        <v>100</v>
      </c>
      <c r="V16" s="1452" t="s">
        <v>8</v>
      </c>
      <c r="W16" s="1453">
        <f t="shared" si="2"/>
        <v>100</v>
      </c>
      <c r="X16" s="1454"/>
      <c r="Y16" s="3945"/>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090" t="s">
        <v>518</v>
      </c>
      <c r="Q17" s="1456" t="str">
        <f t="shared" si="6"/>
        <v>居住社区成熟度</v>
      </c>
      <c r="R17" s="1457" t="s">
        <v>8</v>
      </c>
      <c r="S17" s="1458">
        <f t="shared" si="0"/>
        <v>100</v>
      </c>
      <c r="T17" s="1457" t="s">
        <v>8</v>
      </c>
      <c r="U17" s="1458">
        <f t="shared" si="1"/>
        <v>100</v>
      </c>
      <c r="V17" s="1457" t="s">
        <v>8</v>
      </c>
      <c r="W17" s="1458">
        <f t="shared" si="2"/>
        <v>100</v>
      </c>
      <c r="X17" s="1451"/>
      <c r="Y17" s="4090"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091"/>
      <c r="Q18" s="1456"/>
      <c r="R18" s="1457"/>
      <c r="S18" s="1458"/>
      <c r="T18" s="1457"/>
      <c r="U18" s="1458"/>
      <c r="V18" s="1457"/>
      <c r="W18" s="1458"/>
      <c r="X18" s="1451"/>
      <c r="Y18" s="4091"/>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091"/>
      <c r="Q19" s="1456" t="str">
        <f>B19</f>
        <v>商业繁华度</v>
      </c>
      <c r="R19" s="1457" t="s">
        <v>8</v>
      </c>
      <c r="S19" s="1458">
        <f>F19</f>
        <v>100</v>
      </c>
      <c r="T19" s="1457" t="s">
        <v>8</v>
      </c>
      <c r="U19" s="1458">
        <f>H19</f>
        <v>100</v>
      </c>
      <c r="V19" s="1457" t="s">
        <v>8</v>
      </c>
      <c r="W19" s="1458">
        <f>J19</f>
        <v>100</v>
      </c>
      <c r="X19" s="1451"/>
      <c r="Y19" s="4091"/>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091"/>
      <c r="Q20" s="1456"/>
      <c r="R20" s="1457"/>
      <c r="S20" s="1458"/>
      <c r="T20" s="1457"/>
      <c r="U20" s="1458"/>
      <c r="V20" s="1457"/>
      <c r="W20" s="1458"/>
      <c r="X20" s="1451"/>
      <c r="Y20" s="4091"/>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091"/>
      <c r="Q21" s="1456" t="str">
        <f>B21</f>
        <v>办公集聚程度</v>
      </c>
      <c r="R21" s="1457" t="s">
        <v>8</v>
      </c>
      <c r="S21" s="1458">
        <f>F21</f>
        <v>100</v>
      </c>
      <c r="T21" s="1457" t="s">
        <v>8</v>
      </c>
      <c r="U21" s="1458">
        <f>H21</f>
        <v>100</v>
      </c>
      <c r="V21" s="1457" t="s">
        <v>8</v>
      </c>
      <c r="W21" s="1458">
        <f>J21</f>
        <v>100</v>
      </c>
      <c r="X21" s="1451"/>
      <c r="Y21" s="4091"/>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091"/>
      <c r="Q22" s="1456"/>
      <c r="R22" s="1457"/>
      <c r="S22" s="1458"/>
      <c r="T22" s="1457"/>
      <c r="U22" s="1458"/>
      <c r="V22" s="1457"/>
      <c r="W22" s="1458"/>
      <c r="X22" s="1451"/>
      <c r="Y22" s="4091"/>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091"/>
      <c r="Q23" s="1456" t="str">
        <f>B23</f>
        <v>交通便捷度</v>
      </c>
      <c r="R23" s="1457" t="s">
        <v>8</v>
      </c>
      <c r="S23" s="1458">
        <f>F23</f>
        <v>100</v>
      </c>
      <c r="T23" s="1457" t="s">
        <v>8</v>
      </c>
      <c r="U23" s="1458">
        <f>H23</f>
        <v>100</v>
      </c>
      <c r="V23" s="1457" t="s">
        <v>8</v>
      </c>
      <c r="W23" s="1458">
        <f>J23</f>
        <v>100</v>
      </c>
      <c r="X23" s="1451"/>
      <c r="Y23" s="4091"/>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091"/>
      <c r="Q24" s="1456"/>
      <c r="R24" s="1457"/>
      <c r="S24" s="1458"/>
      <c r="T24" s="1457"/>
      <c r="U24" s="1458"/>
      <c r="V24" s="1457"/>
      <c r="W24" s="1458"/>
      <c r="X24" s="1451"/>
      <c r="Y24" s="4091"/>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091"/>
      <c r="Q25" s="1456" t="str">
        <f t="shared" ref="Q25:Q39" si="8">B25</f>
        <v>区域土地利用方向</v>
      </c>
      <c r="R25" s="1457" t="s">
        <v>8</v>
      </c>
      <c r="S25" s="1458">
        <f>F25</f>
        <v>100</v>
      </c>
      <c r="T25" s="1457" t="s">
        <v>8</v>
      </c>
      <c r="U25" s="1458">
        <f>H25</f>
        <v>100</v>
      </c>
      <c r="V25" s="1457" t="s">
        <v>8</v>
      </c>
      <c r="W25" s="1458">
        <f>J25</f>
        <v>100</v>
      </c>
      <c r="X25" s="1451"/>
      <c r="Y25" s="4091"/>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091"/>
      <c r="Q26" s="1456"/>
      <c r="R26" s="1457"/>
      <c r="S26" s="1458"/>
      <c r="T26" s="1457"/>
      <c r="U26" s="1458"/>
      <c r="V26" s="1457"/>
      <c r="W26" s="1458"/>
      <c r="X26" s="1451"/>
      <c r="Y26" s="4091"/>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091"/>
      <c r="Q27" s="1456" t="str">
        <f t="shared" si="8"/>
        <v>自然及人文环境状况</v>
      </c>
      <c r="R27" s="1457" t="s">
        <v>8</v>
      </c>
      <c r="S27" s="1458">
        <f>F27</f>
        <v>100</v>
      </c>
      <c r="T27" s="1457" t="s">
        <v>8</v>
      </c>
      <c r="U27" s="1458">
        <f>H27</f>
        <v>100</v>
      </c>
      <c r="V27" s="1457" t="s">
        <v>8</v>
      </c>
      <c r="W27" s="1458">
        <f>J27</f>
        <v>100</v>
      </c>
      <c r="X27" s="1451"/>
      <c r="Y27" s="4091"/>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091"/>
      <c r="Q28" s="1456"/>
      <c r="R28" s="1457"/>
      <c r="S28" s="1458"/>
      <c r="T28" s="1457"/>
      <c r="U28" s="1458"/>
      <c r="V28" s="1457"/>
      <c r="W28" s="1458"/>
      <c r="X28" s="1451"/>
      <c r="Y28" s="4091"/>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091"/>
      <c r="Q29" s="1093" t="str">
        <f t="shared" si="8"/>
        <v>公共配套设施</v>
      </c>
      <c r="R29" s="1452" t="s">
        <v>8</v>
      </c>
      <c r="S29" s="1453">
        <f>F29</f>
        <v>100</v>
      </c>
      <c r="T29" s="1452" t="s">
        <v>8</v>
      </c>
      <c r="U29" s="1453">
        <f>H29</f>
        <v>100</v>
      </c>
      <c r="V29" s="1452" t="s">
        <v>8</v>
      </c>
      <c r="W29" s="1453">
        <f>J29</f>
        <v>100</v>
      </c>
      <c r="X29" s="1454"/>
      <c r="Y29" s="4091"/>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091"/>
      <c r="Q30" s="1093"/>
      <c r="R30" s="1452"/>
      <c r="S30" s="1453"/>
      <c r="T30" s="1452"/>
      <c r="U30" s="1453"/>
      <c r="V30" s="1452"/>
      <c r="W30" s="1453"/>
      <c r="X30" s="1454"/>
      <c r="Y30" s="4091"/>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091"/>
      <c r="Q31" s="2362" t="str">
        <f t="shared" ref="Q31" si="9">B31</f>
        <v>基础设施水平</v>
      </c>
      <c r="R31" s="1452" t="s">
        <v>8</v>
      </c>
      <c r="S31" s="1453">
        <f>F31</f>
        <v>100</v>
      </c>
      <c r="T31" s="1452" t="s">
        <v>8</v>
      </c>
      <c r="U31" s="1453">
        <f>H31</f>
        <v>100</v>
      </c>
      <c r="V31" s="1452" t="s">
        <v>8</v>
      </c>
      <c r="W31" s="1453">
        <f>J31</f>
        <v>100</v>
      </c>
      <c r="X31" s="1454"/>
      <c r="Y31" s="4091"/>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091"/>
      <c r="Q32" s="2362"/>
      <c r="R32" s="1452"/>
      <c r="S32" s="1453"/>
      <c r="T32" s="1452"/>
      <c r="U32" s="1453"/>
      <c r="V32" s="1452"/>
      <c r="W32" s="1453"/>
      <c r="X32" s="1454"/>
      <c r="Y32" s="4091"/>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091"/>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091"/>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091"/>
      <c r="Q34" s="1456" t="str">
        <f t="shared" si="8"/>
        <v>毗邻道路的类型与等级</v>
      </c>
      <c r="R34" s="1457" t="s">
        <v>8</v>
      </c>
      <c r="S34" s="1458">
        <f t="shared" si="10"/>
        <v>100</v>
      </c>
      <c r="T34" s="1457" t="s">
        <v>8</v>
      </c>
      <c r="U34" s="1458">
        <f t="shared" si="11"/>
        <v>100</v>
      </c>
      <c r="V34" s="1457" t="s">
        <v>8</v>
      </c>
      <c r="W34" s="1458">
        <f t="shared" si="12"/>
        <v>100</v>
      </c>
      <c r="X34" s="1451"/>
      <c r="Y34" s="4091"/>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091"/>
      <c r="Q35" s="1456"/>
      <c r="R35" s="1457"/>
      <c r="S35" s="1458"/>
      <c r="T35" s="1457"/>
      <c r="U35" s="1458"/>
      <c r="V35" s="1457"/>
      <c r="W35" s="1458"/>
      <c r="X35" s="1451"/>
      <c r="Y35" s="4091"/>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091"/>
      <c r="Q36" s="1456" t="str">
        <f t="shared" si="8"/>
        <v>土地级别</v>
      </c>
      <c r="R36" s="1457" t="s">
        <v>8</v>
      </c>
      <c r="S36" s="1458">
        <f t="shared" si="10"/>
        <v>100</v>
      </c>
      <c r="T36" s="1457" t="s">
        <v>8</v>
      </c>
      <c r="U36" s="1458">
        <f t="shared" si="11"/>
        <v>100</v>
      </c>
      <c r="V36" s="1457" t="s">
        <v>8</v>
      </c>
      <c r="W36" s="1458">
        <f t="shared" si="12"/>
        <v>100</v>
      </c>
      <c r="X36" s="1451"/>
      <c r="Y36" s="4091"/>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091"/>
      <c r="Q37" s="1456">
        <f t="shared" si="8"/>
        <v>111</v>
      </c>
      <c r="R37" s="1457" t="s">
        <v>8</v>
      </c>
      <c r="S37" s="1458">
        <f t="shared" si="10"/>
        <v>100</v>
      </c>
      <c r="T37" s="1457" t="s">
        <v>8</v>
      </c>
      <c r="U37" s="1458">
        <f t="shared" si="11"/>
        <v>100</v>
      </c>
      <c r="V37" s="1457" t="s">
        <v>8</v>
      </c>
      <c r="W37" s="1458">
        <f t="shared" si="12"/>
        <v>100</v>
      </c>
      <c r="X37" s="1451"/>
      <c r="Y37" s="4091"/>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092" t="s">
        <v>528</v>
      </c>
      <c r="Q38" s="1456">
        <f t="shared" si="8"/>
        <v>111</v>
      </c>
      <c r="R38" s="1457" t="s">
        <v>8</v>
      </c>
      <c r="S38" s="1458">
        <f t="shared" si="10"/>
        <v>100</v>
      </c>
      <c r="T38" s="1457" t="s">
        <v>8</v>
      </c>
      <c r="U38" s="1458">
        <f t="shared" si="11"/>
        <v>100</v>
      </c>
      <c r="V38" s="1457" t="s">
        <v>8</v>
      </c>
      <c r="W38" s="1458">
        <f t="shared" si="12"/>
        <v>100</v>
      </c>
      <c r="X38" s="1451"/>
      <c r="Y38" s="4093"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093"/>
      <c r="Q39" s="1456">
        <f t="shared" si="8"/>
        <v>111</v>
      </c>
      <c r="R39" s="1461" t="s">
        <v>8</v>
      </c>
      <c r="S39" s="1462">
        <f t="shared" si="10"/>
        <v>100</v>
      </c>
      <c r="T39" s="1461" t="s">
        <v>8</v>
      </c>
      <c r="U39" s="1462">
        <f t="shared" si="11"/>
        <v>100</v>
      </c>
      <c r="V39" s="1461" t="s">
        <v>8</v>
      </c>
      <c r="W39" s="1462">
        <f t="shared" si="12"/>
        <v>100</v>
      </c>
      <c r="X39" s="1463"/>
      <c r="Y39" s="4093"/>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093"/>
      <c r="Q40" s="1456" t="str">
        <f>B40</f>
        <v>宗地面积</v>
      </c>
      <c r="R40" s="1457" t="s">
        <v>8</v>
      </c>
      <c r="S40" s="1458" t="e">
        <f t="shared" si="10"/>
        <v>#N/A</v>
      </c>
      <c r="T40" s="1457" t="s">
        <v>8</v>
      </c>
      <c r="U40" s="1458" t="e">
        <f t="shared" si="11"/>
        <v>#N/A</v>
      </c>
      <c r="V40" s="1457" t="s">
        <v>8</v>
      </c>
      <c r="W40" s="1458" t="e">
        <f t="shared" si="12"/>
        <v>#N/A</v>
      </c>
      <c r="X40" s="1451"/>
      <c r="Y40" s="4093"/>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093"/>
      <c r="Q41" s="1456" t="str">
        <f t="shared" ref="Q41:Q47" si="14">B41</f>
        <v>宗地形状</v>
      </c>
      <c r="R41" s="1457" t="s">
        <v>8</v>
      </c>
      <c r="S41" s="1458">
        <f t="shared" si="10"/>
        <v>100</v>
      </c>
      <c r="T41" s="1457" t="s">
        <v>8</v>
      </c>
      <c r="U41" s="1458">
        <f t="shared" si="11"/>
        <v>100</v>
      </c>
      <c r="V41" s="1457" t="s">
        <v>8</v>
      </c>
      <c r="W41" s="1458">
        <f t="shared" si="12"/>
        <v>100</v>
      </c>
      <c r="X41" s="1451"/>
      <c r="Y41" s="4093"/>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093"/>
      <c r="Q42" s="1456" t="str">
        <f t="shared" si="14"/>
        <v>临街宽度及深度</v>
      </c>
      <c r="R42" s="1457" t="s">
        <v>8</v>
      </c>
      <c r="S42" s="1458">
        <f t="shared" si="10"/>
        <v>100</v>
      </c>
      <c r="T42" s="1457" t="s">
        <v>8</v>
      </c>
      <c r="U42" s="1458">
        <f t="shared" si="11"/>
        <v>100</v>
      </c>
      <c r="V42" s="1457" t="s">
        <v>8</v>
      </c>
      <c r="W42" s="1458">
        <f t="shared" si="12"/>
        <v>100</v>
      </c>
      <c r="X42" s="1451"/>
      <c r="Y42" s="4093"/>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093"/>
      <c r="Q43" s="1456" t="str">
        <f t="shared" si="14"/>
        <v>宗地开发程度</v>
      </c>
      <c r="R43" s="1452" t="s">
        <v>8</v>
      </c>
      <c r="S43" s="1453">
        <f t="shared" si="10"/>
        <v>100</v>
      </c>
      <c r="T43" s="1452" t="s">
        <v>8</v>
      </c>
      <c r="U43" s="1453">
        <f t="shared" si="11"/>
        <v>100</v>
      </c>
      <c r="V43" s="1452" t="s">
        <v>8</v>
      </c>
      <c r="W43" s="1453">
        <f t="shared" si="12"/>
        <v>100</v>
      </c>
      <c r="X43" s="1454"/>
      <c r="Y43" s="4093"/>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093" t="s">
        <v>528</v>
      </c>
      <c r="Q44" s="1456" t="str">
        <f t="shared" si="14"/>
        <v>工程地质条件</v>
      </c>
      <c r="R44" s="1457" t="s">
        <v>8</v>
      </c>
      <c r="S44" s="1458">
        <f t="shared" si="10"/>
        <v>100</v>
      </c>
      <c r="T44" s="1457" t="s">
        <v>8</v>
      </c>
      <c r="U44" s="1458">
        <f t="shared" si="11"/>
        <v>100</v>
      </c>
      <c r="V44" s="1457" t="s">
        <v>8</v>
      </c>
      <c r="W44" s="1458">
        <f t="shared" si="12"/>
        <v>100</v>
      </c>
      <c r="X44" s="1451"/>
      <c r="Y44" s="4093"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093"/>
      <c r="Q45" s="1456">
        <f t="shared" si="14"/>
        <v>111</v>
      </c>
      <c r="R45" s="1457" t="s">
        <v>8</v>
      </c>
      <c r="S45" s="1458">
        <f t="shared" si="10"/>
        <v>100</v>
      </c>
      <c r="T45" s="1457" t="s">
        <v>8</v>
      </c>
      <c r="U45" s="1458">
        <f t="shared" si="11"/>
        <v>100</v>
      </c>
      <c r="V45" s="1457" t="s">
        <v>8</v>
      </c>
      <c r="W45" s="1458">
        <f t="shared" si="12"/>
        <v>100</v>
      </c>
      <c r="X45" s="1451"/>
      <c r="Y45" s="4093"/>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093"/>
      <c r="Q46" s="1456">
        <f t="shared" si="14"/>
        <v>111</v>
      </c>
      <c r="R46" s="1457" t="s">
        <v>8</v>
      </c>
      <c r="S46" s="1458">
        <f t="shared" si="10"/>
        <v>100</v>
      </c>
      <c r="T46" s="1457" t="s">
        <v>8</v>
      </c>
      <c r="U46" s="1458">
        <f t="shared" si="11"/>
        <v>100</v>
      </c>
      <c r="V46" s="1457" t="s">
        <v>8</v>
      </c>
      <c r="W46" s="1458">
        <f t="shared" si="12"/>
        <v>100</v>
      </c>
      <c r="X46" s="1451"/>
      <c r="Y46" s="4093"/>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093"/>
      <c r="Q47" s="1456">
        <f t="shared" si="14"/>
        <v>111</v>
      </c>
      <c r="R47" s="1461" t="s">
        <v>8</v>
      </c>
      <c r="S47" s="1462">
        <f t="shared" si="10"/>
        <v>100</v>
      </c>
      <c r="T47" s="1461" t="s">
        <v>8</v>
      </c>
      <c r="U47" s="1462">
        <f t="shared" si="11"/>
        <v>100</v>
      </c>
      <c r="V47" s="1461" t="s">
        <v>8</v>
      </c>
      <c r="W47" s="1462">
        <f t="shared" si="12"/>
        <v>100</v>
      </c>
      <c r="X47" s="1463"/>
      <c r="Y47" s="4093"/>
      <c r="Z47" s="1464">
        <f t="shared" si="13"/>
        <v>111</v>
      </c>
      <c r="AA47" s="1460">
        <f t="shared" si="3"/>
        <v>1</v>
      </c>
      <c r="AB47" s="1460">
        <f t="shared" si="4"/>
        <v>1</v>
      </c>
      <c r="AC47" s="1460">
        <f t="shared" si="5"/>
        <v>1</v>
      </c>
    </row>
    <row r="48" spans="1:29" ht="20.25">
      <c r="A48" s="582" t="s">
        <v>534</v>
      </c>
      <c r="B48" s="583" t="s">
        <v>2683</v>
      </c>
      <c r="C48" s="584" t="s">
        <v>1</v>
      </c>
      <c r="D48" s="585"/>
      <c r="E48" s="586"/>
      <c r="F48" s="587"/>
      <c r="G48" s="588"/>
      <c r="H48" s="589"/>
      <c r="I48" s="586"/>
      <c r="J48" s="589"/>
      <c r="K48" s="1245"/>
      <c r="L48" s="1963"/>
      <c r="M48" s="1951"/>
      <c r="N48" s="1951"/>
      <c r="O48" s="1964"/>
      <c r="P48" s="4057" t="str">
        <f>A48</f>
        <v>成交单价</v>
      </c>
      <c r="Q48" s="4057"/>
      <c r="R48" s="4058">
        <f>E48</f>
        <v>0</v>
      </c>
      <c r="S48" s="4058"/>
      <c r="T48" s="4058">
        <f>G48</f>
        <v>0</v>
      </c>
      <c r="U48" s="4058"/>
      <c r="V48" s="4058">
        <f>I48</f>
        <v>0</v>
      </c>
      <c r="W48" s="4058"/>
      <c r="X48" s="1446"/>
      <c r="Y48" s="1465"/>
      <c r="Z48" s="1446"/>
      <c r="AA48" s="1446"/>
      <c r="AB48" s="1446"/>
      <c r="AC48" s="1446"/>
    </row>
    <row r="49" spans="1:29" ht="21" thickBot="1">
      <c r="A49" s="590" t="s">
        <v>2459</v>
      </c>
      <c r="B49" s="591"/>
      <c r="C49" s="592" t="e">
        <f>R50</f>
        <v>#DIV/0!</v>
      </c>
      <c r="D49" s="2931" t="s">
        <v>2747</v>
      </c>
      <c r="E49" s="592" t="e">
        <f>R49</f>
        <v>#DIV/0!</v>
      </c>
      <c r="F49" s="2932"/>
      <c r="G49" s="593" t="e">
        <f>T49</f>
        <v>#DIV/0!</v>
      </c>
      <c r="H49" s="2932"/>
      <c r="I49" s="592" t="e">
        <f>V49</f>
        <v>#DIV/0!</v>
      </c>
      <c r="J49" s="2932"/>
      <c r="K49" s="2933">
        <f>F49+H49+J49</f>
        <v>0</v>
      </c>
      <c r="L49" s="1963"/>
      <c r="M49" s="1951"/>
      <c r="N49" s="1951"/>
      <c r="O49" s="1964"/>
      <c r="P49" s="4057" t="str">
        <f>A49</f>
        <v>比较价格（元/平方米）</v>
      </c>
      <c r="Q49" s="4057"/>
      <c r="R49" s="4059" t="e">
        <f>ROUND(PRODUCT(R48,AA9:AA47),0)</f>
        <v>#DIV/0!</v>
      </c>
      <c r="S49" s="4059"/>
      <c r="T49" s="4059" t="e">
        <f>ROUND(PRODUCT(T48,AB9:AB47),0)</f>
        <v>#DIV/0!</v>
      </c>
      <c r="U49" s="4059"/>
      <c r="V49" s="4059" t="e">
        <f>ROUND(PRODUCT(V48,AC9:AC47),0)</f>
        <v>#DIV/0!</v>
      </c>
      <c r="W49" s="4059"/>
      <c r="X49" s="1446"/>
      <c r="Y49" s="1446"/>
      <c r="Z49" s="1446"/>
      <c r="AA49" s="1446"/>
      <c r="AB49" s="1446"/>
      <c r="AC49" s="1446"/>
    </row>
    <row r="50" spans="1:29" ht="21" thickBot="1">
      <c r="A50" s="594" t="s">
        <v>2684</v>
      </c>
      <c r="B50" s="595"/>
      <c r="C50" s="596" t="e">
        <f>R50</f>
        <v>#DIV/0!</v>
      </c>
      <c r="D50" s="596"/>
      <c r="E50" s="596"/>
      <c r="F50" s="596"/>
      <c r="G50" s="596"/>
      <c r="H50" s="596"/>
      <c r="I50" s="596"/>
      <c r="J50" s="596"/>
      <c r="K50" s="1246"/>
      <c r="L50" s="1963"/>
      <c r="M50" s="1951"/>
      <c r="N50" s="1951"/>
      <c r="O50" s="1964"/>
      <c r="P50" s="4094" t="str">
        <f>A50</f>
        <v>估价对象XX用房的比较价格（楼面单价，元/平方米）</v>
      </c>
      <c r="Q50" s="4095"/>
      <c r="R50" s="4056" t="e">
        <f>ROUND(IF(D49="简单平均",AVERAGE(R49:W49),R49*F49+T49*H49+V49*J49),0)</f>
        <v>#DIV/0!</v>
      </c>
      <c r="S50" s="4056"/>
      <c r="T50" s="4056"/>
      <c r="U50" s="4056"/>
      <c r="V50" s="4056"/>
      <c r="W50" s="4056"/>
      <c r="X50" s="1446"/>
      <c r="Y50" s="1446"/>
      <c r="Z50" s="1446"/>
      <c r="AA50" s="1446"/>
      <c r="AB50" s="1446"/>
      <c r="AC50" s="1446"/>
    </row>
    <row r="51" spans="1:29" ht="20.25">
      <c r="A51" s="3128"/>
      <c r="B51" s="3128"/>
      <c r="C51" s="3128"/>
      <c r="D51" s="3128"/>
      <c r="E51" s="3128"/>
      <c r="F51" s="3128"/>
      <c r="G51" s="3130"/>
      <c r="H51" s="3128"/>
      <c r="I51" s="3128"/>
      <c r="J51" s="3128"/>
      <c r="K51" s="3131"/>
      <c r="L51" s="1968"/>
      <c r="M51" s="1951"/>
      <c r="N51" s="1951"/>
      <c r="O51" s="1964"/>
      <c r="P51" s="1964"/>
      <c r="Q51" s="1964"/>
      <c r="R51" s="1964"/>
      <c r="S51" s="1964"/>
      <c r="T51" s="1964"/>
      <c r="U51" s="1964"/>
      <c r="V51" s="1964"/>
      <c r="W51" s="1964"/>
      <c r="X51" s="1964"/>
      <c r="Y51" s="1964"/>
      <c r="Z51" s="1964"/>
      <c r="AA51" s="1964"/>
      <c r="AB51" s="1964"/>
      <c r="AC51" s="1964"/>
    </row>
    <row r="52" spans="1:29" ht="20.25">
      <c r="A52" s="3128"/>
      <c r="B52" s="3128"/>
      <c r="C52" s="3128"/>
      <c r="D52" s="3128"/>
      <c r="E52" s="3128"/>
      <c r="F52" s="3128"/>
      <c r="G52" s="3128"/>
      <c r="H52" s="3128"/>
      <c r="I52" s="3128"/>
      <c r="J52" s="3128"/>
      <c r="K52" s="3131"/>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2"/>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083" t="s">
        <v>2061</v>
      </c>
      <c r="H57" s="4084"/>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6250.48</v>
      </c>
      <c r="F58" s="609" t="e">
        <f t="shared" ref="F58:F66" si="15">ROUND(B58*E58/10000,0)</f>
        <v>#DIV/0!</v>
      </c>
      <c r="G58" s="4085"/>
      <c r="H58" s="4086"/>
      <c r="I58" s="1444">
        <v>1</v>
      </c>
      <c r="J58" s="1444">
        <v>1</v>
      </c>
      <c r="K58" s="3133"/>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0" t="s">
        <v>2062</v>
      </c>
      <c r="H59" s="1810">
        <f>项目基本情况!B43</f>
        <v>0</v>
      </c>
      <c r="I59" s="1444">
        <f>SUMIF(修正!$A$57:$A$68,H59,修正!B57:B68)</f>
        <v>0</v>
      </c>
      <c r="J59" s="1445"/>
      <c r="K59" s="3133"/>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1"/>
      <c r="H60" s="1810">
        <f>项目基本情况!B43</f>
        <v>0</v>
      </c>
      <c r="I60" s="1444">
        <f>SUMIF(修正!$A$57:$A$68,H60,修正!C57:C68)</f>
        <v>0</v>
      </c>
      <c r="J60" s="1445"/>
      <c r="K60" s="3133"/>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1"/>
      <c r="H61" s="1810">
        <f>项目基本情况!B43</f>
        <v>0</v>
      </c>
      <c r="I61" s="1444">
        <f>SUMIF(修正!$A$57:$A$68,H61,修正!D57:D68)</f>
        <v>0</v>
      </c>
      <c r="J61" s="1445"/>
      <c r="K61" s="3133"/>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3"/>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3"/>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3"/>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3"/>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3"/>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27531</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2022-11-1</v>
      </c>
      <c r="D69" s="2446">
        <f>EDATE(C69,-3)</f>
        <v>44774</v>
      </c>
      <c r="E69" s="2446">
        <f t="shared" ref="E69:N69" si="18">EDATE(D69,-3)</f>
        <v>44682</v>
      </c>
      <c r="F69" s="2446">
        <f t="shared" si="18"/>
        <v>44593</v>
      </c>
      <c r="G69" s="2446">
        <f t="shared" si="18"/>
        <v>44501</v>
      </c>
      <c r="H69" s="2446">
        <f t="shared" si="18"/>
        <v>44409</v>
      </c>
      <c r="I69" s="2446">
        <f t="shared" si="18"/>
        <v>44317</v>
      </c>
      <c r="J69" s="2446">
        <f t="shared" si="18"/>
        <v>44228</v>
      </c>
      <c r="K69" s="2446">
        <f t="shared" si="18"/>
        <v>44136</v>
      </c>
      <c r="L69" s="2446">
        <f t="shared" si="18"/>
        <v>44044</v>
      </c>
      <c r="M69" s="2446">
        <f t="shared" si="18"/>
        <v>43952</v>
      </c>
      <c r="N69" s="2446">
        <f t="shared" si="18"/>
        <v>43862</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2022-4</v>
      </c>
      <c r="D71" s="2447" t="str">
        <f>YEAR(D69)&amp;"-"&amp;ROUNDUP(MONTH(D69)/3,0)</f>
        <v>2022-3</v>
      </c>
      <c r="E71" s="2447" t="str">
        <f t="shared" ref="E71:N71" si="19">YEAR(E69)&amp;"-"&amp;ROUNDUP(MONTH(E69)/3,0)</f>
        <v>2022-2</v>
      </c>
      <c r="F71" s="2447" t="str">
        <f t="shared" si="19"/>
        <v>2022-1</v>
      </c>
      <c r="G71" s="2447" t="str">
        <f t="shared" si="19"/>
        <v>2021-4</v>
      </c>
      <c r="H71" s="2447" t="str">
        <f t="shared" si="19"/>
        <v>2021-3</v>
      </c>
      <c r="I71" s="2447" t="str">
        <f t="shared" si="19"/>
        <v>2021-2</v>
      </c>
      <c r="J71" s="2447" t="str">
        <f t="shared" si="19"/>
        <v>2021-1</v>
      </c>
      <c r="K71" s="2447" t="str">
        <f t="shared" si="19"/>
        <v>2020-4</v>
      </c>
      <c r="L71" s="2447" t="str">
        <f t="shared" si="19"/>
        <v>2020-3</v>
      </c>
      <c r="M71" s="2447" t="str">
        <f t="shared" si="19"/>
        <v>2020-2</v>
      </c>
      <c r="N71" s="2447" t="str">
        <f t="shared" si="19"/>
        <v>2020-1</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北京市平均增长率1.53%</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f>IF(E2="商业",项目基本情况!B43,IF(E2="办公",项目基本情况!C43,IF(E2="住宅",项目基本情况!D43,项目基本情况!E43)))</f>
        <v>0</v>
      </c>
      <c r="H2" s="1306" t="s">
        <v>896</v>
      </c>
      <c r="I2" s="1530">
        <f>IF(E2="商业",项目基本情况!B44,IF(E2="办公",项目基本情况!C44,IF(E2="住宅",项目基本情况!D44,项目基本情况!E44)))</f>
        <v>0</v>
      </c>
      <c r="J2" s="1308"/>
      <c r="K2" s="3140"/>
      <c r="L2" s="1747" t="s">
        <v>2020</v>
      </c>
      <c r="M2" s="1748">
        <f>SUMPRODUCT((区片价!B10:B28=I2)*(区片价!C3:F3=E2)*(区片价!C10:F28))</f>
        <v>0</v>
      </c>
      <c r="N2" s="1749">
        <f>SUMPRODUCT((因素修正幅度!B10:B28=I2)*(因素修正幅度!C3:F3=E2)*(因素修正幅度!C10:F28))</f>
        <v>0</v>
      </c>
      <c r="O2" s="3140"/>
      <c r="P2" s="2007"/>
      <c r="Q2" s="2007"/>
      <c r="R2" s="2583">
        <v>1</v>
      </c>
      <c r="S2" s="2583">
        <f>ROUND(IF(G3&gt;1,IF(R2&lt;7,SUMPRODUCT((B93:B98=R2)*(C92:N92=G2)*(C93:N98)),SUMIF(C92:N92,G2,C100:N100)),IF(R2&lt;7,SUMPRODUCT((B102:B107=R2)*(C92:N92=G2)*(C102:N107)),SUMIF(C92:N92,G2,C109:N109))),4)</f>
        <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1</v>
      </c>
      <c r="H3" s="1312" t="s">
        <v>899</v>
      </c>
      <c r="I3" s="1005"/>
      <c r="J3" s="1308" t="s">
        <v>900</v>
      </c>
      <c r="K3" s="3140"/>
      <c r="L3" s="1747" t="s">
        <v>2021</v>
      </c>
      <c r="M3" s="1748">
        <f>SUMPRODUCT((区片价!B29:B48=I2)*(区片价!C3:F3=E2)*(区片价!C29:F48))</f>
        <v>0</v>
      </c>
      <c r="N3" s="1749">
        <f>SUMPRODUCT((因素修正幅度!B29:B48=I2)*(因素修正幅度!C3:F3=E2)*(因素修正幅度!C29:F48))</f>
        <v>0</v>
      </c>
      <c r="O3" s="3140"/>
      <c r="P3" s="2007"/>
      <c r="Q3" s="2007"/>
      <c r="R3" s="2583">
        <v>2</v>
      </c>
      <c r="S3" s="2583">
        <f>ROUND(IF(G3&gt;1,IF(R3&lt;7,SUMPRODUCT((B93:B98=R3)*(C92:N92=G2)*(C93:N98)),SUMIF(C92:N92,G2,C100:N100)),IF(R3&lt;7,SUMPRODUCT((B102:B107=R3)*(C92:N92=G2)*(C102:N107)),SUMIF(C92:N92,G2,C109:N109))),4)</f>
        <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1"/>
      <c r="L4" s="1747" t="s">
        <v>2022</v>
      </c>
      <c r="M4" s="1748">
        <f>SUMPRODUCT((区片价!B49:B75=I2)*(区片价!C3:F3=E2)*(区片价!C49:F75))</f>
        <v>0</v>
      </c>
      <c r="N4" s="1749">
        <f>SUMPRODUCT((因素修正幅度!B49:B75=I2)*(因素修正幅度!C3:F3=E2)*(因素修正幅度!C49:F75))</f>
        <v>0</v>
      </c>
      <c r="O4" s="3141"/>
      <c r="P4" s="2007"/>
      <c r="Q4" s="2007"/>
      <c r="R4" s="2583">
        <v>3</v>
      </c>
      <c r="S4" s="2583">
        <f>ROUND(IF(G3&gt;1,IF(R4&lt;7,SUMPRODUCT((B93:B98=R4)*(C92:N92=G2)*(C93:N98)),SUMIF(C92:N92,G2,C100:N100)),IF(R4&lt;7,SUMPRODUCT((B102:B107=R4)*(C92:N92=G2)*(C102:N107)),SUMIF(C92:N92,G2,C109:N109))),4)</f>
        <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2"/>
      <c r="L5" s="1747" t="s">
        <v>2023</v>
      </c>
      <c r="M5" s="1748">
        <f>SUMPRODUCT((区片价!B76:B109=I2)*(区片价!C3:F3=E2)*(区片价!C76:F109))</f>
        <v>0</v>
      </c>
      <c r="N5" s="1749">
        <f>SUMPRODUCT((因素修正幅度!B76:B109=I2)*(因素修正幅度!C3:F3=E2)*(因素修正幅度!C76:F109))</f>
        <v>0</v>
      </c>
      <c r="O5" s="3142"/>
      <c r="P5" s="3145"/>
      <c r="Q5" s="2007"/>
      <c r="R5" s="2583">
        <v>4</v>
      </c>
      <c r="S5" s="2583">
        <f>ROUND(IF(G3&gt;1,IF(R5&lt;7,SUMPRODUCT((B93:B98=R5)*(C92:N92=G2)*(C93:N98)),SUMIF(C92:N92,G2,C100:N100)),IF(R5&lt;7,SUMPRODUCT((B102:B107=R5)*(C92:N92=G2)*(C102:N107)),SUMIF(C92:N92,G2,C109:N109))),4)</f>
        <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3"/>
      <c r="L6" s="1747" t="s">
        <v>2024</v>
      </c>
      <c r="M6" s="1748">
        <f>SUMPRODUCT((区片价!B110:B157=I2)*(区片价!C3:F3=E2)*(区片价!C110:F157))</f>
        <v>0</v>
      </c>
      <c r="N6" s="1749">
        <f>SUMPRODUCT((因素修正幅度!B110:B157=I2)*(因素修正幅度!C3:F3=E2)*(因素修正幅度!C110:F157))</f>
        <v>0</v>
      </c>
      <c r="O6" s="3143"/>
      <c r="P6" s="3146"/>
      <c r="Q6" s="2007"/>
      <c r="R6" s="2583">
        <v>5</v>
      </c>
      <c r="S6" s="2583">
        <f>ROUND(IF(G3&gt;1,IF(R6&lt;7,SUMPRODUCT((B93:B98=R6)*(C92:N92=G2)*(C93:N98)),SUMIF(C92:N92,G2,C100:N100)),IF(R6&lt;7,SUMPRODUCT((B102:B107=R6)*(C92:N92=G2)*(C102:N107)),SUMIF(C92:N92,G2,C109:N109))),4)</f>
        <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110" t="str">
        <f>IF(E2="商业",IF(C8="不临58条商业街","",2),"")</f>
        <v/>
      </c>
      <c r="B7" s="1325" t="s">
        <v>902</v>
      </c>
      <c r="C7" s="1008" t="e">
        <f>IF(C8="不临58条商业街",1,ROUND(1+(1.6*E8+1.2*E9+0.8*E10+0.4*E11)*C9,4))</f>
        <v>#DIV/0!</v>
      </c>
      <c r="D7" s="1326" t="s">
        <v>903</v>
      </c>
      <c r="E7" s="1009"/>
      <c r="F7" s="1327"/>
      <c r="G7" s="1328"/>
      <c r="H7" s="1328"/>
      <c r="I7" s="1328"/>
      <c r="J7" s="1329"/>
      <c r="K7" s="3143"/>
      <c r="L7" s="1747" t="s">
        <v>2025</v>
      </c>
      <c r="M7" s="1748">
        <f>SUMPRODUCT((区片价!B158:B205=I2)*(区片价!C3:F3=E2)*(区片价!C158:F205))</f>
        <v>0</v>
      </c>
      <c r="N7" s="1749">
        <f>SUMPRODUCT((因素修正幅度!B158:B205=I2)*(因素修正幅度!C3:F3=E2)*(因素修正幅度!C158:F205))</f>
        <v>0</v>
      </c>
      <c r="O7" s="3143"/>
      <c r="P7" s="3146"/>
      <c r="Q7" s="2007"/>
      <c r="R7" s="2583">
        <v>6</v>
      </c>
      <c r="S7" s="2583">
        <f>ROUND(IF(G3&gt;1,IF(R7&lt;7,SUMPRODUCT((B93:B98=R7)*(C92:N92=G2)*(C93:N98)),SUMIF(C92:N92,G2,C100:N100)),IF(R7&lt;7,SUMPRODUCT((B102:B107=R7)*(C92:N92=G2)*(C102:N107)),SUMIF(C92:N92,G2,C109:N109))),4)</f>
        <v>0</v>
      </c>
      <c r="T7" s="2583" t="e">
        <f t="shared" si="0"/>
        <v>#DIV/0!</v>
      </c>
      <c r="U7" s="2572"/>
      <c r="V7" s="2583" t="e">
        <f t="shared" si="1"/>
        <v>#DIV/0!</v>
      </c>
      <c r="W7" s="2581" t="s">
        <v>2530</v>
      </c>
      <c r="X7" s="2573">
        <f>G2</f>
        <v>0</v>
      </c>
      <c r="Y7" s="2573" t="s">
        <v>2531</v>
      </c>
      <c r="Z7" s="2574">
        <f>G3</f>
        <v>1</v>
      </c>
      <c r="AA7" s="2010"/>
      <c r="AB7" s="2010"/>
      <c r="AC7" s="2011"/>
      <c r="AD7" s="2575"/>
      <c r="AE7" s="2575"/>
      <c r="AF7" s="2575"/>
      <c r="AG7" s="2575"/>
      <c r="AH7" s="2575"/>
      <c r="AI7" s="2575"/>
      <c r="AJ7" s="2576"/>
    </row>
    <row r="8" spans="1:39" ht="15">
      <c r="A8" s="4111"/>
      <c r="B8" s="1312" t="s">
        <v>904</v>
      </c>
      <c r="C8" s="1418"/>
      <c r="D8" s="1010" t="s">
        <v>905</v>
      </c>
      <c r="E8" s="1011" t="e">
        <f>ROUND(C11/E7,4)</f>
        <v>#DIV/0!</v>
      </c>
      <c r="F8" s="1330" t="s">
        <v>906</v>
      </c>
      <c r="G8" s="1331"/>
      <c r="H8" s="1331"/>
      <c r="I8" s="1331"/>
      <c r="J8" s="1332"/>
      <c r="K8" s="3143"/>
      <c r="L8" s="1747" t="s">
        <v>2026</v>
      </c>
      <c r="M8" s="1748">
        <f>SUMPRODUCT((区片价!B206:B244=I2)*(区片价!C3:F3=E2)*(区片价!C206:F244))</f>
        <v>0</v>
      </c>
      <c r="N8" s="1749">
        <f>SUMPRODUCT((因素修正幅度!B206:B244=I2)*(因素修正幅度!C3:F3=E2)*(因素修正幅度!C206:F244))</f>
        <v>0</v>
      </c>
      <c r="O8" s="3143"/>
      <c r="P8" s="2007"/>
      <c r="Q8" s="2007"/>
      <c r="R8" s="2583">
        <v>7</v>
      </c>
      <c r="S8" s="2572"/>
      <c r="T8" s="2583" t="e">
        <f t="shared" si="0"/>
        <v>#DIV/0!</v>
      </c>
      <c r="U8" s="2572"/>
      <c r="V8" s="2583" t="e">
        <f t="shared" si="1"/>
        <v>#DIV/0!</v>
      </c>
      <c r="W8" s="4097" t="s">
        <v>2548</v>
      </c>
      <c r="X8" s="4098"/>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111"/>
      <c r="B9" s="1312" t="s">
        <v>907</v>
      </c>
      <c r="C9" s="1012">
        <f>SUMIF(修正!C71:C139,C8,修正!E71:E139)</f>
        <v>0</v>
      </c>
      <c r="D9" s="1013" t="s">
        <v>908</v>
      </c>
      <c r="E9" s="1013" t="e">
        <f>ROUND(C11/E7,4)</f>
        <v>#DIV/0!</v>
      </c>
      <c r="F9" s="1330" t="s">
        <v>909</v>
      </c>
      <c r="G9" s="1331"/>
      <c r="H9" s="1331"/>
      <c r="I9" s="1331"/>
      <c r="J9" s="1332"/>
      <c r="K9" s="3143"/>
      <c r="L9" s="1747" t="s">
        <v>2027</v>
      </c>
      <c r="M9" s="1748">
        <f>SUMPRODUCT((区片价!B245:B289=I2)*(区片价!C3:F3=E2)*(区片价!C245:F289))</f>
        <v>0</v>
      </c>
      <c r="N9" s="1749">
        <f>SUMPRODUCT((因素修正幅度!B245:B289=I2)*(因素修正幅度!C3:F3=E2)*(因素修正幅度!C245:F289))</f>
        <v>0</v>
      </c>
      <c r="O9" s="3143"/>
      <c r="P9" s="2007"/>
      <c r="Q9" s="2007"/>
      <c r="R9" s="2583">
        <v>8</v>
      </c>
      <c r="S9" s="2572"/>
      <c r="T9" s="2583" t="e">
        <f t="shared" si="0"/>
        <v>#DIV/0!</v>
      </c>
      <c r="U9" s="2572"/>
      <c r="V9" s="2583" t="e">
        <f t="shared" si="1"/>
        <v>#DIV/0!</v>
      </c>
      <c r="W9" s="4096"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111"/>
      <c r="B10" s="1312" t="s">
        <v>910</v>
      </c>
      <c r="C10" s="1013">
        <f>SUMIF(修正!C71:C139,C8,修正!F71:F139)</f>
        <v>0</v>
      </c>
      <c r="D10" s="1013" t="s">
        <v>911</v>
      </c>
      <c r="E10" s="1013" t="e">
        <f>ROUND(C11/E7,4)</f>
        <v>#DIV/0!</v>
      </c>
      <c r="F10" s="1330" t="s">
        <v>912</v>
      </c>
      <c r="G10" s="1331"/>
      <c r="H10" s="1331"/>
      <c r="I10" s="1331"/>
      <c r="J10" s="1332"/>
      <c r="K10" s="3143"/>
      <c r="L10" s="1747" t="s">
        <v>2028</v>
      </c>
      <c r="M10" s="1748">
        <f>SUMPRODUCT((区片价!B290:B316=I2)*(区片价!C3:F3=E2)*(区片价!C290:F316))</f>
        <v>0</v>
      </c>
      <c r="N10" s="1749">
        <f>SUMPRODUCT((因素修正幅度!B290:B316=I2)*(因素修正幅度!C3:F3=E2)*(因素修正幅度!C290:F316))</f>
        <v>0</v>
      </c>
      <c r="O10" s="3143"/>
      <c r="P10" s="2007"/>
      <c r="Q10" s="2007"/>
      <c r="R10" s="2583">
        <v>9</v>
      </c>
      <c r="S10" s="2572"/>
      <c r="T10" s="2583" t="e">
        <f t="shared" si="0"/>
        <v>#DIV/0!</v>
      </c>
      <c r="U10" s="2572"/>
      <c r="V10" s="2583" t="e">
        <f t="shared" si="1"/>
        <v>#DIV/0!</v>
      </c>
      <c r="W10" s="4096"/>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111"/>
      <c r="B11" s="1333" t="s">
        <v>913</v>
      </c>
      <c r="C11" s="1014">
        <f>C10/4</f>
        <v>0</v>
      </c>
      <c r="D11" s="1014" t="s">
        <v>914</v>
      </c>
      <c r="E11" s="1014" t="e">
        <f>ROUND(C11/E7,4)</f>
        <v>#DIV/0!</v>
      </c>
      <c r="F11" s="1334" t="s">
        <v>915</v>
      </c>
      <c r="G11" s="1335"/>
      <c r="H11" s="1335"/>
      <c r="I11" s="1335"/>
      <c r="J11" s="1336"/>
      <c r="K11" s="3143"/>
      <c r="L11" s="1747" t="s">
        <v>2029</v>
      </c>
      <c r="M11" s="1748">
        <f>SUMPRODUCT((区片价!B317:B337=I2)*(区片价!C3:F3=E2)*(区片价!C317:F337))</f>
        <v>0</v>
      </c>
      <c r="N11" s="1749">
        <f>SUMPRODUCT((因素修正幅度!B317:B337=I2)*(因素修正幅度!C3:F3=E2)*(因素修正幅度!C317:F337))</f>
        <v>0</v>
      </c>
      <c r="O11" s="3143"/>
      <c r="P11" s="2007"/>
      <c r="Q11" s="2007"/>
      <c r="R11" s="2583">
        <v>10</v>
      </c>
      <c r="S11" s="2572"/>
      <c r="T11" s="2583" t="e">
        <f t="shared" si="0"/>
        <v>#DIV/0!</v>
      </c>
      <c r="U11" s="2572"/>
      <c r="V11" s="2583" t="e">
        <f t="shared" si="1"/>
        <v>#DIV/0!</v>
      </c>
      <c r="W11" s="4096" t="s">
        <v>2546</v>
      </c>
      <c r="X11" s="1013" t="s">
        <v>2531</v>
      </c>
      <c r="Y11" s="1530">
        <f>$G$3</f>
        <v>1</v>
      </c>
      <c r="Z11" s="1530">
        <f t="shared" ref="Z11:AJ11" si="3">$G$3</f>
        <v>1</v>
      </c>
      <c r="AA11" s="1530">
        <f t="shared" si="3"/>
        <v>1</v>
      </c>
      <c r="AB11" s="1530">
        <f t="shared" si="3"/>
        <v>1</v>
      </c>
      <c r="AC11" s="1530">
        <f t="shared" si="3"/>
        <v>1</v>
      </c>
      <c r="AD11" s="1530">
        <f t="shared" si="3"/>
        <v>1</v>
      </c>
      <c r="AE11" s="1530">
        <f t="shared" si="3"/>
        <v>1</v>
      </c>
      <c r="AF11" s="1530">
        <f t="shared" si="3"/>
        <v>1</v>
      </c>
      <c r="AG11" s="1530">
        <f t="shared" si="3"/>
        <v>1</v>
      </c>
      <c r="AH11" s="1530">
        <f t="shared" si="3"/>
        <v>1</v>
      </c>
      <c r="AI11" s="1530">
        <f t="shared" si="3"/>
        <v>1</v>
      </c>
      <c r="AJ11" s="1530">
        <f t="shared" si="3"/>
        <v>1</v>
      </c>
    </row>
    <row r="12" spans="1:39" ht="25.5" thickBot="1">
      <c r="A12" s="4110" t="s">
        <v>1656</v>
      </c>
      <c r="B12" s="1337" t="s">
        <v>916</v>
      </c>
      <c r="C12" s="1008">
        <f>ROUND(C15*D15*E15*F15*G15*H15*I15*J15,4)</f>
        <v>1</v>
      </c>
      <c r="D12" s="1338" t="s">
        <v>917</v>
      </c>
      <c r="E12" s="1339"/>
      <c r="F12" s="1339"/>
      <c r="G12" s="1340"/>
      <c r="H12" s="1340"/>
      <c r="I12" s="1340"/>
      <c r="J12" s="1341"/>
      <c r="K12" s="3143"/>
      <c r="L12" s="1750" t="s">
        <v>2030</v>
      </c>
      <c r="M12" s="1751">
        <f>SUMPRODUCT((区片价!B338:B344=I2)*(区片价!C3:F3=E2)*(区片价!C338:F344))</f>
        <v>0</v>
      </c>
      <c r="N12" s="1752">
        <f>SUMPRODUCT((因素修正幅度!B338:B344=I2)*(因素修正幅度!C3:F3=E2)*(因素修正幅度!C338:F344))</f>
        <v>0</v>
      </c>
      <c r="O12" s="3143"/>
      <c r="P12" s="2007"/>
      <c r="Q12" s="2007"/>
      <c r="R12" s="2583">
        <v>11</v>
      </c>
      <c r="S12" s="2572"/>
      <c r="T12" s="2583" t="e">
        <f t="shared" si="0"/>
        <v>#DIV/0!</v>
      </c>
      <c r="U12" s="2572"/>
      <c r="V12" s="2583" t="e">
        <f t="shared" si="1"/>
        <v>#DIV/0!</v>
      </c>
      <c r="W12" s="4096"/>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112"/>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096"/>
      <c r="X13" s="2580"/>
      <c r="Y13" s="2579">
        <f>(-0.163*(Y12^2)-0.59*Y12+7617)*(10^(-4))/Y11</f>
        <v>0.76170000000000004</v>
      </c>
      <c r="Z13" s="2579">
        <f t="shared" ref="Z13:AJ13" si="5">(-0.163*(Z12^2)-0.59*Z12+7617)*(10^(-4))/Z11</f>
        <v>0.76170000000000004</v>
      </c>
      <c r="AA13" s="2579">
        <f t="shared" si="5"/>
        <v>0.76170000000000004</v>
      </c>
      <c r="AB13" s="2579">
        <f t="shared" si="5"/>
        <v>0.76170000000000004</v>
      </c>
      <c r="AC13" s="2579">
        <f t="shared" si="5"/>
        <v>0.76170000000000004</v>
      </c>
      <c r="AD13" s="2579">
        <f t="shared" si="5"/>
        <v>0.76170000000000004</v>
      </c>
      <c r="AE13" s="2579">
        <f t="shared" si="5"/>
        <v>0.76170000000000004</v>
      </c>
      <c r="AF13" s="2579">
        <f t="shared" si="5"/>
        <v>0.76170000000000004</v>
      </c>
      <c r="AG13" s="2579">
        <f t="shared" si="5"/>
        <v>0.76170000000000004</v>
      </c>
      <c r="AH13" s="2579">
        <f t="shared" si="5"/>
        <v>0.76170000000000004</v>
      </c>
      <c r="AI13" s="2579">
        <f t="shared" si="5"/>
        <v>0.76170000000000004</v>
      </c>
      <c r="AJ13" s="2579">
        <f t="shared" si="5"/>
        <v>0.76170000000000004</v>
      </c>
    </row>
    <row r="14" spans="1:39" ht="12.75" customHeight="1">
      <c r="A14" s="4112"/>
      <c r="B14" s="1349"/>
      <c r="C14" s="1350"/>
      <c r="D14" s="1351"/>
      <c r="E14" s="1351"/>
      <c r="F14" s="1352"/>
      <c r="G14" s="1353" t="s">
        <v>919</v>
      </c>
      <c r="H14" s="1354"/>
      <c r="I14" s="1355"/>
      <c r="J14" s="1356"/>
      <c r="K14" s="3144"/>
      <c r="L14" s="3144"/>
      <c r="M14" s="3144"/>
      <c r="N14" s="3144"/>
      <c r="O14" s="3144"/>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113"/>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110" t="s">
        <v>1629</v>
      </c>
      <c r="B16" s="1325" t="s">
        <v>920</v>
      </c>
      <c r="C16" s="1017" t="e">
        <f>ROUND(IF(F17="与级别开发程度一致",0,(G17-E17)/C17),0)</f>
        <v>#DIV/0!</v>
      </c>
      <c r="D16" s="4104" t="s">
        <v>924</v>
      </c>
      <c r="E16" s="4105"/>
      <c r="F16" s="4104" t="s">
        <v>921</v>
      </c>
      <c r="G16" s="4105"/>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114"/>
      <c r="B17" s="2781" t="s">
        <v>923</v>
      </c>
      <c r="C17" s="2782">
        <f>SUMPRODUCT((修正!A2:A7=E2)*(修正!B1:M1=G2)*(修正!B2:M7))</f>
        <v>0</v>
      </c>
      <c r="D17" s="2783" t="str">
        <f>IF(OR(G2="八级",G2="九级",G2="十级",G2="十一级",G2="十二级"),"五通一平","七通一平")</f>
        <v>七通一平</v>
      </c>
      <c r="E17" s="2773">
        <f>SUMPRODUCT((修正!B1:M1=G2)*(修正!B17:M17))</f>
        <v>0</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2"/>
      <c r="L18" s="2761"/>
      <c r="M18" s="2761"/>
      <c r="N18" s="2761"/>
      <c r="O18" s="2761"/>
      <c r="P18" s="3147"/>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44867</v>
      </c>
      <c r="H19" s="1365"/>
      <c r="I19" s="2434" t="str">
        <f>IF(H19="季度增幅（自定义）",SUMIF(N21:N24,E2,O21:O24),"")</f>
        <v/>
      </c>
      <c r="J19" s="1361"/>
      <c r="K19" s="3142"/>
      <c r="L19" s="2680" t="s">
        <v>2603</v>
      </c>
      <c r="M19" s="2681">
        <f>ROUND(SUMIF(地价!B2:F2,E2,地价!B41:F41),0)</f>
        <v>0</v>
      </c>
      <c r="N19" s="2436" t="s">
        <v>1467</v>
      </c>
      <c r="O19" s="2435">
        <f>ROUNDDOWN(DATEDIF(E19,G19,"M")/3,0)</f>
        <v>35</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f>IF(B21="容积率修正",IF(G3&lt;=10,D22,J22),C23)</f>
        <v>0</v>
      </c>
      <c r="D21" s="1371"/>
      <c r="E21" s="1371"/>
      <c r="F21" s="1371"/>
      <c r="G21" s="1371"/>
      <c r="H21" s="1371"/>
      <c r="I21" s="1371"/>
      <c r="J21" s="1372"/>
      <c r="K21" s="3142"/>
      <c r="L21" s="1371"/>
      <c r="M21" s="1371"/>
      <c r="N21" s="1368" t="s">
        <v>945</v>
      </c>
      <c r="O21" s="1431"/>
      <c r="P21" s="2426">
        <f>SUMPRODUCT((地价!A3:A41=YEAR(G19)&amp;"-"&amp;ROUNDUP(MONTH(G19)/3,0))*(地价!AD2:AH2=N21)*(地价!AD3:AH41))</f>
        <v>9.4999999999999998E-3</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1</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48"/>
      <c r="L22" s="1371"/>
      <c r="M22" s="1371"/>
      <c r="N22" s="1368" t="s">
        <v>948</v>
      </c>
      <c r="O22" s="1431"/>
      <c r="P22" s="2426">
        <f>SUMPRODUCT((地价!A3:A41=YEAR(G19)&amp;"-"&amp;ROUNDUP(MONTH(G19)/3,0))*(地价!AD2:AH2=N22)*(地价!AD3:AH41))</f>
        <v>9.4999999999999998E-3</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f>ROUND(IF(G3&gt;1,IF(I3&lt;7,SUMPRODUCT((B93:B98=I3)*(C92:N92=G2)*(C93:N98)),SUMIF(C92:N92,G2,C100:N100)),IF(I3&lt;7,SUMPRODUCT((B102:B107=I3)*(C92:N92=G2)*(C102:N107)),SUMIF(C92:N92,G2,C109:N109))),4)</f>
        <v>0</v>
      </c>
      <c r="D23" s="1419"/>
      <c r="E23" s="1419"/>
      <c r="F23" s="1420"/>
      <c r="G23" s="1421"/>
      <c r="H23" s="1422"/>
      <c r="I23" s="1423"/>
      <c r="J23" s="1423"/>
      <c r="K23" s="3149"/>
      <c r="L23" s="1299"/>
      <c r="M23" s="1299"/>
      <c r="N23" s="1368" t="s">
        <v>893</v>
      </c>
      <c r="O23" s="1431"/>
      <c r="P23" s="2426">
        <f>SUMPRODUCT((地价!A3:A41=YEAR(G19)&amp;"-"&amp;ROUNDUP(MONTH(G19)/3,0))*(地价!AD2:AH2=N23)*(地价!AD3:AH41))</f>
        <v>1.6899999999999998E-2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49"/>
      <c r="L24" s="1371"/>
      <c r="M24" s="1371"/>
      <c r="N24" s="1368" t="s">
        <v>951</v>
      </c>
      <c r="O24" s="2763"/>
      <c r="P24" s="2426">
        <f>SUMPRODUCT((地价!A3:A41=YEAR(G19)&amp;"-"&amp;ROUNDUP(MONTH(G19)/3,0))*(地价!AD2:AH2=N24)*(地价!AD3:AH41))</f>
        <v>1.12E-2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3"/>
      <c r="L25" s="2013"/>
      <c r="M25" s="2013"/>
      <c r="N25" s="2765" t="s">
        <v>2415</v>
      </c>
      <c r="O25" s="2766"/>
      <c r="P25" s="2239">
        <f>SUMPRODUCT((地价!A3:A41=YEAR(G19)&amp;"-"&amp;ROUNDUP(MONTH(G19)/3,0))*(地价!AD2:AH2=N25)*(地价!AD3:AH41))</f>
        <v>1.5299999999999999E-2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3"/>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3"/>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3"/>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0"/>
      <c r="L29" s="3150"/>
      <c r="M29" s="3150"/>
      <c r="N29" s="3150"/>
      <c r="O29" s="3150"/>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3"/>
      <c r="L30" s="3143"/>
      <c r="M30" s="3143"/>
      <c r="N30" s="3143"/>
      <c r="O30" s="3143"/>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3"/>
      <c r="L31" s="3143"/>
      <c r="M31" s="3143"/>
      <c r="N31" s="3143"/>
      <c r="O31" s="3143"/>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1"/>
      <c r="L32" s="3151"/>
      <c r="M32" s="3151"/>
      <c r="N32" s="3151"/>
      <c r="O32" s="3151"/>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106"/>
      <c r="B33" s="1413" t="s">
        <v>969</v>
      </c>
      <c r="C33" s="1024" t="e">
        <f>ROUND(D5*C19*C20*C24*F33,0)</f>
        <v>#DIV/0!</v>
      </c>
      <c r="D33" s="1426"/>
      <c r="E33" s="1013" t="e">
        <f>ROUND(C33*D33/10000,0)</f>
        <v>#DIV/0!</v>
      </c>
      <c r="F33" s="1013">
        <f>SUMIF(修正!A57:A68,G2,修正!B57:B68)</f>
        <v>0</v>
      </c>
      <c r="G33" s="1013" t="e">
        <f t="shared" ref="G33" si="6">ROUND(IF(E2="工业",C33*$M$39,C33*$M$38),0)</f>
        <v>#DIV/0!</v>
      </c>
      <c r="H33" s="1013">
        <f>D33</f>
        <v>0</v>
      </c>
      <c r="I33" s="1013" t="e">
        <f>ROUND(G33*H33/10000,0)</f>
        <v>#DIV/0!</v>
      </c>
      <c r="J33" s="4106" t="s">
        <v>2769</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107"/>
      <c r="B34" s="1343" t="s">
        <v>970</v>
      </c>
      <c r="C34" s="1024" t="e">
        <f>ROUND(D5*C19*C20*C24*F34,0)</f>
        <v>#DIV/0!</v>
      </c>
      <c r="D34" s="1426"/>
      <c r="E34" s="1013" t="e">
        <f t="shared" ref="E34:E39" si="7">ROUND(C34*D34/10000,0)</f>
        <v>#DIV/0!</v>
      </c>
      <c r="F34" s="1013">
        <f>SUMIF(修正!A57:A68,G2,修正!C57:C68)</f>
        <v>0</v>
      </c>
      <c r="G34" s="1013" t="e">
        <f>ROUND(IF(E2="工业",C34*$M$39,C34*$M$38),0)</f>
        <v>#DIV/0!</v>
      </c>
      <c r="H34" s="1013">
        <f t="shared" ref="H34:H39" si="8">D34</f>
        <v>0</v>
      </c>
      <c r="I34" s="1013" t="e">
        <f t="shared" ref="I34:I39" si="9">ROUND(G34*H34/10000,0)</f>
        <v>#DIV/0!</v>
      </c>
      <c r="J34" s="4107"/>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107"/>
      <c r="B35" s="1343" t="s">
        <v>971</v>
      </c>
      <c r="C35" s="1024" t="e">
        <f>ROUND(D5*C19*C20*C24*F35,0)</f>
        <v>#DIV/0!</v>
      </c>
      <c r="D35" s="1426"/>
      <c r="E35" s="1013" t="e">
        <f t="shared" si="7"/>
        <v>#DIV/0!</v>
      </c>
      <c r="F35" s="1013">
        <f>SUMIF(修正!A57:A68,G2,修正!D57:D68)</f>
        <v>0</v>
      </c>
      <c r="G35" s="1013" t="e">
        <f>ROUND(IF(E2="工业",C35*$M$39,C35*$M$38),0)</f>
        <v>#DIV/0!</v>
      </c>
      <c r="H35" s="1013">
        <f t="shared" si="8"/>
        <v>0</v>
      </c>
      <c r="I35" s="1013" t="e">
        <f t="shared" si="9"/>
        <v>#DIV/0!</v>
      </c>
      <c r="J35" s="4107"/>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108"/>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108"/>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2728</v>
      </c>
      <c r="C41" s="807" t="e">
        <f>ROUND(POWER(1+E41,H41-G41)*(POWER(1+E41,G41)-1)/(POWER(1+E41,H41)-1),4)</f>
        <v>#DIV/0!</v>
      </c>
      <c r="D41" s="371" t="s">
        <v>2726</v>
      </c>
      <c r="E41" s="2759">
        <f>G20</f>
        <v>0</v>
      </c>
      <c r="F41" s="371" t="s">
        <v>2727</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2686</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2685</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2687</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2685</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2685</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84">
      <c r="A80" s="1028" t="s">
        <v>1007</v>
      </c>
      <c r="B80" s="2200" t="str">
        <f>估价对象房地状况!G15</f>
        <v>估价对象现状周边以产业用地为主，邻近周边有乐铁设备(北京)有限公司、综合信兴物流(南法信卫生院东北)、安博北京首都机场第二物流中心等，物流企业较多，产业集聚程度较好。</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72">
      <c r="A81" s="1028" t="s">
        <v>1003</v>
      </c>
      <c r="B81" s="2200" t="str">
        <f>估价对象房地状况!G16</f>
        <v>估价对象周边有顺2路、顺27路、顺28路、顺38路、顺43路、顺59路、顺60路等多条公交线路，距地铁15号线（南法信站）约500米，综合评价交通便捷度较好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72">
      <c r="A85" s="1028" t="s">
        <v>997</v>
      </c>
      <c r="B85" s="2201" t="str">
        <f>估价对象房地状况!G20</f>
        <v>估价对象所在区域内基础设施配套条件达到“五通”（包括通路、通电、通讯、通上水、通下水），基本能够保证工作、生产需要，基础设施配套完善度一般。</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2685</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48.75" thickBot="1">
      <c r="A87" s="2233" t="s">
        <v>1008</v>
      </c>
      <c r="B87" s="2202" t="str">
        <f>估价对象房地状况!G18</f>
        <v>区域自然环境：小中河；人文环境：国家新闻出版广电总局研修学院；综合评价环境状况一般</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115" t="s">
        <v>1425</v>
      </c>
      <c r="B90" s="4115"/>
      <c r="C90" s="4115"/>
      <c r="D90" s="4115"/>
      <c r="E90" s="4115"/>
      <c r="F90" s="4115"/>
      <c r="G90" s="4115"/>
      <c r="H90" s="4115"/>
      <c r="I90" s="4115"/>
      <c r="J90" s="4115"/>
      <c r="K90" s="2242"/>
      <c r="L90" s="2242"/>
      <c r="M90" s="2242"/>
      <c r="N90" s="2242"/>
    </row>
    <row r="91" spans="1:40">
      <c r="A91" s="4116" t="s">
        <v>1413</v>
      </c>
      <c r="B91" s="4116" t="s">
        <v>1426</v>
      </c>
      <c r="C91" s="1082" t="s">
        <v>1427</v>
      </c>
      <c r="D91" s="1083"/>
      <c r="E91" s="1083"/>
      <c r="F91" s="1083"/>
      <c r="G91" s="1083"/>
      <c r="H91" s="1083"/>
      <c r="I91" s="1083"/>
      <c r="J91" s="1084"/>
      <c r="K91" s="1076"/>
      <c r="L91" s="1076"/>
      <c r="M91" s="1076"/>
      <c r="N91" s="1076"/>
    </row>
    <row r="92" spans="1:40">
      <c r="A92" s="4116"/>
      <c r="B92" s="4116"/>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099"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00"/>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00"/>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00"/>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00"/>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00"/>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00"/>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01"/>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099" t="s">
        <v>1429</v>
      </c>
      <c r="B101" s="1089" t="s">
        <v>876</v>
      </c>
      <c r="C101" s="1090">
        <f>$G$3</f>
        <v>1</v>
      </c>
      <c r="D101" s="1090">
        <f t="shared" ref="D101:N101" si="31">$G$3</f>
        <v>1</v>
      </c>
      <c r="E101" s="1090">
        <f t="shared" si="31"/>
        <v>1</v>
      </c>
      <c r="F101" s="1090">
        <f t="shared" si="31"/>
        <v>1</v>
      </c>
      <c r="G101" s="1090">
        <f t="shared" si="31"/>
        <v>1</v>
      </c>
      <c r="H101" s="1090">
        <f t="shared" si="31"/>
        <v>1</v>
      </c>
      <c r="I101" s="1090">
        <f t="shared" si="31"/>
        <v>1</v>
      </c>
      <c r="J101" s="1090">
        <f t="shared" si="31"/>
        <v>1</v>
      </c>
      <c r="K101" s="1090">
        <f t="shared" si="31"/>
        <v>1</v>
      </c>
      <c r="L101" s="1090">
        <f t="shared" si="31"/>
        <v>1</v>
      </c>
      <c r="M101" s="1090">
        <f t="shared" si="31"/>
        <v>1</v>
      </c>
      <c r="N101" s="1090">
        <f t="shared" si="31"/>
        <v>1</v>
      </c>
    </row>
    <row r="102" spans="1:14">
      <c r="A102" s="4100"/>
      <c r="B102" s="1085">
        <v>1</v>
      </c>
      <c r="C102" s="1086">
        <f>1.9362/C101</f>
        <v>1.9361999999999999</v>
      </c>
      <c r="D102" s="1086">
        <f>1.9362/D101</f>
        <v>1.9361999999999999</v>
      </c>
      <c r="E102" s="1086">
        <f>1.8629/E101</f>
        <v>1.8629</v>
      </c>
      <c r="F102" s="1086">
        <f>1.8629/F101</f>
        <v>1.8629</v>
      </c>
      <c r="G102" s="1086">
        <f>1.8629/G101</f>
        <v>1.8629</v>
      </c>
      <c r="H102" s="1086">
        <f>1.8629/H101</f>
        <v>1.8629</v>
      </c>
      <c r="I102" s="1086">
        <f>1.8629/I101</f>
        <v>1.8629</v>
      </c>
      <c r="J102" s="1086">
        <f>1.942/J101</f>
        <v>1.9419999999999999</v>
      </c>
      <c r="K102" s="1086">
        <f>1.942/K101</f>
        <v>1.9419999999999999</v>
      </c>
      <c r="L102" s="1086">
        <f>1.942/L101</f>
        <v>1.9419999999999999</v>
      </c>
      <c r="M102" s="1086">
        <f>1.942/M101</f>
        <v>1.9419999999999999</v>
      </c>
      <c r="N102" s="1086">
        <f>1.942/N101</f>
        <v>1.9419999999999999</v>
      </c>
    </row>
    <row r="103" spans="1:14">
      <c r="A103" s="4100"/>
      <c r="B103" s="1085">
        <v>2</v>
      </c>
      <c r="C103" s="1086">
        <f>1.4198/C101</f>
        <v>1.4198</v>
      </c>
      <c r="D103" s="1086">
        <f>1.4198/D101</f>
        <v>1.4198</v>
      </c>
      <c r="E103" s="1086">
        <f>1.3372/E101</f>
        <v>1.3371999999999999</v>
      </c>
      <c r="F103" s="1086">
        <f>1.3372/F101</f>
        <v>1.3371999999999999</v>
      </c>
      <c r="G103" s="1086">
        <f>1.3372/G101</f>
        <v>1.3371999999999999</v>
      </c>
      <c r="H103" s="1086">
        <f>1.3372/H101</f>
        <v>1.3371999999999999</v>
      </c>
      <c r="I103" s="1086">
        <f>1.3372/I101</f>
        <v>1.3371999999999999</v>
      </c>
      <c r="J103" s="1086">
        <f>1.2799/J101</f>
        <v>1.2799</v>
      </c>
      <c r="K103" s="1086">
        <f>1.2799/K101</f>
        <v>1.2799</v>
      </c>
      <c r="L103" s="1086">
        <f>1.2799/L101</f>
        <v>1.2799</v>
      </c>
      <c r="M103" s="1086">
        <f>1.2799/M101</f>
        <v>1.2799</v>
      </c>
      <c r="N103" s="1086">
        <f>1.2799/N101</f>
        <v>1.2799</v>
      </c>
    </row>
    <row r="104" spans="1:14">
      <c r="A104" s="4100"/>
      <c r="B104" s="1085">
        <v>3</v>
      </c>
      <c r="C104" s="1086">
        <f>1.1594/C101</f>
        <v>1.1594</v>
      </c>
      <c r="D104" s="1086">
        <f>1.1594/D101</f>
        <v>1.1594</v>
      </c>
      <c r="E104" s="1086">
        <f>1.0788/E101</f>
        <v>1.0788</v>
      </c>
      <c r="F104" s="1086">
        <f>1.0788/F101</f>
        <v>1.0788</v>
      </c>
      <c r="G104" s="1086">
        <f>1.0788/G101</f>
        <v>1.0788</v>
      </c>
      <c r="H104" s="1086">
        <f>1.0788/H101</f>
        <v>1.0788</v>
      </c>
      <c r="I104" s="1086">
        <f>1.0788/I101</f>
        <v>1.0788</v>
      </c>
      <c r="J104" s="1086">
        <f>1.0072/J101</f>
        <v>1.0072000000000001</v>
      </c>
      <c r="K104" s="1086">
        <f>1.0072/K101</f>
        <v>1.0072000000000001</v>
      </c>
      <c r="L104" s="1086">
        <f>1.0072/L101</f>
        <v>1.0072000000000001</v>
      </c>
      <c r="M104" s="1086">
        <f>1.0072/M101</f>
        <v>1.0072000000000001</v>
      </c>
      <c r="N104" s="1086">
        <f>1.0072/N101</f>
        <v>1.0072000000000001</v>
      </c>
    </row>
    <row r="105" spans="1:14">
      <c r="A105" s="4100"/>
      <c r="B105" s="1085">
        <v>4</v>
      </c>
      <c r="C105" s="1086">
        <f>0.9622/C101</f>
        <v>0.96220000000000006</v>
      </c>
      <c r="D105" s="1086">
        <f>0.9622/D101</f>
        <v>0.96220000000000006</v>
      </c>
      <c r="E105" s="1086">
        <f>0.8656/E101</f>
        <v>0.86560000000000004</v>
      </c>
      <c r="F105" s="1086">
        <f>0.8656/F101</f>
        <v>0.86560000000000004</v>
      </c>
      <c r="G105" s="1086">
        <f>0.8656/G101</f>
        <v>0.86560000000000004</v>
      </c>
      <c r="H105" s="1086">
        <f>0.8656/H101</f>
        <v>0.86560000000000004</v>
      </c>
      <c r="I105" s="1086">
        <f>0.8656/I101</f>
        <v>0.86560000000000004</v>
      </c>
      <c r="J105" s="1086">
        <f>0.7525/J101</f>
        <v>0.75249999999999995</v>
      </c>
      <c r="K105" s="1086">
        <f>0.7525/K101</f>
        <v>0.75249999999999995</v>
      </c>
      <c r="L105" s="1086">
        <f>0.7525/L101</f>
        <v>0.75249999999999995</v>
      </c>
      <c r="M105" s="1086">
        <f>0.7525/M101</f>
        <v>0.75249999999999995</v>
      </c>
      <c r="N105" s="1086">
        <f>0.7525/N101</f>
        <v>0.75249999999999995</v>
      </c>
    </row>
    <row r="106" spans="1:14">
      <c r="A106" s="4100"/>
      <c r="B106" s="1085">
        <v>5</v>
      </c>
      <c r="C106" s="1086">
        <f>0.8417/C101</f>
        <v>0.8417</v>
      </c>
      <c r="D106" s="1086">
        <f>0.8417/D101</f>
        <v>0.8417</v>
      </c>
      <c r="E106" s="1086">
        <f>0.7371/E101</f>
        <v>0.73709999999999998</v>
      </c>
      <c r="F106" s="1086">
        <f>0.7371/F101</f>
        <v>0.73709999999999998</v>
      </c>
      <c r="G106" s="1086">
        <f>0.7371/G101</f>
        <v>0.73709999999999998</v>
      </c>
      <c r="H106" s="1086">
        <f>0.7371/H101</f>
        <v>0.73709999999999998</v>
      </c>
      <c r="I106" s="1086">
        <f>0.7371/I101</f>
        <v>0.73709999999999998</v>
      </c>
      <c r="J106" s="1086">
        <f>0.5659/J101</f>
        <v>0.56589999999999996</v>
      </c>
      <c r="K106" s="1086">
        <f>0.5659/K101</f>
        <v>0.56589999999999996</v>
      </c>
      <c r="L106" s="1086">
        <f>0.5659/L101</f>
        <v>0.56589999999999996</v>
      </c>
      <c r="M106" s="1086">
        <f>0.5659/M101</f>
        <v>0.56589999999999996</v>
      </c>
      <c r="N106" s="1086">
        <f>0.5659/N101</f>
        <v>0.56589999999999996</v>
      </c>
    </row>
    <row r="107" spans="1:14">
      <c r="A107" s="4100"/>
      <c r="B107" s="1085">
        <v>6</v>
      </c>
      <c r="C107" s="1086">
        <f>0.7608/C101</f>
        <v>0.76080000000000003</v>
      </c>
      <c r="D107" s="1086">
        <f>0.7608/D101</f>
        <v>0.76080000000000003</v>
      </c>
      <c r="E107" s="1086">
        <f>0.6482/E101</f>
        <v>0.6482</v>
      </c>
      <c r="F107" s="1086">
        <f>0.6482/F101</f>
        <v>0.6482</v>
      </c>
      <c r="G107" s="1086">
        <f>0.6482/G101</f>
        <v>0.6482</v>
      </c>
      <c r="H107" s="1086">
        <f>0.6482/H101</f>
        <v>0.6482</v>
      </c>
      <c r="I107" s="1086">
        <f>0.6482/I101</f>
        <v>0.6482</v>
      </c>
      <c r="J107" s="1086">
        <f>0.4525/J101</f>
        <v>0.45250000000000001</v>
      </c>
      <c r="K107" s="1086">
        <f>0.4525/K101</f>
        <v>0.45250000000000001</v>
      </c>
      <c r="L107" s="1086">
        <f>0.4525/L101</f>
        <v>0.45250000000000001</v>
      </c>
      <c r="M107" s="1086">
        <f>0.4525/M101</f>
        <v>0.45250000000000001</v>
      </c>
      <c r="N107" s="1086">
        <f>0.4525/N101</f>
        <v>0.45250000000000001</v>
      </c>
    </row>
    <row r="108" spans="1:14">
      <c r="A108" s="4100"/>
      <c r="B108" s="4102"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01"/>
      <c r="B109" s="4103"/>
      <c r="C109" s="1088">
        <f>(-0.163*(C108^2)-0.59*C108+7617)*(10^(-4))/C101</f>
        <v>0.76170000000000004</v>
      </c>
      <c r="D109" s="1088">
        <f>(-0.163*(D108^2)-0.59*D108+7617)*(10^(-4))/D101</f>
        <v>0.76170000000000004</v>
      </c>
      <c r="E109" s="1088">
        <f>(-0.161*(E108^2)-7.509*E108+6533)*(10^(-4))/E101</f>
        <v>0.65329999999999999</v>
      </c>
      <c r="F109" s="1088">
        <f>(-0.161*(F108^2)-7.509*F108+6533)*(10^(-4))/F101</f>
        <v>0.65329999999999999</v>
      </c>
      <c r="G109" s="1088">
        <f>(-0.161*(G108^2)-7.509*G108+6533)*(10^(-4))/G101</f>
        <v>0.65329999999999999</v>
      </c>
      <c r="H109" s="1088">
        <f>(-0.161*(H108^2)-7.509*H108+6533)*(10^(-4))/H101</f>
        <v>0.65329999999999999</v>
      </c>
      <c r="I109" s="1088">
        <f>(-0.161*(I108^2)-7.509*I108+6533)*(10^(-4))/I101</f>
        <v>0.65329999999999999</v>
      </c>
      <c r="J109" s="1088">
        <f>(-0.214*(J108^2)-21.991*J108+4665)*(10^(-4))/J101</f>
        <v>0.46650000000000003</v>
      </c>
      <c r="K109" s="1088">
        <f>(-0.214*(K108^2)-21.991*K108+4665)*(10^(-4))/K101</f>
        <v>0.46650000000000003</v>
      </c>
      <c r="L109" s="1088">
        <f>(-0.214*(L108^2)-21.991*L108+4665)*(10^(-4))/L101</f>
        <v>0.46650000000000003</v>
      </c>
      <c r="M109" s="1088">
        <f>(-0.214*(M108^2)-21.991*M108+4665)*(10^(-4))/M101</f>
        <v>0.46650000000000003</v>
      </c>
      <c r="N109" s="1088">
        <f>(-0.214*(N108^2)-21.991*N108+4665)*(10^(-4))/N101</f>
        <v>0.46650000000000003</v>
      </c>
    </row>
    <row r="110" spans="1:14">
      <c r="A110" s="4109" t="s">
        <v>1431</v>
      </c>
      <c r="B110" s="4109"/>
      <c r="C110" s="4109"/>
      <c r="D110" s="4109"/>
      <c r="E110" s="4109"/>
      <c r="F110" s="4109"/>
      <c r="G110" s="4109"/>
      <c r="H110" s="4109"/>
      <c r="I110" s="4109"/>
      <c r="J110" s="4109"/>
      <c r="K110" s="2240"/>
      <c r="L110" s="2240"/>
      <c r="M110" s="2240"/>
      <c r="N110" s="2240"/>
    </row>
    <row r="112" spans="1:14" ht="12.75" thickBot="1"/>
    <row r="113" spans="1:13" ht="25.5" thickBot="1">
      <c r="A113" s="981" t="s">
        <v>866</v>
      </c>
      <c r="B113" s="2243">
        <f>G3</f>
        <v>1</v>
      </c>
      <c r="C113" s="982" t="s">
        <v>867</v>
      </c>
      <c r="D113" s="983">
        <f>SUMPRODUCT((A115:A118=F113)*(B114:M114=H113)*B115:M118)</f>
        <v>0</v>
      </c>
      <c r="E113" s="984" t="s">
        <v>868</v>
      </c>
      <c r="F113" s="985">
        <f>E2</f>
        <v>0</v>
      </c>
      <c r="G113" s="984" t="s">
        <v>869</v>
      </c>
      <c r="H113" s="985">
        <f>G2</f>
        <v>0</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0.92410000000000003</v>
      </c>
      <c r="C115" s="995">
        <f>B115</f>
        <v>0.92410000000000003</v>
      </c>
      <c r="D115" s="995">
        <f>ROUND(0.8331-0.0109*B113,4)</f>
        <v>0.82220000000000004</v>
      </c>
      <c r="E115" s="995">
        <f>D115</f>
        <v>0.82220000000000004</v>
      </c>
      <c r="F115" s="995">
        <f>E115</f>
        <v>0.82220000000000004</v>
      </c>
      <c r="G115" s="995">
        <f>F115</f>
        <v>0.82220000000000004</v>
      </c>
      <c r="H115" s="995">
        <f>G115</f>
        <v>0.82220000000000004</v>
      </c>
      <c r="I115" s="995">
        <f>ROUND(0.689-0.0155*B113,4)</f>
        <v>0.67349999999999999</v>
      </c>
      <c r="J115" s="995">
        <f t="shared" ref="J115:M118" si="33">I115</f>
        <v>0.67349999999999999</v>
      </c>
      <c r="K115" s="995">
        <f t="shared" si="33"/>
        <v>0.67349999999999999</v>
      </c>
      <c r="L115" s="995">
        <f t="shared" si="33"/>
        <v>0.67349999999999999</v>
      </c>
      <c r="M115" s="996">
        <f t="shared" si="33"/>
        <v>0.67349999999999999</v>
      </c>
    </row>
    <row r="116" spans="1:13" ht="12.75">
      <c r="A116" s="994" t="s">
        <v>871</v>
      </c>
      <c r="B116" s="995">
        <f>ROUND(0.949-0.012*B113,4)</f>
        <v>0.93700000000000006</v>
      </c>
      <c r="C116" s="995">
        <f>B116</f>
        <v>0.93700000000000006</v>
      </c>
      <c r="D116" s="995">
        <f>ROUND(0.8567-0.013*B113,4)</f>
        <v>0.84370000000000001</v>
      </c>
      <c r="E116" s="995">
        <f t="shared" ref="E116:H117" si="34">D116</f>
        <v>0.84370000000000001</v>
      </c>
      <c r="F116" s="995">
        <f t="shared" si="34"/>
        <v>0.84370000000000001</v>
      </c>
      <c r="G116" s="995">
        <f t="shared" si="34"/>
        <v>0.84370000000000001</v>
      </c>
      <c r="H116" s="995">
        <f t="shared" si="34"/>
        <v>0.84370000000000001</v>
      </c>
      <c r="I116" s="995">
        <f>ROUND(0.7694-0.014*B113,4)</f>
        <v>0.75539999999999996</v>
      </c>
      <c r="J116" s="995">
        <f t="shared" si="33"/>
        <v>0.75539999999999996</v>
      </c>
      <c r="K116" s="995">
        <f t="shared" si="33"/>
        <v>0.75539999999999996</v>
      </c>
      <c r="L116" s="995">
        <f t="shared" si="33"/>
        <v>0.75539999999999996</v>
      </c>
      <c r="M116" s="996">
        <f t="shared" si="33"/>
        <v>0.75539999999999996</v>
      </c>
    </row>
    <row r="117" spans="1:13" ht="12.75">
      <c r="A117" s="997" t="s">
        <v>872</v>
      </c>
      <c r="B117" s="995">
        <f>ROUND(0.8808-0.006*B113,4)</f>
        <v>0.87480000000000002</v>
      </c>
      <c r="C117" s="995">
        <f>B117</f>
        <v>0.87480000000000002</v>
      </c>
      <c r="D117" s="995">
        <f>ROUND(0.8748-0.008*B113,4)</f>
        <v>0.86680000000000001</v>
      </c>
      <c r="E117" s="995">
        <f t="shared" si="34"/>
        <v>0.86680000000000001</v>
      </c>
      <c r="F117" s="995">
        <f t="shared" si="34"/>
        <v>0.86680000000000001</v>
      </c>
      <c r="G117" s="995">
        <f t="shared" si="34"/>
        <v>0.86680000000000001</v>
      </c>
      <c r="H117" s="995">
        <f t="shared" si="34"/>
        <v>0.86680000000000001</v>
      </c>
      <c r="I117" s="995">
        <f>ROUND(0.7412-0.0095*B113,4)</f>
        <v>0.73170000000000002</v>
      </c>
      <c r="J117" s="995">
        <f t="shared" si="33"/>
        <v>0.73170000000000002</v>
      </c>
      <c r="K117" s="995">
        <f t="shared" si="33"/>
        <v>0.73170000000000002</v>
      </c>
      <c r="L117" s="995">
        <f t="shared" si="33"/>
        <v>0.73170000000000002</v>
      </c>
      <c r="M117" s="996">
        <f t="shared" si="33"/>
        <v>0.73170000000000002</v>
      </c>
    </row>
    <row r="118" spans="1:13" ht="13.5" thickBot="1">
      <c r="A118" s="998" t="s">
        <v>873</v>
      </c>
      <c r="B118" s="999">
        <f>ROUND(0.7275-0.01*B113,4)</f>
        <v>0.71750000000000003</v>
      </c>
      <c r="C118" s="999">
        <f>B118</f>
        <v>0.71750000000000003</v>
      </c>
      <c r="D118" s="999">
        <f>ROUND(0.7043-0.012*B113,4)</f>
        <v>0.69230000000000003</v>
      </c>
      <c r="E118" s="999">
        <f>D118</f>
        <v>0.69230000000000003</v>
      </c>
      <c r="F118" s="999">
        <f>E118</f>
        <v>0.69230000000000003</v>
      </c>
      <c r="G118" s="999">
        <f>ROUND(0.6299-0.0122*B113,4)</f>
        <v>0.61770000000000003</v>
      </c>
      <c r="H118" s="999">
        <f>G118</f>
        <v>0.61770000000000003</v>
      </c>
      <c r="I118" s="999">
        <f>ROUND(0.5667-0.0136*B113,4)</f>
        <v>0.55310000000000004</v>
      </c>
      <c r="J118" s="999">
        <f t="shared" si="33"/>
        <v>0.55310000000000004</v>
      </c>
      <c r="K118" s="999">
        <f t="shared" si="33"/>
        <v>0.55310000000000004</v>
      </c>
      <c r="L118" s="999">
        <f t="shared" si="33"/>
        <v>0.55310000000000004</v>
      </c>
      <c r="M118" s="1000">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7" t="s">
        <v>2939</v>
      </c>
      <c r="B2" s="3388">
        <v>3.5</v>
      </c>
      <c r="C2" s="3388">
        <v>3.5</v>
      </c>
      <c r="D2" s="3389">
        <v>2.5</v>
      </c>
      <c r="E2" s="3389">
        <v>2.5</v>
      </c>
      <c r="F2" s="3389">
        <v>2.5</v>
      </c>
      <c r="G2" s="3389">
        <v>2.5</v>
      </c>
      <c r="H2" s="3389">
        <v>2.5</v>
      </c>
      <c r="I2" s="3388">
        <v>2</v>
      </c>
      <c r="J2" s="3388">
        <v>2</v>
      </c>
      <c r="K2" s="3388">
        <v>2</v>
      </c>
      <c r="L2" s="3388">
        <v>2</v>
      </c>
      <c r="M2" s="3390">
        <v>2</v>
      </c>
    </row>
    <row r="3" spans="1:13">
      <c r="A3" s="3391" t="s">
        <v>2940</v>
      </c>
      <c r="B3" s="3392">
        <v>3.5</v>
      </c>
      <c r="C3" s="3392">
        <v>3.5</v>
      </c>
      <c r="D3" s="3393">
        <v>2.5</v>
      </c>
      <c r="E3" s="3393">
        <v>2.5</v>
      </c>
      <c r="F3" s="3393">
        <v>2.5</v>
      </c>
      <c r="G3" s="3393">
        <v>2.5</v>
      </c>
      <c r="H3" s="3393">
        <v>2.5</v>
      </c>
      <c r="I3" s="3392">
        <v>2</v>
      </c>
      <c r="J3" s="3392">
        <v>2</v>
      </c>
      <c r="K3" s="3392">
        <v>2</v>
      </c>
      <c r="L3" s="3392">
        <v>2</v>
      </c>
      <c r="M3" s="3394">
        <v>2</v>
      </c>
    </row>
    <row r="4" spans="1:13">
      <c r="A4" s="3391" t="s">
        <v>2941</v>
      </c>
      <c r="B4" s="3393">
        <v>2.5</v>
      </c>
      <c r="C4" s="3393">
        <v>2.5</v>
      </c>
      <c r="D4" s="3393">
        <v>2.5</v>
      </c>
      <c r="E4" s="3393">
        <v>2.5</v>
      </c>
      <c r="F4" s="3393">
        <v>2.5</v>
      </c>
      <c r="G4" s="3393">
        <v>2.5</v>
      </c>
      <c r="H4" s="3393">
        <v>2.5</v>
      </c>
      <c r="I4" s="3392">
        <v>1.5</v>
      </c>
      <c r="J4" s="3392">
        <v>1.5</v>
      </c>
      <c r="K4" s="3392">
        <v>1.5</v>
      </c>
      <c r="L4" s="3392">
        <v>1.5</v>
      </c>
      <c r="M4" s="3394">
        <v>1.5</v>
      </c>
    </row>
    <row r="5" spans="1:13">
      <c r="A5" s="3395" t="s">
        <v>2942</v>
      </c>
      <c r="B5" s="3392">
        <v>1.5</v>
      </c>
      <c r="C5" s="3392">
        <v>1.5</v>
      </c>
      <c r="D5" s="3392">
        <v>1.5</v>
      </c>
      <c r="E5" s="3392">
        <v>1.5</v>
      </c>
      <c r="F5" s="3392">
        <v>1.5</v>
      </c>
      <c r="G5" s="3392">
        <v>1.2</v>
      </c>
      <c r="H5" s="3392">
        <v>1.2</v>
      </c>
      <c r="I5" s="3392">
        <v>1</v>
      </c>
      <c r="J5" s="3392">
        <v>1</v>
      </c>
      <c r="K5" s="3392">
        <v>1</v>
      </c>
      <c r="L5" s="3392">
        <v>1</v>
      </c>
      <c r="M5" s="3394">
        <v>1</v>
      </c>
    </row>
    <row r="6" spans="1:13">
      <c r="A6" s="3396" t="s">
        <v>2943</v>
      </c>
      <c r="B6" s="3397">
        <v>2.5</v>
      </c>
      <c r="C6" s="3397">
        <v>2.5</v>
      </c>
      <c r="D6" s="3397">
        <v>2</v>
      </c>
      <c r="E6" s="3397">
        <v>2</v>
      </c>
      <c r="F6" s="3397">
        <v>2</v>
      </c>
      <c r="G6" s="3397">
        <v>2</v>
      </c>
      <c r="H6" s="3397">
        <v>2</v>
      </c>
      <c r="I6" s="3398">
        <v>1.5</v>
      </c>
      <c r="J6" s="3398">
        <v>1.5</v>
      </c>
      <c r="K6" s="3398">
        <v>1.5</v>
      </c>
      <c r="L6" s="3398">
        <v>1.5</v>
      </c>
      <c r="M6" s="3399">
        <v>1.5</v>
      </c>
    </row>
    <row r="7" spans="1:13" ht="14.25" thickBot="1">
      <c r="A7" s="3400" t="s">
        <v>2944</v>
      </c>
      <c r="B7" s="3401">
        <v>2.5</v>
      </c>
      <c r="C7" s="3401">
        <v>2.5</v>
      </c>
      <c r="D7" s="3401">
        <v>2</v>
      </c>
      <c r="E7" s="3401">
        <v>2</v>
      </c>
      <c r="F7" s="3401">
        <v>2</v>
      </c>
      <c r="G7" s="3401">
        <v>2</v>
      </c>
      <c r="H7" s="3401">
        <v>2</v>
      </c>
      <c r="I7" s="3402">
        <v>1.5</v>
      </c>
      <c r="J7" s="3402">
        <v>1.5</v>
      </c>
      <c r="K7" s="3402">
        <v>1.5</v>
      </c>
      <c r="L7" s="3402">
        <v>1.5</v>
      </c>
      <c r="M7" s="3403">
        <v>1.5</v>
      </c>
    </row>
    <row r="8" spans="1:13">
      <c r="A8" s="1068" t="s">
        <v>1403</v>
      </c>
      <c r="B8" s="3404">
        <v>80</v>
      </c>
      <c r="C8" s="3404">
        <v>80</v>
      </c>
      <c r="D8" s="3404">
        <v>70</v>
      </c>
      <c r="E8" s="3404">
        <v>70</v>
      </c>
      <c r="F8" s="3404">
        <v>70</v>
      </c>
      <c r="G8" s="3404">
        <v>70</v>
      </c>
      <c r="H8" s="3404">
        <v>70</v>
      </c>
      <c r="I8" s="3404">
        <v>60</v>
      </c>
      <c r="J8" s="3404">
        <v>60</v>
      </c>
      <c r="K8" s="3404">
        <v>60</v>
      </c>
      <c r="L8" s="3404">
        <v>60</v>
      </c>
      <c r="M8" s="3405">
        <v>60</v>
      </c>
    </row>
    <row r="9" spans="1:13">
      <c r="A9" s="1028" t="s">
        <v>1404</v>
      </c>
      <c r="B9" s="3406">
        <v>70</v>
      </c>
      <c r="C9" s="3406">
        <v>70</v>
      </c>
      <c r="D9" s="3406">
        <v>60</v>
      </c>
      <c r="E9" s="3406">
        <v>60</v>
      </c>
      <c r="F9" s="3406">
        <v>60</v>
      </c>
      <c r="G9" s="3406">
        <v>60</v>
      </c>
      <c r="H9" s="3406">
        <v>60</v>
      </c>
      <c r="I9" s="3406">
        <v>50</v>
      </c>
      <c r="J9" s="3406">
        <v>50</v>
      </c>
      <c r="K9" s="3406">
        <v>50</v>
      </c>
      <c r="L9" s="3406">
        <v>50</v>
      </c>
      <c r="M9" s="3407">
        <v>50</v>
      </c>
    </row>
    <row r="10" spans="1:13">
      <c r="A10" s="1028" t="s">
        <v>1405</v>
      </c>
      <c r="B10" s="3406">
        <v>20</v>
      </c>
      <c r="C10" s="3406">
        <v>20</v>
      </c>
      <c r="D10" s="3406">
        <v>15</v>
      </c>
      <c r="E10" s="3406">
        <v>15</v>
      </c>
      <c r="F10" s="3406">
        <v>15</v>
      </c>
      <c r="G10" s="3406">
        <v>15</v>
      </c>
      <c r="H10" s="3406">
        <v>15</v>
      </c>
      <c r="I10" s="3406">
        <v>10</v>
      </c>
      <c r="J10" s="3406">
        <v>10</v>
      </c>
      <c r="K10" s="3406">
        <v>10</v>
      </c>
      <c r="L10" s="3406">
        <v>10</v>
      </c>
      <c r="M10" s="3407">
        <v>10</v>
      </c>
    </row>
    <row r="11" spans="1:13">
      <c r="A11" s="1028" t="s">
        <v>1406</v>
      </c>
      <c r="B11" s="3406">
        <v>30</v>
      </c>
      <c r="C11" s="3406">
        <v>30</v>
      </c>
      <c r="D11" s="3406">
        <v>25</v>
      </c>
      <c r="E11" s="3406">
        <v>25</v>
      </c>
      <c r="F11" s="3406">
        <v>25</v>
      </c>
      <c r="G11" s="3406">
        <v>25</v>
      </c>
      <c r="H11" s="3406">
        <v>25</v>
      </c>
      <c r="I11" s="3406">
        <v>20</v>
      </c>
      <c r="J11" s="3406">
        <v>20</v>
      </c>
      <c r="K11" s="3406">
        <v>20</v>
      </c>
      <c r="L11" s="3406">
        <v>20</v>
      </c>
      <c r="M11" s="3407">
        <v>20</v>
      </c>
    </row>
    <row r="12" spans="1:13">
      <c r="A12" s="1028" t="s">
        <v>1407</v>
      </c>
      <c r="B12" s="3406">
        <v>45</v>
      </c>
      <c r="C12" s="3406">
        <v>45</v>
      </c>
      <c r="D12" s="3406">
        <v>40</v>
      </c>
      <c r="E12" s="3406">
        <v>40</v>
      </c>
      <c r="F12" s="3406">
        <v>40</v>
      </c>
      <c r="G12" s="3406">
        <v>40</v>
      </c>
      <c r="H12" s="3406">
        <v>40</v>
      </c>
      <c r="I12" s="3406">
        <v>35</v>
      </c>
      <c r="J12" s="3406">
        <v>35</v>
      </c>
      <c r="K12" s="3406">
        <v>35</v>
      </c>
      <c r="L12" s="3406">
        <v>35</v>
      </c>
      <c r="M12" s="3407">
        <v>35</v>
      </c>
    </row>
    <row r="13" spans="1:13">
      <c r="A13" s="1028" t="s">
        <v>1408</v>
      </c>
      <c r="B13" s="3406">
        <v>60</v>
      </c>
      <c r="C13" s="3406">
        <v>60</v>
      </c>
      <c r="D13" s="3406">
        <v>50</v>
      </c>
      <c r="E13" s="3406">
        <v>50</v>
      </c>
      <c r="F13" s="3406">
        <v>50</v>
      </c>
      <c r="G13" s="3406">
        <v>50</v>
      </c>
      <c r="H13" s="3406">
        <v>50</v>
      </c>
      <c r="I13" s="3406">
        <v>40</v>
      </c>
      <c r="J13" s="3406">
        <v>40</v>
      </c>
      <c r="K13" s="3406">
        <v>40</v>
      </c>
      <c r="L13" s="3406">
        <v>40</v>
      </c>
      <c r="M13" s="3407">
        <v>40</v>
      </c>
    </row>
    <row r="14" spans="1:13">
      <c r="A14" s="1028" t="s">
        <v>1409</v>
      </c>
      <c r="B14" s="3406">
        <v>50</v>
      </c>
      <c r="C14" s="3406">
        <v>50</v>
      </c>
      <c r="D14" s="3406">
        <v>40</v>
      </c>
      <c r="E14" s="3406">
        <v>40</v>
      </c>
      <c r="F14" s="3406">
        <v>40</v>
      </c>
      <c r="G14" s="3406">
        <v>40</v>
      </c>
      <c r="H14" s="3406">
        <v>40</v>
      </c>
      <c r="I14" s="3406">
        <v>30</v>
      </c>
      <c r="J14" s="3406">
        <v>30</v>
      </c>
      <c r="K14" s="3406">
        <v>30</v>
      </c>
      <c r="L14" s="3406">
        <v>30</v>
      </c>
      <c r="M14" s="3407">
        <v>30</v>
      </c>
    </row>
    <row r="15" spans="1:13">
      <c r="A15" s="1069" t="s">
        <v>1410</v>
      </c>
      <c r="B15" s="3408">
        <v>20</v>
      </c>
      <c r="C15" s="3408">
        <v>20</v>
      </c>
      <c r="D15" s="3408">
        <v>15</v>
      </c>
      <c r="E15" s="3408">
        <v>15</v>
      </c>
      <c r="F15" s="3408">
        <v>15</v>
      </c>
      <c r="G15" s="3408">
        <v>15</v>
      </c>
      <c r="H15" s="3408">
        <v>15</v>
      </c>
      <c r="I15" s="3408">
        <v>10</v>
      </c>
      <c r="J15" s="3408">
        <v>10</v>
      </c>
      <c r="K15" s="3408">
        <v>10</v>
      </c>
      <c r="L15" s="3408">
        <v>10</v>
      </c>
      <c r="M15" s="3409">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2730</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08" t="s">
        <v>2945</v>
      </c>
      <c r="B19" s="3410" t="s">
        <v>2946</v>
      </c>
      <c r="C19" s="3411" t="s">
        <v>2947</v>
      </c>
      <c r="D19" s="3412"/>
      <c r="E19" s="3406" t="s">
        <v>2948</v>
      </c>
      <c r="F19" s="1074"/>
      <c r="G19" s="1074"/>
    </row>
    <row r="20" spans="1:13" s="1479" customFormat="1">
      <c r="A20" s="4120" t="s">
        <v>2939</v>
      </c>
      <c r="B20" s="4123" t="s">
        <v>2949</v>
      </c>
      <c r="C20" s="3413" t="s">
        <v>2950</v>
      </c>
      <c r="D20" s="3414"/>
      <c r="E20" s="3415">
        <v>1</v>
      </c>
      <c r="F20" s="3416" t="s">
        <v>2951</v>
      </c>
      <c r="G20" s="1076"/>
      <c r="H20" s="1066"/>
      <c r="I20" s="1066"/>
    </row>
    <row r="21" spans="1:13" s="1479" customFormat="1">
      <c r="A21" s="4121"/>
      <c r="B21" s="4124"/>
      <c r="C21" s="3417" t="s">
        <v>2952</v>
      </c>
      <c r="D21" s="3418"/>
      <c r="E21" s="3419">
        <v>1</v>
      </c>
      <c r="F21" s="3416" t="s">
        <v>2953</v>
      </c>
      <c r="G21" s="1076"/>
      <c r="H21" s="1066"/>
      <c r="I21" s="1066"/>
    </row>
    <row r="22" spans="1:13" s="1479" customFormat="1">
      <c r="A22" s="4121"/>
      <c r="B22" s="4124"/>
      <c r="C22" s="3417" t="s">
        <v>2954</v>
      </c>
      <c r="D22" s="3418"/>
      <c r="E22" s="3419">
        <v>0.9</v>
      </c>
      <c r="F22" s="3416" t="s">
        <v>2955</v>
      </c>
      <c r="G22" s="1076"/>
      <c r="H22" s="1066"/>
      <c r="I22" s="1066"/>
    </row>
    <row r="23" spans="1:13" s="1479" customFormat="1">
      <c r="A23" s="4121"/>
      <c r="B23" s="4124"/>
      <c r="C23" s="3417" t="s">
        <v>2956</v>
      </c>
      <c r="D23" s="3418"/>
      <c r="E23" s="3419">
        <v>0.9</v>
      </c>
      <c r="F23" s="3416" t="s">
        <v>2957</v>
      </c>
      <c r="G23" s="1076"/>
      <c r="H23" s="1066"/>
      <c r="I23" s="1066"/>
    </row>
    <row r="24" spans="1:13" s="1479" customFormat="1">
      <c r="A24" s="4121"/>
      <c r="B24" s="4124"/>
      <c r="C24" s="3417" t="s">
        <v>2958</v>
      </c>
      <c r="D24" s="3418"/>
      <c r="E24" s="3419">
        <v>0.8</v>
      </c>
      <c r="F24" s="3416" t="s">
        <v>2959</v>
      </c>
      <c r="G24" s="1076"/>
      <c r="H24" s="1066"/>
      <c r="I24" s="1066"/>
    </row>
    <row r="25" spans="1:13" s="1479" customFormat="1" ht="14.25" thickBot="1">
      <c r="A25" s="4122"/>
      <c r="B25" s="4125"/>
      <c r="C25" s="3420" t="s">
        <v>2960</v>
      </c>
      <c r="D25" s="3421"/>
      <c r="E25" s="3422">
        <v>0.8</v>
      </c>
      <c r="F25" s="3416" t="s">
        <v>2961</v>
      </c>
      <c r="G25" s="1076"/>
      <c r="H25" s="1066"/>
      <c r="I25" s="1066"/>
    </row>
    <row r="26" spans="1:13" s="1479" customFormat="1" ht="14.25" thickBot="1">
      <c r="A26" s="3423" t="s">
        <v>2940</v>
      </c>
      <c r="B26" s="3424" t="s">
        <v>2949</v>
      </c>
      <c r="C26" s="3425" t="s">
        <v>2962</v>
      </c>
      <c r="D26" s="3426"/>
      <c r="E26" s="3427">
        <v>1</v>
      </c>
      <c r="F26" s="3416" t="s">
        <v>2963</v>
      </c>
      <c r="G26" s="1076"/>
      <c r="H26" s="1066"/>
      <c r="I26" s="1066"/>
    </row>
    <row r="27" spans="1:13" s="1479" customFormat="1">
      <c r="A27" s="4126" t="s">
        <v>2944</v>
      </c>
      <c r="B27" s="4123" t="s">
        <v>2944</v>
      </c>
      <c r="C27" s="3413" t="s">
        <v>2964</v>
      </c>
      <c r="D27" s="3414"/>
      <c r="E27" s="3415">
        <v>1</v>
      </c>
      <c r="F27" s="3416" t="s">
        <v>2965</v>
      </c>
      <c r="G27" s="1076"/>
      <c r="H27" s="1066"/>
      <c r="I27" s="1066"/>
    </row>
    <row r="28" spans="1:13" s="1479" customFormat="1">
      <c r="A28" s="4127"/>
      <c r="B28" s="4124"/>
      <c r="C28" s="3417" t="s">
        <v>2966</v>
      </c>
      <c r="D28" s="3418"/>
      <c r="E28" s="3419">
        <v>1</v>
      </c>
      <c r="F28" s="3416" t="s">
        <v>2967</v>
      </c>
      <c r="G28" s="1076"/>
      <c r="H28" s="1066"/>
      <c r="I28" s="1066"/>
    </row>
    <row r="29" spans="1:13" s="1479" customFormat="1">
      <c r="A29" s="4127"/>
      <c r="B29" s="4124"/>
      <c r="C29" s="3417" t="s">
        <v>2968</v>
      </c>
      <c r="D29" s="3418"/>
      <c r="E29" s="3419">
        <v>0.8</v>
      </c>
      <c r="F29" s="3416" t="s">
        <v>2969</v>
      </c>
      <c r="G29" s="1076"/>
      <c r="H29" s="1066"/>
      <c r="I29" s="1066"/>
    </row>
    <row r="30" spans="1:13" s="1479" customFormat="1">
      <c r="A30" s="4127"/>
      <c r="B30" s="4124"/>
      <c r="C30" s="3417" t="s">
        <v>2970</v>
      </c>
      <c r="D30" s="3418"/>
      <c r="E30" s="3419">
        <v>0.8</v>
      </c>
      <c r="F30" s="3416" t="s">
        <v>2971</v>
      </c>
      <c r="G30" s="1076"/>
      <c r="H30" s="1066"/>
      <c r="I30" s="1066"/>
    </row>
    <row r="31" spans="1:13" s="1479" customFormat="1">
      <c r="A31" s="4127"/>
      <c r="B31" s="4124"/>
      <c r="C31" s="3417" t="s">
        <v>2972</v>
      </c>
      <c r="D31" s="3418"/>
      <c r="E31" s="3419">
        <v>0.8</v>
      </c>
      <c r="F31" s="3416" t="s">
        <v>2973</v>
      </c>
      <c r="G31" s="1076"/>
      <c r="H31" s="1066"/>
      <c r="I31" s="1066"/>
    </row>
    <row r="32" spans="1:13" s="1479" customFormat="1">
      <c r="A32" s="4127"/>
      <c r="B32" s="4124"/>
      <c r="C32" s="3417" t="s">
        <v>2974</v>
      </c>
      <c r="D32" s="3418"/>
      <c r="E32" s="3419">
        <v>0.7</v>
      </c>
      <c r="F32" s="3416" t="s">
        <v>2975</v>
      </c>
      <c r="G32" s="1076"/>
      <c r="H32" s="1066"/>
      <c r="I32" s="1066"/>
    </row>
    <row r="33" spans="1:9" s="1479" customFormat="1">
      <c r="A33" s="4127"/>
      <c r="B33" s="4124"/>
      <c r="C33" s="3417" t="s">
        <v>2976</v>
      </c>
      <c r="D33" s="3418"/>
      <c r="E33" s="3419">
        <v>0.8</v>
      </c>
      <c r="F33" s="3416" t="s">
        <v>2977</v>
      </c>
      <c r="G33" s="1076"/>
      <c r="H33" s="1066"/>
      <c r="I33" s="1066"/>
    </row>
    <row r="34" spans="1:9" s="1479" customFormat="1">
      <c r="A34" s="4127"/>
      <c r="B34" s="4124"/>
      <c r="C34" s="3417" t="s">
        <v>2978</v>
      </c>
      <c r="D34" s="3418"/>
      <c r="E34" s="3419">
        <v>0.6</v>
      </c>
      <c r="F34" s="3416" t="s">
        <v>2979</v>
      </c>
      <c r="G34" s="1076"/>
      <c r="H34" s="1066"/>
      <c r="I34" s="1066"/>
    </row>
    <row r="35" spans="1:9" s="1479" customFormat="1">
      <c r="A35" s="4127"/>
      <c r="B35" s="4124"/>
      <c r="C35" s="3417" t="s">
        <v>2980</v>
      </c>
      <c r="D35" s="3418"/>
      <c r="E35" s="3419">
        <v>0.2</v>
      </c>
      <c r="F35" s="3416" t="s">
        <v>2981</v>
      </c>
      <c r="G35" s="1076"/>
      <c r="H35" s="1066"/>
      <c r="I35" s="1066"/>
    </row>
    <row r="36" spans="1:9" s="1479" customFormat="1">
      <c r="A36" s="4127"/>
      <c r="B36" s="4124"/>
      <c r="C36" s="3417" t="s">
        <v>2982</v>
      </c>
      <c r="D36" s="3418"/>
      <c r="E36" s="3419">
        <v>0.2</v>
      </c>
      <c r="F36" s="3416" t="s">
        <v>2983</v>
      </c>
      <c r="G36" s="1076"/>
      <c r="H36" s="1066"/>
      <c r="I36" s="1066"/>
    </row>
    <row r="37" spans="1:9" s="1479" customFormat="1">
      <c r="A37" s="4127"/>
      <c r="B37" s="4118" t="s">
        <v>2984</v>
      </c>
      <c r="C37" s="3417" t="s">
        <v>2985</v>
      </c>
      <c r="D37" s="3418"/>
      <c r="E37" s="3419">
        <v>0.6</v>
      </c>
      <c r="F37" s="3416" t="s">
        <v>2986</v>
      </c>
      <c r="G37" s="1076"/>
      <c r="H37" s="1066"/>
      <c r="I37" s="1066"/>
    </row>
    <row r="38" spans="1:9" s="1479" customFormat="1">
      <c r="A38" s="4127"/>
      <c r="B38" s="4124"/>
      <c r="C38" s="3417" t="s">
        <v>2987</v>
      </c>
      <c r="D38" s="3418"/>
      <c r="E38" s="3419">
        <v>0.6</v>
      </c>
      <c r="F38" s="3416" t="s">
        <v>2988</v>
      </c>
      <c r="G38" s="1076"/>
      <c r="H38" s="1066"/>
      <c r="I38" s="1066"/>
    </row>
    <row r="39" spans="1:9" s="1479" customFormat="1" ht="14.25" thickBot="1">
      <c r="A39" s="4128"/>
      <c r="B39" s="4125"/>
      <c r="C39" s="3420" t="s">
        <v>2989</v>
      </c>
      <c r="D39" s="3421"/>
      <c r="E39" s="3422">
        <v>0.6</v>
      </c>
      <c r="F39" s="3416" t="s">
        <v>2990</v>
      </c>
      <c r="G39" s="1076"/>
      <c r="H39" s="1066"/>
      <c r="I39" s="1066"/>
    </row>
    <row r="40" spans="1:9" s="1479" customFormat="1" ht="14.25" thickBot="1">
      <c r="A40" s="3423" t="s">
        <v>2941</v>
      </c>
      <c r="B40" s="3424" t="s">
        <v>2941</v>
      </c>
      <c r="C40" s="3425" t="s">
        <v>2991</v>
      </c>
      <c r="D40" s="3426"/>
      <c r="E40" s="3427">
        <v>1</v>
      </c>
      <c r="F40" s="3416" t="s">
        <v>2992</v>
      </c>
      <c r="G40" s="1076"/>
      <c r="H40" s="1066"/>
      <c r="I40" s="1066"/>
    </row>
    <row r="41" spans="1:9" s="1479" customFormat="1">
      <c r="A41" s="4120" t="s">
        <v>2942</v>
      </c>
      <c r="B41" s="4123" t="s">
        <v>2993</v>
      </c>
      <c r="C41" s="3413" t="s">
        <v>2994</v>
      </c>
      <c r="D41" s="3414"/>
      <c r="E41" s="3415">
        <v>1</v>
      </c>
      <c r="F41" s="3416" t="s">
        <v>2995</v>
      </c>
      <c r="G41" s="1076"/>
      <c r="H41" s="1066"/>
      <c r="I41" s="1066"/>
    </row>
    <row r="42" spans="1:9" s="1479" customFormat="1">
      <c r="A42" s="4121"/>
      <c r="B42" s="4124"/>
      <c r="C42" s="3417" t="s">
        <v>2996</v>
      </c>
      <c r="D42" s="3418"/>
      <c r="E42" s="3419">
        <v>1</v>
      </c>
      <c r="F42" s="3416" t="s">
        <v>2997</v>
      </c>
      <c r="G42" s="1076"/>
      <c r="H42" s="1066"/>
      <c r="I42" s="1066"/>
    </row>
    <row r="43" spans="1:9" s="1479" customFormat="1">
      <c r="A43" s="4121"/>
      <c r="B43" s="4119"/>
      <c r="C43" s="3417" t="s">
        <v>2998</v>
      </c>
      <c r="D43" s="3418"/>
      <c r="E43" s="3419">
        <v>1.5</v>
      </c>
      <c r="F43" s="3416" t="s">
        <v>2999</v>
      </c>
      <c r="G43" s="1076"/>
      <c r="H43" s="1066"/>
      <c r="I43" s="1066"/>
    </row>
    <row r="44" spans="1:9" s="1479" customFormat="1">
      <c r="A44" s="4121"/>
      <c r="B44" s="3428" t="s">
        <v>2944</v>
      </c>
      <c r="C44" s="3417" t="s">
        <v>2943</v>
      </c>
      <c r="D44" s="3418"/>
      <c r="E44" s="3419">
        <v>2</v>
      </c>
      <c r="F44" s="3416" t="s">
        <v>3000</v>
      </c>
      <c r="G44" s="1076"/>
      <c r="H44" s="1066"/>
      <c r="I44" s="1066"/>
    </row>
    <row r="45" spans="1:9" s="1479" customFormat="1">
      <c r="A45" s="4121"/>
      <c r="B45" s="4118" t="s">
        <v>3001</v>
      </c>
      <c r="C45" s="3417" t="s">
        <v>3002</v>
      </c>
      <c r="D45" s="3418"/>
      <c r="E45" s="3419">
        <v>1</v>
      </c>
      <c r="F45" s="3416" t="s">
        <v>3003</v>
      </c>
      <c r="G45" s="1076"/>
      <c r="H45" s="1066"/>
      <c r="I45" s="1066"/>
    </row>
    <row r="46" spans="1:9" s="1479" customFormat="1">
      <c r="A46" s="4121"/>
      <c r="B46" s="4124"/>
      <c r="C46" s="3417" t="s">
        <v>3004</v>
      </c>
      <c r="D46" s="3418"/>
      <c r="E46" s="3419">
        <v>1</v>
      </c>
      <c r="F46" s="3416" t="s">
        <v>3005</v>
      </c>
      <c r="G46" s="1076"/>
      <c r="H46" s="1066"/>
      <c r="I46" s="1066"/>
    </row>
    <row r="47" spans="1:9" s="1479" customFormat="1">
      <c r="A47" s="4121"/>
      <c r="B47" s="4124"/>
      <c r="C47" s="3417" t="s">
        <v>3006</v>
      </c>
      <c r="D47" s="3418"/>
      <c r="E47" s="3419">
        <v>1</v>
      </c>
      <c r="F47" s="3416" t="s">
        <v>3007</v>
      </c>
      <c r="G47" s="1076"/>
      <c r="H47" s="1066"/>
      <c r="I47" s="1066"/>
    </row>
    <row r="48" spans="1:9" s="1479" customFormat="1">
      <c r="A48" s="4121"/>
      <c r="B48" s="4124"/>
      <c r="C48" s="3417" t="s">
        <v>3008</v>
      </c>
      <c r="D48" s="3418"/>
      <c r="E48" s="3419">
        <v>1</v>
      </c>
      <c r="F48" s="3416" t="s">
        <v>3009</v>
      </c>
      <c r="G48" s="1076"/>
      <c r="H48" s="1066"/>
      <c r="I48" s="1066"/>
    </row>
    <row r="49" spans="1:9" s="1479" customFormat="1">
      <c r="A49" s="4121"/>
      <c r="B49" s="4124"/>
      <c r="C49" s="3417" t="s">
        <v>3010</v>
      </c>
      <c r="D49" s="3418"/>
      <c r="E49" s="3419">
        <v>1</v>
      </c>
      <c r="F49" s="3416" t="s">
        <v>3011</v>
      </c>
      <c r="G49" s="1076"/>
      <c r="H49" s="1066"/>
      <c r="I49" s="1066"/>
    </row>
    <row r="50" spans="1:9" s="1479" customFormat="1">
      <c r="A50" s="4121"/>
      <c r="B50" s="4124"/>
      <c r="C50" s="3417" t="s">
        <v>3012</v>
      </c>
      <c r="D50" s="3418"/>
      <c r="E50" s="3419">
        <v>1</v>
      </c>
      <c r="F50" s="3416" t="s">
        <v>3013</v>
      </c>
      <c r="G50" s="1076"/>
      <c r="H50" s="1066"/>
      <c r="I50" s="1066"/>
    </row>
    <row r="51" spans="1:9" s="1479" customFormat="1" ht="14.25" thickBot="1">
      <c r="A51" s="4122"/>
      <c r="B51" s="4125"/>
      <c r="C51" s="3420" t="s">
        <v>3014</v>
      </c>
      <c r="D51" s="3421"/>
      <c r="E51" s="3422">
        <v>1</v>
      </c>
      <c r="F51" s="3416" t="s">
        <v>3015</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6">
        <v>0.7</v>
      </c>
      <c r="C57" s="3406">
        <v>0.4</v>
      </c>
      <c r="D57" s="3406">
        <v>0.3</v>
      </c>
      <c r="E57" s="3412">
        <v>0.3</v>
      </c>
      <c r="F57" s="3406">
        <v>0.3</v>
      </c>
      <c r="G57" s="3406">
        <v>0.2</v>
      </c>
      <c r="I57" s="1027"/>
    </row>
    <row r="58" spans="1:9">
      <c r="A58" s="1094" t="s">
        <v>878</v>
      </c>
      <c r="B58" s="3406">
        <v>0.7</v>
      </c>
      <c r="C58" s="3406">
        <v>0.4</v>
      </c>
      <c r="D58" s="3406">
        <v>0.3</v>
      </c>
      <c r="E58" s="3406">
        <v>0.3</v>
      </c>
      <c r="F58" s="3406">
        <v>0.3</v>
      </c>
      <c r="G58" s="3406">
        <v>0.2</v>
      </c>
      <c r="I58" s="1027"/>
    </row>
    <row r="59" spans="1:9">
      <c r="A59" s="1094" t="s">
        <v>879</v>
      </c>
      <c r="B59" s="3406">
        <v>0.6</v>
      </c>
      <c r="C59" s="3406">
        <v>0.3</v>
      </c>
      <c r="D59" s="3406">
        <v>0.25</v>
      </c>
      <c r="E59" s="3406">
        <v>0.25</v>
      </c>
      <c r="F59" s="3406">
        <v>0.25</v>
      </c>
      <c r="G59" s="3406">
        <v>0.15</v>
      </c>
      <c r="I59" s="1027"/>
    </row>
    <row r="60" spans="1:9">
      <c r="A60" s="1094" t="s">
        <v>880</v>
      </c>
      <c r="B60" s="3406">
        <v>0.6</v>
      </c>
      <c r="C60" s="3406">
        <v>0.3</v>
      </c>
      <c r="D60" s="3406">
        <v>0.25</v>
      </c>
      <c r="E60" s="3406">
        <v>0.25</v>
      </c>
      <c r="F60" s="3406">
        <v>0.25</v>
      </c>
      <c r="G60" s="3406">
        <v>0.15</v>
      </c>
      <c r="I60" s="1027"/>
    </row>
    <row r="61" spans="1:9" s="1066" customFormat="1">
      <c r="A61" s="1094" t="s">
        <v>881</v>
      </c>
      <c r="B61" s="3406">
        <v>0.6</v>
      </c>
      <c r="C61" s="3406">
        <v>0.3</v>
      </c>
      <c r="D61" s="3406">
        <v>0.25</v>
      </c>
      <c r="E61" s="3406">
        <v>0.25</v>
      </c>
      <c r="F61" s="3406">
        <v>0.25</v>
      </c>
      <c r="G61" s="3406">
        <v>0.15</v>
      </c>
    </row>
    <row r="62" spans="1:9" s="1066" customFormat="1">
      <c r="A62" s="1094" t="s">
        <v>882</v>
      </c>
      <c r="B62" s="3406">
        <v>0.6</v>
      </c>
      <c r="C62" s="3406">
        <v>0.3</v>
      </c>
      <c r="D62" s="3406">
        <v>0.25</v>
      </c>
      <c r="E62" s="3406">
        <v>0.25</v>
      </c>
      <c r="F62" s="3406">
        <v>0.25</v>
      </c>
      <c r="G62" s="3406">
        <v>0.15</v>
      </c>
    </row>
    <row r="63" spans="1:9" s="1066" customFormat="1">
      <c r="A63" s="1094" t="s">
        <v>883</v>
      </c>
      <c r="B63" s="3406">
        <v>0.6</v>
      </c>
      <c r="C63" s="3406">
        <v>0.3</v>
      </c>
      <c r="D63" s="3406">
        <v>0.25</v>
      </c>
      <c r="E63" s="3406">
        <v>0.25</v>
      </c>
      <c r="F63" s="3406">
        <v>0.25</v>
      </c>
      <c r="G63" s="3406">
        <v>0.15</v>
      </c>
    </row>
    <row r="64" spans="1:9" s="1066" customFormat="1">
      <c r="A64" s="1094" t="s">
        <v>884</v>
      </c>
      <c r="B64" s="3406">
        <v>0.5</v>
      </c>
      <c r="C64" s="3406">
        <v>0.2</v>
      </c>
      <c r="D64" s="3406">
        <v>0.2</v>
      </c>
      <c r="E64" s="3406">
        <v>0.2</v>
      </c>
      <c r="F64" s="3406">
        <v>0.2</v>
      </c>
      <c r="G64" s="3406">
        <v>0.1</v>
      </c>
    </row>
    <row r="65" spans="1:8" s="1066" customFormat="1">
      <c r="A65" s="1094" t="s">
        <v>885</v>
      </c>
      <c r="B65" s="3406">
        <v>0.5</v>
      </c>
      <c r="C65" s="3406">
        <v>0.2</v>
      </c>
      <c r="D65" s="3406">
        <v>0.2</v>
      </c>
      <c r="E65" s="3406">
        <v>0.2</v>
      </c>
      <c r="F65" s="3406">
        <v>0.2</v>
      </c>
      <c r="G65" s="3406">
        <v>0.1</v>
      </c>
    </row>
    <row r="66" spans="1:8" s="1066" customFormat="1">
      <c r="A66" s="1094" t="s">
        <v>886</v>
      </c>
      <c r="B66" s="3406">
        <v>0.5</v>
      </c>
      <c r="C66" s="3406">
        <v>0.2</v>
      </c>
      <c r="D66" s="3406">
        <v>0.2</v>
      </c>
      <c r="E66" s="3406">
        <v>0.2</v>
      </c>
      <c r="F66" s="3406">
        <v>0.2</v>
      </c>
      <c r="G66" s="3406">
        <v>0.1</v>
      </c>
    </row>
    <row r="67" spans="1:8" s="1066" customFormat="1">
      <c r="A67" s="1094" t="s">
        <v>887</v>
      </c>
      <c r="B67" s="3406">
        <v>0.5</v>
      </c>
      <c r="C67" s="3406">
        <v>0.2</v>
      </c>
      <c r="D67" s="3406">
        <v>0.2</v>
      </c>
      <c r="E67" s="3406">
        <v>0.2</v>
      </c>
      <c r="F67" s="3406">
        <v>0.2</v>
      </c>
      <c r="G67" s="3406">
        <v>0.1</v>
      </c>
    </row>
    <row r="68" spans="1:8" s="1066" customFormat="1">
      <c r="A68" s="1094" t="s">
        <v>888</v>
      </c>
      <c r="B68" s="3406">
        <v>0.5</v>
      </c>
      <c r="C68" s="3406">
        <v>0.2</v>
      </c>
      <c r="D68" s="3406">
        <v>0.2</v>
      </c>
      <c r="E68" s="3406">
        <v>0.2</v>
      </c>
      <c r="F68" s="3406">
        <v>0.2</v>
      </c>
      <c r="G68" s="3406">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3016</v>
      </c>
      <c r="D72" s="1096"/>
      <c r="E72" s="1081" t="s">
        <v>1411</v>
      </c>
      <c r="F72" s="1096" t="s">
        <v>1411</v>
      </c>
    </row>
    <row r="73" spans="1:8" s="1066" customFormat="1">
      <c r="A73" s="3428">
        <v>1</v>
      </c>
      <c r="B73" s="4118" t="s">
        <v>3017</v>
      </c>
      <c r="C73" s="3406" t="s">
        <v>3018</v>
      </c>
      <c r="D73" s="3406" t="s">
        <v>3019</v>
      </c>
      <c r="E73" s="3429">
        <v>0.2</v>
      </c>
      <c r="F73" s="3428">
        <v>25</v>
      </c>
      <c r="H73" s="1066">
        <f>SUMIF(C71:C139,基准地价!C8,E71:E139)</f>
        <v>0</v>
      </c>
    </row>
    <row r="74" spans="1:8" s="1066" customFormat="1" ht="24">
      <c r="A74" s="3428">
        <v>2</v>
      </c>
      <c r="B74" s="4124"/>
      <c r="C74" s="3406" t="s">
        <v>3020</v>
      </c>
      <c r="D74" s="3406" t="s">
        <v>3021</v>
      </c>
      <c r="E74" s="3429">
        <v>0.2</v>
      </c>
      <c r="F74" s="3428">
        <v>25</v>
      </c>
    </row>
    <row r="75" spans="1:8" s="1066" customFormat="1" ht="24">
      <c r="A75" s="3428">
        <v>3</v>
      </c>
      <c r="B75" s="4124"/>
      <c r="C75" s="3406" t="s">
        <v>3022</v>
      </c>
      <c r="D75" s="3406" t="s">
        <v>3023</v>
      </c>
      <c r="E75" s="3429">
        <v>0.2</v>
      </c>
      <c r="F75" s="3428">
        <v>25</v>
      </c>
    </row>
    <row r="76" spans="1:8" s="1066" customFormat="1">
      <c r="A76" s="3428">
        <v>4</v>
      </c>
      <c r="B76" s="4124"/>
      <c r="C76" s="3406" t="s">
        <v>3024</v>
      </c>
      <c r="D76" s="3406" t="s">
        <v>3025</v>
      </c>
      <c r="E76" s="3429">
        <v>0.15</v>
      </c>
      <c r="F76" s="3428">
        <v>20</v>
      </c>
    </row>
    <row r="77" spans="1:8" s="1066" customFormat="1" ht="24">
      <c r="A77" s="3428">
        <v>5</v>
      </c>
      <c r="B77" s="4124"/>
      <c r="C77" s="3406" t="s">
        <v>3026</v>
      </c>
      <c r="D77" s="3406" t="s">
        <v>3027</v>
      </c>
      <c r="E77" s="3429">
        <v>0.15</v>
      </c>
      <c r="F77" s="3428">
        <v>20</v>
      </c>
    </row>
    <row r="78" spans="1:8" s="1066" customFormat="1" ht="24">
      <c r="A78" s="3428">
        <v>6</v>
      </c>
      <c r="B78" s="4124"/>
      <c r="C78" s="3406" t="s">
        <v>3028</v>
      </c>
      <c r="D78" s="3406" t="s">
        <v>3029</v>
      </c>
      <c r="E78" s="3429">
        <v>0.15</v>
      </c>
      <c r="F78" s="3428">
        <v>20</v>
      </c>
    </row>
    <row r="79" spans="1:8" s="1066" customFormat="1" ht="24">
      <c r="A79" s="3428">
        <v>7</v>
      </c>
      <c r="B79" s="4124"/>
      <c r="C79" s="3406" t="s">
        <v>3030</v>
      </c>
      <c r="D79" s="3406" t="s">
        <v>3031</v>
      </c>
      <c r="E79" s="3429">
        <v>0.15</v>
      </c>
      <c r="F79" s="3428">
        <v>20</v>
      </c>
    </row>
    <row r="80" spans="1:8" s="1066" customFormat="1" ht="24">
      <c r="A80" s="3428">
        <v>8</v>
      </c>
      <c r="B80" s="4124"/>
      <c r="C80" s="3406" t="s">
        <v>3032</v>
      </c>
      <c r="D80" s="3406" t="s">
        <v>3033</v>
      </c>
      <c r="E80" s="3429">
        <v>0.1</v>
      </c>
      <c r="F80" s="3428">
        <v>15</v>
      </c>
    </row>
    <row r="81" spans="1:6" s="1066" customFormat="1" ht="24">
      <c r="A81" s="3428">
        <v>9</v>
      </c>
      <c r="B81" s="4124"/>
      <c r="C81" s="3406" t="s">
        <v>3034</v>
      </c>
      <c r="D81" s="3406" t="s">
        <v>3035</v>
      </c>
      <c r="E81" s="3429">
        <v>0.1</v>
      </c>
      <c r="F81" s="3428">
        <v>15</v>
      </c>
    </row>
    <row r="82" spans="1:6" s="1066" customFormat="1" ht="24">
      <c r="A82" s="3428">
        <v>10</v>
      </c>
      <c r="B82" s="4124"/>
      <c r="C82" s="3406" t="s">
        <v>3036</v>
      </c>
      <c r="D82" s="3406" t="s">
        <v>3037</v>
      </c>
      <c r="E82" s="3429">
        <v>0.1</v>
      </c>
      <c r="F82" s="3428">
        <v>15</v>
      </c>
    </row>
    <row r="83" spans="1:6" s="1066" customFormat="1" ht="24">
      <c r="A83" s="3428">
        <v>11</v>
      </c>
      <c r="B83" s="4124"/>
      <c r="C83" s="3406" t="s">
        <v>3038</v>
      </c>
      <c r="D83" s="3406" t="s">
        <v>3039</v>
      </c>
      <c r="E83" s="3429">
        <v>0.1</v>
      </c>
      <c r="F83" s="3428">
        <v>15</v>
      </c>
    </row>
    <row r="84" spans="1:6" s="1066" customFormat="1" ht="24">
      <c r="A84" s="3428">
        <v>12</v>
      </c>
      <c r="B84" s="4124"/>
      <c r="C84" s="3406" t="s">
        <v>3040</v>
      </c>
      <c r="D84" s="3406" t="s">
        <v>3041</v>
      </c>
      <c r="E84" s="3429">
        <v>0.1</v>
      </c>
      <c r="F84" s="3428">
        <v>15</v>
      </c>
    </row>
    <row r="85" spans="1:6" s="1066" customFormat="1">
      <c r="A85" s="3428">
        <v>13</v>
      </c>
      <c r="B85" s="4124"/>
      <c r="C85" s="3406" t="s">
        <v>3042</v>
      </c>
      <c r="D85" s="3406" t="s">
        <v>3043</v>
      </c>
      <c r="E85" s="3429">
        <v>0.1</v>
      </c>
      <c r="F85" s="3428">
        <v>15</v>
      </c>
    </row>
    <row r="86" spans="1:6" s="1066" customFormat="1">
      <c r="A86" s="3428">
        <v>14</v>
      </c>
      <c r="B86" s="4124"/>
      <c r="C86" s="3406" t="s">
        <v>3044</v>
      </c>
      <c r="D86" s="3406" t="s">
        <v>3045</v>
      </c>
      <c r="E86" s="3429">
        <v>0.1</v>
      </c>
      <c r="F86" s="3428">
        <v>15</v>
      </c>
    </row>
    <row r="87" spans="1:6" s="1066" customFormat="1">
      <c r="A87" s="3428">
        <v>15</v>
      </c>
      <c r="B87" s="4124"/>
      <c r="C87" s="3406" t="s">
        <v>3046</v>
      </c>
      <c r="D87" s="3406" t="s">
        <v>3047</v>
      </c>
      <c r="E87" s="3429">
        <v>0.1</v>
      </c>
      <c r="F87" s="3428">
        <v>15</v>
      </c>
    </row>
    <row r="88" spans="1:6" s="1066" customFormat="1" ht="24">
      <c r="A88" s="3428">
        <v>16</v>
      </c>
      <c r="B88" s="4124"/>
      <c r="C88" s="3406" t="s">
        <v>3048</v>
      </c>
      <c r="D88" s="3406" t="s">
        <v>3049</v>
      </c>
      <c r="E88" s="3429">
        <v>0.1</v>
      </c>
      <c r="F88" s="3428">
        <v>15</v>
      </c>
    </row>
    <row r="89" spans="1:6" s="1066" customFormat="1" ht="24">
      <c r="A89" s="3428">
        <v>17</v>
      </c>
      <c r="B89" s="4119"/>
      <c r="C89" s="3406" t="s">
        <v>3050</v>
      </c>
      <c r="D89" s="3406" t="s">
        <v>3051</v>
      </c>
      <c r="E89" s="3429">
        <v>0.1</v>
      </c>
      <c r="F89" s="3428">
        <v>15</v>
      </c>
    </row>
    <row r="90" spans="1:6" s="1066" customFormat="1">
      <c r="A90" s="3428">
        <v>18</v>
      </c>
      <c r="B90" s="4118" t="s">
        <v>3052</v>
      </c>
      <c r="C90" s="3406" t="s">
        <v>3053</v>
      </c>
      <c r="D90" s="3406" t="s">
        <v>3054</v>
      </c>
      <c r="E90" s="3429">
        <v>0.2</v>
      </c>
      <c r="F90" s="3428">
        <v>25</v>
      </c>
    </row>
    <row r="91" spans="1:6" s="1066" customFormat="1" ht="24">
      <c r="A91" s="3428">
        <v>19</v>
      </c>
      <c r="B91" s="4124"/>
      <c r="C91" s="3406" t="s">
        <v>3055</v>
      </c>
      <c r="D91" s="3406" t="s">
        <v>3056</v>
      </c>
      <c r="E91" s="3429">
        <v>0.2</v>
      </c>
      <c r="F91" s="3428">
        <v>25</v>
      </c>
    </row>
    <row r="92" spans="1:6" s="1066" customFormat="1">
      <c r="A92" s="3428">
        <v>20</v>
      </c>
      <c r="B92" s="4124"/>
      <c r="C92" s="3406" t="s">
        <v>3057</v>
      </c>
      <c r="D92" s="3406" t="s">
        <v>3058</v>
      </c>
      <c r="E92" s="3429">
        <v>0.15</v>
      </c>
      <c r="F92" s="3428">
        <v>20</v>
      </c>
    </row>
    <row r="93" spans="1:6" s="1066" customFormat="1" ht="24">
      <c r="A93" s="3428">
        <v>21</v>
      </c>
      <c r="B93" s="4124"/>
      <c r="C93" s="3406" t="s">
        <v>3059</v>
      </c>
      <c r="D93" s="3406" t="s">
        <v>3060</v>
      </c>
      <c r="E93" s="3429">
        <v>0.15</v>
      </c>
      <c r="F93" s="3428">
        <v>20</v>
      </c>
    </row>
    <row r="94" spans="1:6" s="1066" customFormat="1" ht="24">
      <c r="A94" s="3428">
        <v>22</v>
      </c>
      <c r="B94" s="4124"/>
      <c r="C94" s="3406" t="s">
        <v>3061</v>
      </c>
      <c r="D94" s="3406" t="s">
        <v>3062</v>
      </c>
      <c r="E94" s="3429">
        <v>0.15</v>
      </c>
      <c r="F94" s="3428">
        <v>20</v>
      </c>
    </row>
    <row r="95" spans="1:6" s="1066" customFormat="1" ht="36">
      <c r="A95" s="3428">
        <v>23</v>
      </c>
      <c r="B95" s="4124"/>
      <c r="C95" s="3406" t="s">
        <v>3063</v>
      </c>
      <c r="D95" s="3406" t="s">
        <v>3064</v>
      </c>
      <c r="E95" s="3429">
        <v>0.15</v>
      </c>
      <c r="F95" s="3428">
        <v>20</v>
      </c>
    </row>
    <row r="96" spans="1:6" s="1066" customFormat="1">
      <c r="A96" s="3428">
        <v>24</v>
      </c>
      <c r="B96" s="4124"/>
      <c r="C96" s="3406" t="s">
        <v>3065</v>
      </c>
      <c r="D96" s="3406" t="s">
        <v>3066</v>
      </c>
      <c r="E96" s="3429">
        <v>0.1</v>
      </c>
      <c r="F96" s="3428">
        <v>15</v>
      </c>
    </row>
    <row r="97" spans="1:6" s="1066" customFormat="1" ht="24">
      <c r="A97" s="3428">
        <v>25</v>
      </c>
      <c r="B97" s="4124"/>
      <c r="C97" s="3406" t="s">
        <v>3067</v>
      </c>
      <c r="D97" s="3406" t="s">
        <v>3068</v>
      </c>
      <c r="E97" s="3429">
        <v>0.1</v>
      </c>
      <c r="F97" s="3428">
        <v>15</v>
      </c>
    </row>
    <row r="98" spans="1:6" s="1066" customFormat="1" ht="24">
      <c r="A98" s="3428">
        <v>26</v>
      </c>
      <c r="B98" s="4124"/>
      <c r="C98" s="3406" t="s">
        <v>3069</v>
      </c>
      <c r="D98" s="3406" t="s">
        <v>3070</v>
      </c>
      <c r="E98" s="3429">
        <v>0.1</v>
      </c>
      <c r="F98" s="3428">
        <v>15</v>
      </c>
    </row>
    <row r="99" spans="1:6" s="1066" customFormat="1" ht="24">
      <c r="A99" s="3428">
        <v>27</v>
      </c>
      <c r="B99" s="4124"/>
      <c r="C99" s="3406" t="s">
        <v>3071</v>
      </c>
      <c r="D99" s="3406" t="s">
        <v>3072</v>
      </c>
      <c r="E99" s="3429">
        <v>0.1</v>
      </c>
      <c r="F99" s="3428">
        <v>15</v>
      </c>
    </row>
    <row r="100" spans="1:6" s="1066" customFormat="1" ht="24">
      <c r="A100" s="3428">
        <v>28</v>
      </c>
      <c r="B100" s="4124"/>
      <c r="C100" s="3406" t="s">
        <v>3073</v>
      </c>
      <c r="D100" s="3406" t="s">
        <v>3074</v>
      </c>
      <c r="E100" s="3429">
        <v>0.1</v>
      </c>
      <c r="F100" s="3428">
        <v>15</v>
      </c>
    </row>
    <row r="101" spans="1:6" s="1066" customFormat="1" ht="24">
      <c r="A101" s="3428">
        <v>29</v>
      </c>
      <c r="B101" s="4124"/>
      <c r="C101" s="3406" t="s">
        <v>3075</v>
      </c>
      <c r="D101" s="3406" t="s">
        <v>3076</v>
      </c>
      <c r="E101" s="3429">
        <v>0.1</v>
      </c>
      <c r="F101" s="3428">
        <v>15</v>
      </c>
    </row>
    <row r="102" spans="1:6" s="1066" customFormat="1" ht="24">
      <c r="A102" s="3428">
        <v>30</v>
      </c>
      <c r="B102" s="4124"/>
      <c r="C102" s="3406" t="s">
        <v>3077</v>
      </c>
      <c r="D102" s="3406" t="s">
        <v>3078</v>
      </c>
      <c r="E102" s="3429">
        <v>0.1</v>
      </c>
      <c r="F102" s="3428">
        <v>15</v>
      </c>
    </row>
    <row r="103" spans="1:6" s="1066" customFormat="1" ht="24">
      <c r="A103" s="3428">
        <v>31</v>
      </c>
      <c r="B103" s="4124"/>
      <c r="C103" s="3406" t="s">
        <v>3079</v>
      </c>
      <c r="D103" s="3406" t="s">
        <v>3080</v>
      </c>
      <c r="E103" s="3429">
        <v>0.1</v>
      </c>
      <c r="F103" s="3428">
        <v>15</v>
      </c>
    </row>
    <row r="104" spans="1:6" s="1066" customFormat="1" ht="24">
      <c r="A104" s="3428">
        <v>32</v>
      </c>
      <c r="B104" s="4124"/>
      <c r="C104" s="3406" t="s">
        <v>3081</v>
      </c>
      <c r="D104" s="3406" t="s">
        <v>3082</v>
      </c>
      <c r="E104" s="3429">
        <v>0.1</v>
      </c>
      <c r="F104" s="3428">
        <v>15</v>
      </c>
    </row>
    <row r="105" spans="1:6" s="1066" customFormat="1" ht="24">
      <c r="A105" s="3428">
        <v>33</v>
      </c>
      <c r="B105" s="4124"/>
      <c r="C105" s="3406" t="s">
        <v>3083</v>
      </c>
      <c r="D105" s="3406" t="s">
        <v>3084</v>
      </c>
      <c r="E105" s="3429">
        <v>0.1</v>
      </c>
      <c r="F105" s="3428">
        <v>15</v>
      </c>
    </row>
    <row r="106" spans="1:6" s="1066" customFormat="1" ht="24">
      <c r="A106" s="3428">
        <v>34</v>
      </c>
      <c r="B106" s="4119"/>
      <c r="C106" s="3406" t="s">
        <v>3085</v>
      </c>
      <c r="D106" s="3406" t="s">
        <v>3086</v>
      </c>
      <c r="E106" s="3429">
        <v>0.1</v>
      </c>
      <c r="F106" s="3428">
        <v>15</v>
      </c>
    </row>
    <row r="107" spans="1:6" s="1066" customFormat="1" ht="24">
      <c r="A107" s="3428">
        <v>35</v>
      </c>
      <c r="B107" s="4118" t="s">
        <v>3087</v>
      </c>
      <c r="C107" s="3428" t="s">
        <v>3088</v>
      </c>
      <c r="D107" s="3406" t="s">
        <v>3089</v>
      </c>
      <c r="E107" s="3429">
        <v>0.15</v>
      </c>
      <c r="F107" s="3428">
        <v>20</v>
      </c>
    </row>
    <row r="108" spans="1:6" s="1066" customFormat="1" ht="24">
      <c r="A108" s="3428">
        <v>36</v>
      </c>
      <c r="B108" s="4124"/>
      <c r="C108" s="3428" t="s">
        <v>3090</v>
      </c>
      <c r="D108" s="3406" t="s">
        <v>3091</v>
      </c>
      <c r="E108" s="3429">
        <v>0.15</v>
      </c>
      <c r="F108" s="3428">
        <v>20</v>
      </c>
    </row>
    <row r="109" spans="1:6" s="1066" customFormat="1" ht="24">
      <c r="A109" s="3428">
        <v>37</v>
      </c>
      <c r="B109" s="4124"/>
      <c r="C109" s="3428" t="s">
        <v>3092</v>
      </c>
      <c r="D109" s="3406" t="s">
        <v>3093</v>
      </c>
      <c r="E109" s="3429">
        <v>0.15</v>
      </c>
      <c r="F109" s="3428">
        <v>20</v>
      </c>
    </row>
    <row r="110" spans="1:6" s="1066" customFormat="1">
      <c r="A110" s="3428">
        <v>38</v>
      </c>
      <c r="B110" s="4124"/>
      <c r="C110" s="3428" t="s">
        <v>3094</v>
      </c>
      <c r="D110" s="3406" t="s">
        <v>3095</v>
      </c>
      <c r="E110" s="3429">
        <v>0.1</v>
      </c>
      <c r="F110" s="3428">
        <v>15</v>
      </c>
    </row>
    <row r="111" spans="1:6" s="1066" customFormat="1" ht="24">
      <c r="A111" s="3428">
        <v>39</v>
      </c>
      <c r="B111" s="4124"/>
      <c r="C111" s="3428" t="s">
        <v>3096</v>
      </c>
      <c r="D111" s="3406" t="s">
        <v>3097</v>
      </c>
      <c r="E111" s="3429">
        <v>0.1</v>
      </c>
      <c r="F111" s="3428">
        <v>15</v>
      </c>
    </row>
    <row r="112" spans="1:6" s="1066" customFormat="1" ht="24">
      <c r="A112" s="3428">
        <v>40</v>
      </c>
      <c r="B112" s="4119"/>
      <c r="C112" s="3428" t="s">
        <v>3098</v>
      </c>
      <c r="D112" s="3406" t="s">
        <v>3099</v>
      </c>
      <c r="E112" s="3429">
        <v>0.1</v>
      </c>
      <c r="F112" s="3428">
        <v>15</v>
      </c>
    </row>
    <row r="113" spans="1:6" s="1066" customFormat="1" ht="24">
      <c r="A113" s="3428">
        <v>41</v>
      </c>
      <c r="B113" s="4117" t="s">
        <v>3100</v>
      </c>
      <c r="C113" s="3428" t="s">
        <v>3101</v>
      </c>
      <c r="D113" s="3406" t="s">
        <v>3102</v>
      </c>
      <c r="E113" s="3429">
        <v>0.1</v>
      </c>
      <c r="F113" s="3428">
        <v>15</v>
      </c>
    </row>
    <row r="114" spans="1:6" s="1066" customFormat="1">
      <c r="A114" s="3428">
        <v>42</v>
      </c>
      <c r="B114" s="4117"/>
      <c r="C114" s="3428" t="s">
        <v>3103</v>
      </c>
      <c r="D114" s="3406" t="s">
        <v>3104</v>
      </c>
      <c r="E114" s="3429">
        <v>0.1</v>
      </c>
      <c r="F114" s="3428">
        <v>15</v>
      </c>
    </row>
    <row r="115" spans="1:6" s="1066" customFormat="1" ht="24">
      <c r="A115" s="3428">
        <v>43</v>
      </c>
      <c r="B115" s="4117"/>
      <c r="C115" s="3428" t="s">
        <v>3105</v>
      </c>
      <c r="D115" s="3406" t="s">
        <v>3106</v>
      </c>
      <c r="E115" s="3429">
        <v>0.1</v>
      </c>
      <c r="F115" s="3428">
        <v>15</v>
      </c>
    </row>
    <row r="116" spans="1:6" s="1066" customFormat="1" ht="24">
      <c r="A116" s="3428">
        <v>44</v>
      </c>
      <c r="B116" s="4118" t="s">
        <v>3107</v>
      </c>
      <c r="C116" s="3428" t="s">
        <v>3108</v>
      </c>
      <c r="D116" s="3406" t="s">
        <v>3109</v>
      </c>
      <c r="E116" s="3429">
        <v>0.1</v>
      </c>
      <c r="F116" s="3428">
        <v>15</v>
      </c>
    </row>
    <row r="117" spans="1:6" s="1066" customFormat="1" ht="24">
      <c r="A117" s="3428">
        <v>45</v>
      </c>
      <c r="B117" s="4119"/>
      <c r="C117" s="3406" t="s">
        <v>3110</v>
      </c>
      <c r="D117" s="3406" t="s">
        <v>3111</v>
      </c>
      <c r="E117" s="3429">
        <v>0.1</v>
      </c>
      <c r="F117" s="3428">
        <v>15</v>
      </c>
    </row>
    <row r="118" spans="1:6" s="1066" customFormat="1" ht="24">
      <c r="A118" s="3428">
        <v>46</v>
      </c>
      <c r="B118" s="4118" t="s">
        <v>3112</v>
      </c>
      <c r="C118" s="3428" t="s">
        <v>3113</v>
      </c>
      <c r="D118" s="3406" t="s">
        <v>3114</v>
      </c>
      <c r="E118" s="3429">
        <v>0.1</v>
      </c>
      <c r="F118" s="3428">
        <v>15</v>
      </c>
    </row>
    <row r="119" spans="1:6" s="1066" customFormat="1" ht="24">
      <c r="A119" s="3428">
        <v>47</v>
      </c>
      <c r="B119" s="4119"/>
      <c r="C119" s="3428" t="s">
        <v>3115</v>
      </c>
      <c r="D119" s="3406" t="s">
        <v>3116</v>
      </c>
      <c r="E119" s="3429">
        <v>0.1</v>
      </c>
      <c r="F119" s="3428">
        <v>15</v>
      </c>
    </row>
    <row r="120" spans="1:6" s="1066" customFormat="1" ht="24">
      <c r="A120" s="3428">
        <v>48</v>
      </c>
      <c r="B120" s="4118" t="s">
        <v>3117</v>
      </c>
      <c r="C120" s="3428" t="s">
        <v>3118</v>
      </c>
      <c r="D120" s="3406" t="s">
        <v>3119</v>
      </c>
      <c r="E120" s="3429">
        <v>0.1</v>
      </c>
      <c r="F120" s="3428">
        <v>15</v>
      </c>
    </row>
    <row r="121" spans="1:6" s="1066" customFormat="1">
      <c r="A121" s="3428">
        <v>49</v>
      </c>
      <c r="B121" s="4119"/>
      <c r="C121" s="3428" t="s">
        <v>3120</v>
      </c>
      <c r="D121" s="3406" t="s">
        <v>3121</v>
      </c>
      <c r="E121" s="3429">
        <v>0.1</v>
      </c>
      <c r="F121" s="3428">
        <v>15</v>
      </c>
    </row>
    <row r="122" spans="1:6" s="1066" customFormat="1" ht="24">
      <c r="A122" s="3428">
        <v>50</v>
      </c>
      <c r="B122" s="4117" t="s">
        <v>3122</v>
      </c>
      <c r="C122" s="3428" t="s">
        <v>3123</v>
      </c>
      <c r="D122" s="3406" t="s">
        <v>3124</v>
      </c>
      <c r="E122" s="3429">
        <v>0.1</v>
      </c>
      <c r="F122" s="3428">
        <v>15</v>
      </c>
    </row>
    <row r="123" spans="1:6" s="1066" customFormat="1" ht="24">
      <c r="A123" s="3428">
        <v>51</v>
      </c>
      <c r="B123" s="4117"/>
      <c r="C123" s="3428" t="s">
        <v>3125</v>
      </c>
      <c r="D123" s="3406" t="s">
        <v>3126</v>
      </c>
      <c r="E123" s="3429">
        <v>0.1</v>
      </c>
      <c r="F123" s="3428">
        <v>15</v>
      </c>
    </row>
    <row r="124" spans="1:6" s="1066" customFormat="1" ht="24">
      <c r="A124" s="3428">
        <v>52</v>
      </c>
      <c r="B124" s="4117" t="s">
        <v>3127</v>
      </c>
      <c r="C124" s="3428" t="s">
        <v>3128</v>
      </c>
      <c r="D124" s="3406" t="s">
        <v>3129</v>
      </c>
      <c r="E124" s="3429">
        <v>0.1</v>
      </c>
      <c r="F124" s="3428">
        <v>15</v>
      </c>
    </row>
    <row r="125" spans="1:6" s="1066" customFormat="1" ht="24">
      <c r="A125" s="3428">
        <v>53</v>
      </c>
      <c r="B125" s="4117"/>
      <c r="C125" s="3428" t="s">
        <v>3130</v>
      </c>
      <c r="D125" s="3406" t="s">
        <v>3131</v>
      </c>
      <c r="E125" s="3429">
        <v>0.1</v>
      </c>
      <c r="F125" s="3428">
        <v>15</v>
      </c>
    </row>
    <row r="126" spans="1:6" s="1066" customFormat="1" ht="24">
      <c r="A126" s="3428">
        <v>54</v>
      </c>
      <c r="B126" s="3428" t="s">
        <v>3132</v>
      </c>
      <c r="C126" s="3428" t="s">
        <v>3133</v>
      </c>
      <c r="D126" s="3406" t="s">
        <v>3134</v>
      </c>
      <c r="E126" s="3429">
        <v>0.1</v>
      </c>
      <c r="F126" s="3428">
        <v>15</v>
      </c>
    </row>
    <row r="127" spans="1:6" s="1066" customFormat="1">
      <c r="A127" s="3428">
        <v>55</v>
      </c>
      <c r="B127" s="4117" t="s">
        <v>3135</v>
      </c>
      <c r="C127" s="3428" t="s">
        <v>3136</v>
      </c>
      <c r="D127" s="3406" t="s">
        <v>3137</v>
      </c>
      <c r="E127" s="3429">
        <v>0.1</v>
      </c>
      <c r="F127" s="3428">
        <v>15</v>
      </c>
    </row>
    <row r="128" spans="1:6" s="1066" customFormat="1">
      <c r="A128" s="3428">
        <v>56</v>
      </c>
      <c r="B128" s="4117"/>
      <c r="C128" s="3428" t="s">
        <v>3138</v>
      </c>
      <c r="D128" s="3406" t="s">
        <v>3139</v>
      </c>
      <c r="E128" s="3429">
        <v>0.1</v>
      </c>
      <c r="F128" s="3428">
        <v>15</v>
      </c>
    </row>
    <row r="129" spans="1:14" s="1066" customFormat="1" ht="24">
      <c r="A129" s="3428">
        <v>57</v>
      </c>
      <c r="B129" s="4117"/>
      <c r="C129" s="3428" t="s">
        <v>3140</v>
      </c>
      <c r="D129" s="3406" t="s">
        <v>3141</v>
      </c>
      <c r="E129" s="3429">
        <v>0.1</v>
      </c>
      <c r="F129" s="3428">
        <v>15</v>
      </c>
    </row>
    <row r="130" spans="1:14" s="1066" customFormat="1" ht="24">
      <c r="A130" s="3428">
        <v>58</v>
      </c>
      <c r="B130" s="4117" t="s">
        <v>3142</v>
      </c>
      <c r="C130" s="3428" t="s">
        <v>3143</v>
      </c>
      <c r="D130" s="3406" t="s">
        <v>3144</v>
      </c>
      <c r="E130" s="3429">
        <v>0.1</v>
      </c>
      <c r="F130" s="3428">
        <v>15</v>
      </c>
    </row>
    <row r="131" spans="1:14" s="1066" customFormat="1" ht="24">
      <c r="A131" s="3428">
        <v>59</v>
      </c>
      <c r="B131" s="4117"/>
      <c r="C131" s="3428" t="s">
        <v>3145</v>
      </c>
      <c r="D131" s="3406" t="s">
        <v>3146</v>
      </c>
      <c r="E131" s="3429">
        <v>0.1</v>
      </c>
      <c r="F131" s="3428">
        <v>15</v>
      </c>
    </row>
    <row r="132" spans="1:14" s="1066" customFormat="1" ht="24">
      <c r="A132" s="3428">
        <v>60</v>
      </c>
      <c r="B132" s="4118" t="s">
        <v>3147</v>
      </c>
      <c r="C132" s="3428" t="s">
        <v>3148</v>
      </c>
      <c r="D132" s="3406" t="s">
        <v>3149</v>
      </c>
      <c r="E132" s="3429">
        <v>0.1</v>
      </c>
      <c r="F132" s="3428">
        <v>15</v>
      </c>
    </row>
    <row r="133" spans="1:14" s="1066" customFormat="1" ht="24">
      <c r="A133" s="3428">
        <v>61</v>
      </c>
      <c r="B133" s="4119"/>
      <c r="C133" s="3428" t="s">
        <v>3150</v>
      </c>
      <c r="D133" s="3406" t="s">
        <v>3151</v>
      </c>
      <c r="E133" s="3429">
        <v>0.1</v>
      </c>
      <c r="F133" s="3428">
        <v>15</v>
      </c>
    </row>
    <row r="134" spans="1:14" ht="24">
      <c r="A134" s="3428">
        <v>62</v>
      </c>
      <c r="B134" s="3428" t="s">
        <v>3152</v>
      </c>
      <c r="C134" s="3428" t="s">
        <v>3153</v>
      </c>
      <c r="D134" s="3406" t="s">
        <v>3154</v>
      </c>
      <c r="E134" s="3429">
        <v>0.1</v>
      </c>
      <c r="F134" s="3428">
        <v>15</v>
      </c>
    </row>
    <row r="135" spans="1:14" ht="24">
      <c r="A135" s="3428">
        <v>63</v>
      </c>
      <c r="B135" s="4117" t="s">
        <v>3155</v>
      </c>
      <c r="C135" s="3428" t="s">
        <v>3156</v>
      </c>
      <c r="D135" s="3406" t="s">
        <v>3157</v>
      </c>
      <c r="E135" s="3429">
        <v>0.1</v>
      </c>
      <c r="F135" s="3428">
        <v>15</v>
      </c>
    </row>
    <row r="136" spans="1:14">
      <c r="A136" s="3428">
        <v>64</v>
      </c>
      <c r="B136" s="4117"/>
      <c r="C136" s="3428" t="s">
        <v>3158</v>
      </c>
      <c r="D136" s="3406" t="s">
        <v>3159</v>
      </c>
      <c r="E136" s="3429">
        <v>0.1</v>
      </c>
      <c r="F136" s="3428">
        <v>15</v>
      </c>
    </row>
    <row r="137" spans="1:14" ht="24">
      <c r="A137" s="3428">
        <v>65</v>
      </c>
      <c r="B137" s="3428" t="s">
        <v>3160</v>
      </c>
      <c r="C137" s="3428" t="s">
        <v>3161</v>
      </c>
      <c r="D137" s="3406" t="s">
        <v>3162</v>
      </c>
      <c r="E137" s="3429">
        <v>0.1</v>
      </c>
      <c r="F137" s="3428">
        <v>15</v>
      </c>
    </row>
    <row r="138" spans="1:14">
      <c r="A138" s="1096"/>
      <c r="B138" s="3386"/>
      <c r="C138" s="1096"/>
      <c r="D138" s="1029"/>
      <c r="E138" s="1081"/>
      <c r="F138" s="1096"/>
    </row>
    <row r="139" spans="1:14">
      <c r="A139" s="1096"/>
      <c r="B139" s="1096"/>
      <c r="C139" s="1096"/>
      <c r="D139" s="1096"/>
      <c r="E139" s="1081"/>
      <c r="F139" s="1096"/>
    </row>
    <row r="141" spans="1:14">
      <c r="A141" s="4115" t="s">
        <v>1425</v>
      </c>
      <c r="B141" s="4115"/>
      <c r="C141" s="4115"/>
      <c r="D141" s="4115"/>
      <c r="E141" s="4115"/>
      <c r="F141" s="4115"/>
      <c r="G141" s="4115"/>
      <c r="H141" s="4115"/>
      <c r="I141" s="4115"/>
      <c r="J141" s="4115"/>
      <c r="K141" s="1097"/>
      <c r="L141" s="1097"/>
      <c r="M141" s="1097"/>
      <c r="N141" s="1097"/>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129" t="s">
        <v>1009</v>
      </c>
      <c r="B1" s="4129"/>
      <c r="C1" s="4129"/>
      <c r="D1" s="4129"/>
      <c r="E1" s="4129"/>
      <c r="F1" s="4129"/>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130" t="s">
        <v>1022</v>
      </c>
      <c r="B2" s="4130"/>
      <c r="C2" s="4130"/>
      <c r="D2" s="4130"/>
      <c r="E2" s="4130"/>
      <c r="F2" s="4130"/>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31"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32"/>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133" t="s">
        <v>1860</v>
      </c>
      <c r="B1" s="4133"/>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2690</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18.75">
      <c r="A21" s="1654" t="s">
        <v>1855</v>
      </c>
    </row>
    <row r="22" spans="1:1" ht="93.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2072年11月1日。截至估价期日，出让国有建设用地使用权剩余土地使用年限为。</v>
      </c>
    </row>
    <row r="23" spans="1:1" ht="18.75">
      <c r="A23" s="1654" t="str">
        <f>IF(项目基本情况!B16="出让","本次评估设定估价对象剩余土地使用年限为"&amp;项目基本情况!D20&amp;"。","")</f>
        <v>本次评估设定估价对象剩余土地使用年限为。</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25" sqref="F25"/>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50</v>
      </c>
      <c r="G1" s="3167">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3676</v>
      </c>
      <c r="C2" s="3172"/>
      <c r="D2" s="3173"/>
      <c r="E2" s="3174"/>
      <c r="F2" s="3174"/>
      <c r="G2" s="3168"/>
      <c r="H2" s="1878"/>
      <c r="I2" s="1878"/>
      <c r="J2" s="1878"/>
      <c r="K2" s="1879"/>
      <c r="L2" s="1878"/>
      <c r="M2" s="1878"/>
    </row>
    <row r="3" spans="1:33" ht="18" customHeight="1" thickBot="1">
      <c r="A3" s="801" t="s">
        <v>1518</v>
      </c>
      <c r="B3" s="802">
        <f ca="1">IF(ISERROR(B2*10000/F43),0,ROUND(B2*10000/F43,0))</f>
        <v>5881</v>
      </c>
      <c r="C3" s="3172"/>
      <c r="D3" s="3173"/>
      <c r="E3" s="3174"/>
      <c r="F3" s="3174"/>
      <c r="G3" s="3168"/>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267</v>
      </c>
      <c r="D5" s="2284" t="s">
        <v>2229</v>
      </c>
      <c r="E5" s="2278"/>
      <c r="F5" s="2279"/>
      <c r="G5" s="1883"/>
      <c r="H5" s="750">
        <v>1</v>
      </c>
      <c r="I5" s="751" t="s">
        <v>2226</v>
      </c>
      <c r="J5" s="55">
        <f ca="1">J6+J10+J12</f>
        <v>0</v>
      </c>
      <c r="K5" s="2284" t="s">
        <v>2229</v>
      </c>
      <c r="L5" s="2278"/>
      <c r="M5" s="2279"/>
    </row>
    <row r="6" spans="1:33" ht="18" customHeight="1">
      <c r="A6" s="1693" t="s">
        <v>1615</v>
      </c>
      <c r="B6" s="4136" t="s">
        <v>2231</v>
      </c>
      <c r="C6" s="752">
        <f ca="1">ROUND(F6*F8*F7*(1-F9)/10000,0)</f>
        <v>267</v>
      </c>
      <c r="D6" s="2285" t="s">
        <v>2230</v>
      </c>
      <c r="E6" s="753" t="s">
        <v>1529</v>
      </c>
      <c r="F6" s="754">
        <f ca="1">INDIRECT("'数据-取费表'!u"&amp;$G$1)</f>
        <v>1.3</v>
      </c>
      <c r="G6" s="1883"/>
      <c r="H6" s="2292" t="s">
        <v>2236</v>
      </c>
      <c r="I6" s="4136" t="s">
        <v>2231</v>
      </c>
      <c r="J6" s="752">
        <f ca="1">ROUND(M6*M8*M7*(1-M9)/10000,0)</f>
        <v>0</v>
      </c>
      <c r="K6" s="338" t="s">
        <v>1528</v>
      </c>
      <c r="L6" s="753" t="s">
        <v>1529</v>
      </c>
      <c r="M6" s="754">
        <f ca="1">INDIRECT("'数据-取费表'!z"&amp;$G$1)</f>
        <v>0</v>
      </c>
    </row>
    <row r="7" spans="1:33" ht="18" customHeight="1">
      <c r="A7" s="2288"/>
      <c r="B7" s="4137"/>
      <c r="C7" s="757"/>
      <c r="D7" s="758"/>
      <c r="E7" s="753" t="s">
        <v>1530</v>
      </c>
      <c r="F7" s="754">
        <f ca="1">IF(INDIRECT("'数据-取费表'!ah"&amp;$G$1)="",INDIRECT("'数据-取费表'!k"&amp;$G$1),INDIRECT("'数据-取费表'!ah"&amp;$G$1))</f>
        <v>6250.48</v>
      </c>
      <c r="G7" s="1883"/>
      <c r="H7" s="2277"/>
      <c r="I7" s="4137"/>
      <c r="J7" s="757"/>
      <c r="K7" s="758"/>
      <c r="L7" s="753" t="s">
        <v>1530</v>
      </c>
      <c r="M7" s="754">
        <f ca="1">F7</f>
        <v>6250.48</v>
      </c>
    </row>
    <row r="8" spans="1:33" ht="18" customHeight="1">
      <c r="A8" s="2281"/>
      <c r="B8" s="4138"/>
      <c r="C8" s="757"/>
      <c r="D8" s="758"/>
      <c r="E8" s="753" t="s">
        <v>1531</v>
      </c>
      <c r="F8" s="754">
        <f ca="1">INDIRECT("'数据-取费表'!ai"&amp;$G$1)</f>
        <v>365</v>
      </c>
      <c r="G8" s="1883"/>
      <c r="H8" s="2277"/>
      <c r="I8" s="4138"/>
      <c r="J8" s="757"/>
      <c r="K8" s="758"/>
      <c r="L8" s="753" t="s">
        <v>1531</v>
      </c>
      <c r="M8" s="754">
        <f ca="1">INDIRECT("'数据-取费表'!ai"&amp;$G$1)</f>
        <v>365</v>
      </c>
    </row>
    <row r="9" spans="1:33" ht="18" customHeight="1">
      <c r="A9" s="755"/>
      <c r="B9" s="4139"/>
      <c r="C9" s="757"/>
      <c r="D9" s="758"/>
      <c r="E9" s="753" t="s">
        <v>1532</v>
      </c>
      <c r="F9" s="763">
        <f ca="1">INDIRECT("'数据-取费表'!w"&amp;$G$1)</f>
        <v>0.1</v>
      </c>
      <c r="G9" s="1883"/>
      <c r="H9" s="2293"/>
      <c r="I9" s="4138"/>
      <c r="J9" s="757"/>
      <c r="K9" s="758"/>
      <c r="L9" s="764" t="s">
        <v>1532</v>
      </c>
      <c r="M9" s="765">
        <f ca="1">INDIRECT("'数据-取费表'!ab"&amp;$G$1)</f>
        <v>0</v>
      </c>
    </row>
    <row r="10" spans="1:33" ht="18" customHeight="1">
      <c r="A10" s="1693" t="s">
        <v>2234</v>
      </c>
      <c r="B10" s="2282" t="s">
        <v>2227</v>
      </c>
      <c r="C10" s="768">
        <f ca="1">ROUND(IF(F10="押一",C6/12*F11,IF(F10="押二",C6/12*2*F11,IF(F10="押三",C6/12*3*F11,C11*F11))),0)</f>
        <v>0</v>
      </c>
      <c r="D10" s="2289" t="s">
        <v>2717</v>
      </c>
      <c r="E10" s="2286" t="s">
        <v>2232</v>
      </c>
      <c r="F10" s="2396" t="s">
        <v>3237</v>
      </c>
      <c r="G10" s="1883"/>
      <c r="H10" s="2349" t="s">
        <v>2237</v>
      </c>
      <c r="I10" s="2354" t="s">
        <v>2227</v>
      </c>
      <c r="J10" s="752">
        <f ca="1">ROUND(IF(M10="押一",J6/12*M11,IF(M10="押二",J6/12*2*M11,IF(M10="押三",J6/12*3*M11,J11*M11))),0)</f>
        <v>0</v>
      </c>
      <c r="K10" s="2289" t="s">
        <v>2717</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1468</v>
      </c>
      <c r="D13" s="1697" t="s">
        <v>2076</v>
      </c>
      <c r="E13" s="1697" t="s">
        <v>1535</v>
      </c>
      <c r="F13" s="2324">
        <f ca="1">INDIRECT("'数据-取费表'!y"&amp;$G$1)</f>
        <v>0.8</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1250</v>
      </c>
      <c r="D14" s="1831" t="s">
        <v>1536</v>
      </c>
      <c r="E14" s="1832"/>
      <c r="F14" s="774"/>
      <c r="G14" s="1883"/>
      <c r="H14" s="1526" t="s">
        <v>1621</v>
      </c>
      <c r="I14" s="2048" t="s">
        <v>2591</v>
      </c>
      <c r="J14" s="53">
        <f ca="1">C29</f>
        <v>1835</v>
      </c>
      <c r="K14" s="26"/>
      <c r="L14" s="770"/>
      <c r="M14" s="771"/>
    </row>
    <row r="15" spans="1:33" s="1885" customFormat="1" ht="18" customHeight="1" thickBot="1">
      <c r="A15" s="1525" t="s">
        <v>1670</v>
      </c>
      <c r="B15" s="753" t="s">
        <v>620</v>
      </c>
      <c r="C15" s="53">
        <f ca="1">ROUND(C14*F15,0)</f>
        <v>38</v>
      </c>
      <c r="D15" s="775" t="s">
        <v>1537</v>
      </c>
      <c r="E15" s="775" t="s">
        <v>1538</v>
      </c>
      <c r="F15" s="776">
        <f>'数据-取费表'!B33</f>
        <v>0.03</v>
      </c>
      <c r="G15" s="3169"/>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186</v>
      </c>
      <c r="K16" s="1684" t="s">
        <v>1541</v>
      </c>
      <c r="L16" s="2274"/>
      <c r="M16" s="2279"/>
    </row>
    <row r="17" spans="1:33" s="1885" customFormat="1" ht="18" customHeight="1">
      <c r="A17" s="1525" t="s">
        <v>1672</v>
      </c>
      <c r="B17" s="753" t="s">
        <v>626</v>
      </c>
      <c r="C17" s="53">
        <f ca="1">ROUND(F17*(F43+INDIRECT("'数据-取费表'!S"&amp;$G$1))/10000,0)</f>
        <v>113</v>
      </c>
      <c r="D17" s="753" t="s">
        <v>1542</v>
      </c>
      <c r="E17" s="753" t="s">
        <v>1543</v>
      </c>
      <c r="F17" s="56">
        <f>'数据-取费表'!B35</f>
        <v>180</v>
      </c>
      <c r="G17" s="3169"/>
      <c r="H17" s="1526" t="s">
        <v>1621</v>
      </c>
      <c r="I17" s="753" t="s">
        <v>629</v>
      </c>
      <c r="J17" s="2936">
        <f ca="1">ROUND(IF(AND(项目基本情况!B11="自然人",项目基本情况!B10="北京市"),J6*M17/(1+'数据-取费表'!C42),J18+J19+J20),0)</f>
        <v>158</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19</v>
      </c>
      <c r="D18" s="753" t="s">
        <v>1537</v>
      </c>
      <c r="E18" s="753" t="s">
        <v>1538</v>
      </c>
      <c r="F18" s="778">
        <f>'数据-取费表'!B36</f>
        <v>1.4999999999999999E-2</v>
      </c>
      <c r="G18" s="3169"/>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1420</v>
      </c>
      <c r="D19" s="258" t="s">
        <v>1548</v>
      </c>
      <c r="E19" s="1834"/>
      <c r="F19" s="56"/>
      <c r="G19" s="1883"/>
      <c r="H19" s="1525" t="s">
        <v>1670</v>
      </c>
      <c r="I19" s="753" t="s">
        <v>1549</v>
      </c>
      <c r="J19" s="53">
        <f ca="1">IF(K19="按租金收入计税",ROUND(J6*M19/(1+'数据-取费表'!C42),1),ROUND(C29*F33*0.7,1))</f>
        <v>154.1</v>
      </c>
      <c r="K19" s="779" t="s">
        <v>638</v>
      </c>
      <c r="L19" s="753" t="s">
        <v>1538</v>
      </c>
      <c r="M19" s="778">
        <f>IF(K19="按租金收入计税",'数据-取费表'!B51,'数据-取费表'!B50)</f>
        <v>1.2E-2</v>
      </c>
    </row>
    <row r="20" spans="1:33" s="1885" customFormat="1" ht="18" customHeight="1">
      <c r="A20" s="1526" t="s">
        <v>1674</v>
      </c>
      <c r="B20" s="753" t="s">
        <v>639</v>
      </c>
      <c r="C20" s="53">
        <f ca="1">ROUND(C19*F20,0)</f>
        <v>28</v>
      </c>
      <c r="D20" s="780" t="s">
        <v>1550</v>
      </c>
      <c r="E20" s="753" t="s">
        <v>1538</v>
      </c>
      <c r="F20" s="778">
        <f>'数据-取费表'!B37</f>
        <v>0.02</v>
      </c>
      <c r="G20" s="3169"/>
      <c r="H20" s="1528" t="s">
        <v>1665</v>
      </c>
      <c r="I20" s="338" t="s">
        <v>1551</v>
      </c>
      <c r="J20" s="54">
        <f ca="1">ROUND(M20*M21/10000,0)</f>
        <v>4</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0.02</v>
      </c>
      <c r="G21" s="3169"/>
      <c r="H21" s="2294"/>
      <c r="I21" s="762"/>
      <c r="J21" s="69"/>
      <c r="K21" s="784"/>
      <c r="L21" s="753" t="s">
        <v>1557</v>
      </c>
      <c r="M21" s="754">
        <f ca="1">INDIRECT("'数据-取费表'!r"&amp;$G$1)</f>
        <v>27531</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单利计息。建造成本、管理费用、销售费用产生的利息。</v>
      </c>
      <c r="E22" s="1834"/>
      <c r="F22" s="56"/>
      <c r="G22" s="1883"/>
      <c r="H22" s="1526" t="s">
        <v>1674</v>
      </c>
      <c r="I22" s="753" t="s">
        <v>1559</v>
      </c>
      <c r="J22" s="53">
        <f ca="1">ROUND(J14*M22,0)</f>
        <v>28</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31</v>
      </c>
      <c r="D23" s="2357" t="str">
        <f>IF(F23&lt;=1,"(建造成本+管理费用)×利率×(建设周期÷2)","(建造成本+管理费用)×((1+利率)^(建设周期÷2)-1)")</f>
        <v>(建造成本+管理费用)×利率×(建设周期÷2)</v>
      </c>
      <c r="E23" s="753" t="s">
        <v>1561</v>
      </c>
      <c r="F23" s="613">
        <f>'数据-取费表'!B20</f>
        <v>1</v>
      </c>
      <c r="G23" s="3169"/>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ROUND(IF('数据-取费表'!B22&lt;=1,F21*F24*F23/2,F21*(POWER((1+F24),F23/2)-1)),4)</f>
        <v>4.0000000000000002E-4</v>
      </c>
      <c r="D24" s="2357" t="str">
        <f>IF(F23&lt;=1,"销售费用×利率×(建设周期÷2)","销售费用×((1+利率)^(建设周期÷2)-1)")</f>
        <v>销售费用×利率×(建设周期÷2)</v>
      </c>
      <c r="E24" s="753" t="s">
        <v>1564</v>
      </c>
      <c r="F24" s="787">
        <v>4.3499999999999997E-2</v>
      </c>
      <c r="G24" s="3169"/>
      <c r="H24" s="2339" t="s">
        <v>1676</v>
      </c>
      <c r="I24" s="2334" t="s">
        <v>639</v>
      </c>
      <c r="J24" s="2332">
        <f ca="1">ROUND(J5*M24,0)</f>
        <v>0</v>
      </c>
      <c r="K24" s="2333" t="s">
        <v>1565</v>
      </c>
      <c r="L24" s="2334" t="s">
        <v>1538</v>
      </c>
      <c r="M24" s="2330">
        <f ca="1">INDIRECT("'数据-取费表'!Am"&amp;$G$1)</f>
        <v>0.01</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-186</v>
      </c>
      <c r="K25" s="2336" t="s">
        <v>1568</v>
      </c>
      <c r="L25" s="2337"/>
      <c r="M25" s="2338"/>
    </row>
    <row r="26" spans="1:33" ht="18" customHeight="1">
      <c r="A26" s="1525" t="s">
        <v>1622</v>
      </c>
      <c r="B26" s="753" t="s">
        <v>2208</v>
      </c>
      <c r="C26" s="53">
        <f ca="1">ROUND((C19+C20)*F26,0)</f>
        <v>217</v>
      </c>
      <c r="D26" s="780" t="s">
        <v>1569</v>
      </c>
      <c r="E26" s="764" t="s">
        <v>1570</v>
      </c>
      <c r="F26" s="763">
        <v>0.15</v>
      </c>
      <c r="G26" s="1883"/>
      <c r="H26" s="2290" t="s">
        <v>1571</v>
      </c>
      <c r="I26" s="2049" t="s">
        <v>2592</v>
      </c>
      <c r="J26" s="752">
        <f ca="1">IF(J5&lt;&gt;0,ROUND(J25*(1-((1+M28)/(1+M26))^M27)/(M26-M28),0),0)</f>
        <v>0</v>
      </c>
      <c r="K26" s="782" t="s">
        <v>1572</v>
      </c>
      <c r="L26" s="753" t="s">
        <v>2195</v>
      </c>
      <c r="M26" s="763">
        <f ca="1">INDIRECT("'数据-取费表'!I"&amp;$G$1)</f>
        <v>0.05</v>
      </c>
    </row>
    <row r="27" spans="1:33" ht="18" customHeight="1">
      <c r="A27" s="1525" t="s">
        <v>1623</v>
      </c>
      <c r="B27" s="753" t="s">
        <v>659</v>
      </c>
      <c r="C27" s="53">
        <f>ROUND(F21*F26,4)</f>
        <v>3.0000000000000001E-3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69"/>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1835</v>
      </c>
      <c r="D29" s="2333"/>
      <c r="E29" s="2334"/>
      <c r="F29" s="2335"/>
      <c r="G29" s="3169"/>
      <c r="H29" s="791" t="s">
        <v>1578</v>
      </c>
      <c r="I29" s="792" t="s">
        <v>1579</v>
      </c>
      <c r="J29" s="793">
        <f ca="1">ROUND(J26/(1+F40)^F41,0)</f>
        <v>0</v>
      </c>
      <c r="K29" s="794" t="s">
        <v>1580</v>
      </c>
      <c r="L29" s="795"/>
      <c r="M29" s="796">
        <f ca="1">INDIRECT("'数据-取费表'!k"&amp;$G$1)</f>
        <v>6250.48</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81</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49</v>
      </c>
      <c r="D31" s="1831" t="s">
        <v>1583</v>
      </c>
      <c r="E31" s="1829" t="s">
        <v>1584</v>
      </c>
      <c r="F31" s="2935" t="str">
        <f>IF(项目基本情况!B11="企业","——",IF('数据-取费表'!B10="住宅",IF(F6*F7*F8/12/(1+'数据-取费表'!F30)&gt;100000,4%,2.5%),IF(F6*F7*F8/12/(1+'数据-取费表'!F30)&gt;100000,12%,7%)))</f>
        <v>——</v>
      </c>
      <c r="G31" s="1883"/>
      <c r="H31" s="3166" t="s">
        <v>2771</v>
      </c>
      <c r="I31" s="1887"/>
      <c r="J31" s="1888"/>
      <c r="K31" s="1889"/>
      <c r="L31" s="1890"/>
      <c r="M31" s="1891"/>
    </row>
    <row r="32" spans="1:33" ht="18" customHeight="1">
      <c r="A32" s="1525" t="s">
        <v>1622</v>
      </c>
      <c r="B32" s="753" t="s">
        <v>1585</v>
      </c>
      <c r="C32" s="53">
        <f ca="1">ROUND(C6*F32/(1+'数据-取费表'!C42),1)</f>
        <v>14</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30.5</v>
      </c>
      <c r="D33" s="779" t="s">
        <v>3239</v>
      </c>
      <c r="E33" s="753" t="s">
        <v>1587</v>
      </c>
      <c r="F33" s="778">
        <f>IF(D33="按租金收入计税",'数据-取费表'!B51,'数据-取费表'!B50)</f>
        <v>0.12</v>
      </c>
      <c r="G33" s="1883"/>
      <c r="H33" s="1898"/>
      <c r="I33" s="1898"/>
      <c r="J33" s="1898"/>
      <c r="K33" s="1899"/>
      <c r="L33" s="1898"/>
      <c r="M33" s="1898"/>
    </row>
    <row r="34" spans="1:18" ht="18" customHeight="1">
      <c r="A34" s="1528" t="s">
        <v>1624</v>
      </c>
      <c r="B34" s="338" t="s">
        <v>1589</v>
      </c>
      <c r="C34" s="54">
        <f ca="1">ROUND(F34*F35/10000,1)</f>
        <v>4.0999999999999996</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27531</v>
      </c>
      <c r="G35" s="1883"/>
      <c r="H35" s="1886"/>
      <c r="I35" s="805" t="s">
        <v>1605</v>
      </c>
      <c r="J35" s="806">
        <f ca="1">ROUND(C13*J36,0)</f>
        <v>125</v>
      </c>
      <c r="K35" s="1899"/>
      <c r="L35" s="1898"/>
      <c r="M35" s="1898"/>
    </row>
    <row r="36" spans="1:18" ht="18" customHeight="1">
      <c r="A36" s="1526" t="s">
        <v>1674</v>
      </c>
      <c r="B36" s="753" t="s">
        <v>1593</v>
      </c>
      <c r="C36" s="53">
        <f ca="1">ROUND(C29*F36,1)</f>
        <v>27.5</v>
      </c>
      <c r="D36" s="1829" t="s">
        <v>1594</v>
      </c>
      <c r="E36" s="753" t="s">
        <v>1587</v>
      </c>
      <c r="F36" s="785">
        <f ca="1">INDIRECT("'数据-取费表'!Ak"&amp;$G$1)</f>
        <v>1.4999999999999999E-2</v>
      </c>
      <c r="G36" s="1883"/>
      <c r="H36" s="1898"/>
      <c r="I36" s="807" t="s">
        <v>1606</v>
      </c>
      <c r="J36" s="808">
        <f ca="1">INDIRECT("'数据-取费表'!j"&amp;$G$1)</f>
        <v>8.5000000000000006E-2</v>
      </c>
      <c r="K36" s="1902"/>
      <c r="L36" s="1898"/>
      <c r="M36" s="1898"/>
    </row>
    <row r="37" spans="1:18" ht="18" customHeight="1">
      <c r="A37" s="1526" t="s">
        <v>1675</v>
      </c>
      <c r="B37" s="753" t="s">
        <v>652</v>
      </c>
      <c r="C37" s="53">
        <f ca="1">ROUND(C13*F37,1)</f>
        <v>2.2000000000000002</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2.7</v>
      </c>
      <c r="D38" s="2333" t="s">
        <v>1596</v>
      </c>
      <c r="E38" s="2334" t="s">
        <v>1587</v>
      </c>
      <c r="F38" s="2330">
        <f ca="1">INDIRECT("'数据-取费表'!Am"&amp;$G$1)</f>
        <v>0.01</v>
      </c>
      <c r="G38" s="1883"/>
      <c r="H38" s="1898"/>
      <c r="I38" s="811" t="s">
        <v>1608</v>
      </c>
      <c r="J38" s="812"/>
      <c r="K38" s="1903"/>
      <c r="L38" s="1898"/>
      <c r="M38" s="1898"/>
    </row>
    <row r="39" spans="1:18" ht="24.6" customHeight="1" thickTop="1">
      <c r="A39" s="1692" t="s">
        <v>1679</v>
      </c>
      <c r="B39" s="2652" t="s">
        <v>2587</v>
      </c>
      <c r="C39" s="761">
        <f ca="1">C5-C30</f>
        <v>186</v>
      </c>
      <c r="D39" s="2336" t="s">
        <v>1597</v>
      </c>
      <c r="E39" s="2337"/>
      <c r="F39" s="2338"/>
      <c r="G39" s="1883"/>
      <c r="H39" s="1898"/>
      <c r="I39" s="805" t="s">
        <v>1609</v>
      </c>
      <c r="J39" s="813">
        <f ca="1">ROUND(J35/C39,3)</f>
        <v>0.67200000000000004</v>
      </c>
      <c r="K39" s="1903"/>
      <c r="L39" s="1898"/>
      <c r="M39" s="1898"/>
    </row>
    <row r="40" spans="1:18" ht="18" customHeight="1">
      <c r="A40" s="750" t="s">
        <v>1680</v>
      </c>
      <c r="B40" s="2049" t="s">
        <v>2080</v>
      </c>
      <c r="C40" s="752">
        <f ca="1">ROUND(C39*(1-((1+F42)/(1+F40))^F41)/(F40-F42),0)</f>
        <v>3676</v>
      </c>
      <c r="D40" s="782" t="s">
        <v>1598</v>
      </c>
      <c r="E40" s="753" t="s">
        <v>2195</v>
      </c>
      <c r="F40" s="763">
        <v>4.4999999999999998E-2</v>
      </c>
      <c r="G40" s="1883"/>
      <c r="H40" s="1883"/>
      <c r="I40" s="805" t="s">
        <v>1610</v>
      </c>
      <c r="J40" s="813">
        <f ca="1">1-J39</f>
        <v>0.32799999999999996</v>
      </c>
      <c r="K40" s="1903"/>
      <c r="L40" s="1883"/>
      <c r="M40" s="1883"/>
    </row>
    <row r="41" spans="1:18" ht="18" customHeight="1">
      <c r="A41" s="755"/>
      <c r="B41" s="756"/>
      <c r="C41" s="757"/>
      <c r="D41" s="789" t="s">
        <v>1599</v>
      </c>
      <c r="E41" s="753" t="s">
        <v>2710</v>
      </c>
      <c r="F41" s="790">
        <f ca="1">IF(INDIRECT("'数据-取费表'!af"&amp;$G$1)=0,INDIRECT("'数据-取费表'!ae"&amp;$G$1),INDIRECT("'数据-取费表'!af"&amp;$G$1))</f>
        <v>50</v>
      </c>
      <c r="G41" s="1883"/>
      <c r="H41" s="1838"/>
      <c r="I41" s="811" t="s">
        <v>1611</v>
      </c>
      <c r="J41" s="814"/>
      <c r="K41" s="1902"/>
      <c r="L41" s="1838"/>
      <c r="M41" s="1838"/>
    </row>
    <row r="42" spans="1:18" ht="18" customHeight="1">
      <c r="A42" s="759"/>
      <c r="B42" s="760"/>
      <c r="C42" s="761"/>
      <c r="D42" s="784"/>
      <c r="E42" s="753" t="s">
        <v>1600</v>
      </c>
      <c r="F42" s="763">
        <f ca="1">INDIRECT("'数据-取费表'!v"&amp;$G$1)</f>
        <v>0</v>
      </c>
      <c r="G42" s="1883"/>
      <c r="H42" s="1838"/>
      <c r="I42" s="815" t="s">
        <v>1612</v>
      </c>
      <c r="J42" s="813">
        <f ca="1">ROUND(C13/C40,3)</f>
        <v>0.39900000000000002</v>
      </c>
      <c r="K42" s="1902"/>
      <c r="L42" s="1838"/>
      <c r="M42" s="1838"/>
    </row>
    <row r="43" spans="1:18" ht="18" customHeight="1" thickBot="1">
      <c r="A43" s="791" t="s">
        <v>1578</v>
      </c>
      <c r="B43" s="792" t="s">
        <v>1601</v>
      </c>
      <c r="C43" s="793">
        <f ca="1">ROUND(C40*10000/F43,0)</f>
        <v>5881</v>
      </c>
      <c r="D43" s="794" t="s">
        <v>1602</v>
      </c>
      <c r="E43" s="795" t="s">
        <v>1603</v>
      </c>
      <c r="F43" s="796">
        <f ca="1">INDIRECT("'数据-取费表'!k"&amp;$G$1)</f>
        <v>6250.48</v>
      </c>
      <c r="G43" s="1883"/>
      <c r="H43" s="1838"/>
      <c r="I43" s="815" t="s">
        <v>1613</v>
      </c>
      <c r="J43" s="816">
        <f ca="1">1-J42</f>
        <v>0.60099999999999998</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-4348</v>
      </c>
      <c r="D46" s="3170"/>
      <c r="E46" s="3170"/>
      <c r="F46" s="3170"/>
      <c r="I46" s="2170" t="s">
        <v>2119</v>
      </c>
      <c r="J46" s="2171"/>
      <c r="K46" s="2172"/>
      <c r="L46" s="2738" t="str">
        <f ca="1">IF(OR(M47="住宅",D1="土地（套用方法）"),0,IF(L48&gt;J51,L60,J60))</f>
        <v>0</v>
      </c>
      <c r="M46" s="3171"/>
      <c r="O46" s="2186" t="s">
        <v>2186</v>
      </c>
      <c r="P46" s="1476"/>
      <c r="Q46" s="1484"/>
      <c r="R46" s="1476"/>
    </row>
    <row r="47" spans="1:18" s="1880" customFormat="1" ht="18" customHeight="1" thickBot="1">
      <c r="A47" s="2164">
        <v>1</v>
      </c>
      <c r="B47" s="2165" t="s">
        <v>608</v>
      </c>
      <c r="C47" s="2360">
        <f ca="1">C48+C52+C54</f>
        <v>0</v>
      </c>
      <c r="D47" s="3170"/>
      <c r="E47" s="3170"/>
      <c r="F47" s="3170"/>
      <c r="I47" s="2729" t="s">
        <v>2120</v>
      </c>
      <c r="J47" s="2173" t="s">
        <v>3469</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2126</v>
      </c>
      <c r="K48" s="2736" t="s">
        <v>2127</v>
      </c>
      <c r="L48" s="1770">
        <f ca="1">INDIRECT("'数据-取费表'!f"&amp;$G$1)</f>
        <v>50</v>
      </c>
      <c r="M48" s="3171"/>
      <c r="O48" s="2190" t="s">
        <v>2155</v>
      </c>
      <c r="P48" s="2191" t="s">
        <v>2181</v>
      </c>
      <c r="Q48" s="2192">
        <f ca="1">C40+J29</f>
        <v>3676</v>
      </c>
      <c r="R48" s="2191" t="s">
        <v>2156</v>
      </c>
    </row>
    <row r="49" spans="1:18" s="1880" customFormat="1" ht="18" customHeight="1" thickBot="1">
      <c r="A49" s="755"/>
      <c r="B49" s="756"/>
      <c r="C49" s="757"/>
      <c r="D49" s="758"/>
      <c r="E49" s="753" t="s">
        <v>1530</v>
      </c>
      <c r="F49" s="754">
        <f ca="1">F7</f>
        <v>6250.48</v>
      </c>
      <c r="G49" s="1910"/>
      <c r="H49" s="1913"/>
      <c r="I49" s="2726" t="s">
        <v>2122</v>
      </c>
      <c r="J49" s="2175"/>
      <c r="K49" s="2737" t="s">
        <v>2128</v>
      </c>
      <c r="L49" s="2176"/>
      <c r="M49" s="3171"/>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60</v>
      </c>
      <c r="K50" s="2737" t="s">
        <v>2129</v>
      </c>
      <c r="L50" s="2176"/>
      <c r="M50" s="3171"/>
      <c r="O50" s="2193" t="s">
        <v>2159</v>
      </c>
      <c r="P50" s="2191" t="s">
        <v>2183</v>
      </c>
      <c r="Q50" s="2192">
        <f ca="1">C29</f>
        <v>1835</v>
      </c>
      <c r="R50" s="2191" t="s">
        <v>2156</v>
      </c>
    </row>
    <row r="51" spans="1:18" s="1880" customFormat="1" ht="18" customHeight="1" thickBot="1">
      <c r="A51" s="755"/>
      <c r="B51" s="756"/>
      <c r="C51" s="757"/>
      <c r="D51" s="758"/>
      <c r="E51" s="753" t="s">
        <v>613</v>
      </c>
      <c r="F51" s="2163"/>
      <c r="H51" s="1913"/>
      <c r="I51" s="2730" t="s">
        <v>2124</v>
      </c>
      <c r="J51" s="2734">
        <f>IF(J49="",J50,J49+J50-YEAR('数据-取费表'!B2))</f>
        <v>60</v>
      </c>
      <c r="K51" s="2726" t="s">
        <v>2130</v>
      </c>
      <c r="L51" s="2740">
        <f ca="1">ROUND(-PV(INDIRECT("'数据-取费表'!h"&amp;$G$1),J51,(C39-C13*J36),0),0)</f>
        <v>1199</v>
      </c>
      <c r="M51" s="3171"/>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2718</v>
      </c>
      <c r="E52" s="2286" t="s">
        <v>2232</v>
      </c>
      <c r="F52" s="2396"/>
      <c r="I52" s="2731" t="s">
        <v>2197</v>
      </c>
      <c r="J52" s="2177"/>
      <c r="K52" s="2731" t="s">
        <v>2196</v>
      </c>
      <c r="L52" s="2177"/>
      <c r="M52" s="3171"/>
      <c r="O52" s="2193" t="s">
        <v>2162</v>
      </c>
      <c r="P52" s="2191" t="s">
        <v>2163</v>
      </c>
      <c r="Q52" s="2194">
        <f>J52</f>
        <v>0</v>
      </c>
      <c r="R52" s="2195"/>
    </row>
    <row r="53" spans="1:18" s="1880" customFormat="1" ht="39.75" customHeight="1" thickBot="1">
      <c r="A53" s="755"/>
      <c r="B53" s="2283" t="s">
        <v>2341</v>
      </c>
      <c r="C53" s="2287"/>
      <c r="D53" s="2289"/>
      <c r="E53" s="2286"/>
      <c r="F53" s="769"/>
      <c r="I53" s="2732" t="s">
        <v>2721</v>
      </c>
      <c r="J53" s="2785">
        <f ca="1">IF(M47="住宅",IF(D1="——",MAX(J51,L48),MAX(J51,L48-'数据-取费表'!B20)),IF(D1="——",MIN(J51,L48),MIN(J51,L48-'数据-取费表'!B20)))</f>
        <v>50</v>
      </c>
      <c r="K53" s="4134" t="s">
        <v>2712</v>
      </c>
      <c r="L53" s="4135"/>
      <c r="M53" s="3171"/>
      <c r="O53" s="2193" t="s">
        <v>2164</v>
      </c>
      <c r="P53" s="2191" t="s">
        <v>2165</v>
      </c>
      <c r="Q53" s="2192">
        <f ca="1">J53</f>
        <v>50</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06"/>
      <c r="M54" s="3171"/>
      <c r="O54" s="2190" t="s">
        <v>2167</v>
      </c>
      <c r="P54" s="2191" t="s">
        <v>2184</v>
      </c>
      <c r="Q54" s="2192">
        <f ca="1">Q48+Q49</f>
        <v>3676</v>
      </c>
      <c r="R54" s="2195" t="s">
        <v>2168</v>
      </c>
    </row>
    <row r="55" spans="1:18" s="1880" customFormat="1" ht="18" customHeight="1" thickTop="1" thickBot="1">
      <c r="A55" s="766">
        <v>2</v>
      </c>
      <c r="B55" s="767" t="s">
        <v>617</v>
      </c>
      <c r="C55" s="768">
        <f ca="1">C13</f>
        <v>1468</v>
      </c>
      <c r="D55" s="764"/>
      <c r="E55" s="764"/>
      <c r="F55" s="769"/>
      <c r="I55" s="2743" t="s">
        <v>2131</v>
      </c>
      <c r="J55" s="2715" t="e">
        <f ca="1">ROUND(IF(J47="钢混",J57/J50,1-(1-2%)*(J50-J57)/J50),3)</f>
        <v>#VALUE!</v>
      </c>
      <c r="K55" s="2744" t="s">
        <v>2132</v>
      </c>
      <c r="L55" s="2178"/>
      <c r="M55" s="3171"/>
      <c r="O55" s="2196" t="s">
        <v>2187</v>
      </c>
      <c r="P55" s="1476"/>
      <c r="Q55" s="1484"/>
      <c r="R55" s="1476"/>
    </row>
    <row r="56" spans="1:18" s="1880" customFormat="1" ht="42.75" customHeight="1" thickBot="1">
      <c r="A56" s="1527"/>
      <c r="B56" s="2048" t="s">
        <v>2081</v>
      </c>
      <c r="C56" s="53">
        <f ca="1">C29</f>
        <v>1835</v>
      </c>
      <c r="D56" s="2412"/>
      <c r="E56" s="753"/>
      <c r="F56" s="778"/>
      <c r="I56" s="2745" t="s">
        <v>2133</v>
      </c>
      <c r="J56" s="2755" t="s">
        <v>1469</v>
      </c>
      <c r="K56" s="2726" t="s">
        <v>2138</v>
      </c>
      <c r="L56" s="1770" t="str">
        <f ca="1">IF(L48&lt;J51,"——",L48-J51)</f>
        <v>——</v>
      </c>
      <c r="M56" s="3171"/>
      <c r="O56" s="2187" t="s">
        <v>2151</v>
      </c>
      <c r="P56" s="2188" t="s">
        <v>2152</v>
      </c>
      <c r="Q56" s="2189" t="s">
        <v>2153</v>
      </c>
      <c r="R56" s="2188" t="s">
        <v>2154</v>
      </c>
    </row>
    <row r="57" spans="1:18" s="1880" customFormat="1" ht="28.5" customHeight="1" thickBot="1">
      <c r="A57" s="766" t="s">
        <v>1539</v>
      </c>
      <c r="B57" s="767" t="s">
        <v>624</v>
      </c>
      <c r="C57" s="768">
        <f ca="1">ROUND(C58+C63+C64+C65,0)</f>
        <v>34</v>
      </c>
      <c r="D57" s="26" t="s">
        <v>1541</v>
      </c>
      <c r="E57" s="2413"/>
      <c r="F57" s="56"/>
      <c r="I57" s="2746" t="s">
        <v>2134</v>
      </c>
      <c r="J57" s="2747" t="str">
        <f ca="1">IF(OR(M47="住宅",J51&lt;L48,J56="是"),"——",J51-L48)</f>
        <v>——</v>
      </c>
      <c r="K57" s="2726" t="s">
        <v>2139</v>
      </c>
      <c r="L57" s="1770" t="str">
        <f ca="1">IF(L48&lt;J51,"——",IF(L55="比较法",L49,IF(L55="基准地价",L50,L51)))</f>
        <v>——</v>
      </c>
      <c r="M57" s="3171"/>
      <c r="O57" s="2190" t="s">
        <v>2155</v>
      </c>
      <c r="P57" s="2191" t="s">
        <v>2185</v>
      </c>
      <c r="Q57" s="2192">
        <f ca="1">C40+J29</f>
        <v>3676</v>
      </c>
      <c r="R57" s="2191" t="s">
        <v>2156</v>
      </c>
    </row>
    <row r="58" spans="1:18" s="1880" customFormat="1" ht="28.5" customHeight="1" thickBot="1">
      <c r="A58" s="1526" t="s">
        <v>1615</v>
      </c>
      <c r="B58" s="753" t="s">
        <v>629</v>
      </c>
      <c r="C58" s="2936">
        <f ca="1">ROUND(IF(AND(项目基本情况!B11="自然人",项目基本情况!B10="北京市"),C48*F58/(1+'数据-取费表'!C42),C59+C60+C61),0)</f>
        <v>4</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1"/>
      <c r="O58" s="2190" t="s">
        <v>2157</v>
      </c>
      <c r="P58" s="2191" t="s">
        <v>2188</v>
      </c>
      <c r="Q58" s="2192">
        <f ca="1">L60</f>
        <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1"/>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0</v>
      </c>
      <c r="D60" s="2412" t="str">
        <f>D33</f>
        <v>按租金收入计税</v>
      </c>
      <c r="E60" s="753" t="s">
        <v>1538</v>
      </c>
      <c r="F60" s="778">
        <f t="shared" si="0"/>
        <v>0.12</v>
      </c>
      <c r="I60" s="2748" t="s">
        <v>2137</v>
      </c>
      <c r="J60" s="2749" t="str">
        <f ca="1">IF(OR(M47="住宅",J51&lt;L48,J56="是"),"0",ROUND(J59/(1+J52)^J53,0))</f>
        <v>0</v>
      </c>
      <c r="K60" s="2750" t="s">
        <v>2142</v>
      </c>
      <c r="L60" s="2749">
        <f ca="1">IF(OR(M47="住宅",L48&lt;J51),0,ROUND(L57*(L58/L59-1),0))</f>
        <v>0</v>
      </c>
      <c r="M60" s="3171"/>
      <c r="O60" s="2193" t="s">
        <v>2160</v>
      </c>
      <c r="P60" s="2191" t="s">
        <v>2169</v>
      </c>
      <c r="Q60" s="2194">
        <f>L52</f>
        <v>0</v>
      </c>
      <c r="R60" s="2195"/>
    </row>
    <row r="61" spans="1:18" s="1880" customFormat="1" ht="18" customHeight="1" thickBot="1">
      <c r="A61" s="1528" t="s">
        <v>1624</v>
      </c>
      <c r="B61" s="338" t="s">
        <v>641</v>
      </c>
      <c r="C61" s="54">
        <f ca="1">ROUND(F61*F62/10000,1)</f>
        <v>4.0999999999999996</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27531</v>
      </c>
      <c r="I62" s="2751" t="s">
        <v>2143</v>
      </c>
      <c r="J62" s="2752" t="s">
        <v>2144</v>
      </c>
      <c r="K62" s="2752" t="s">
        <v>2145</v>
      </c>
      <c r="L62" s="2752" t="s">
        <v>2126</v>
      </c>
      <c r="M62" s="2753" t="s">
        <v>2691</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27.5</v>
      </c>
      <c r="D63" s="2412" t="s">
        <v>1594</v>
      </c>
      <c r="E63" s="753" t="s">
        <v>1538</v>
      </c>
      <c r="F63" s="785">
        <f t="shared" ca="1" si="0"/>
        <v>1.4999999999999999E-2</v>
      </c>
      <c r="I63" s="2751" t="s">
        <v>2146</v>
      </c>
      <c r="J63" s="2752">
        <v>70</v>
      </c>
      <c r="K63" s="2752">
        <v>50</v>
      </c>
      <c r="L63" s="2752">
        <v>80</v>
      </c>
      <c r="M63" s="2754">
        <v>0.02</v>
      </c>
      <c r="O63" s="2190" t="s">
        <v>2167</v>
      </c>
      <c r="P63" s="2191" t="s">
        <v>2184</v>
      </c>
      <c r="Q63" s="2192">
        <f ca="1">Q57+Q58</f>
        <v>3676</v>
      </c>
      <c r="R63" s="2195" t="s">
        <v>2168</v>
      </c>
    </row>
    <row r="64" spans="1:18" s="1880" customFormat="1" ht="16.5" thickBot="1">
      <c r="A64" s="1526" t="s">
        <v>1675</v>
      </c>
      <c r="B64" s="753" t="s">
        <v>652</v>
      </c>
      <c r="C64" s="53">
        <f ca="1">ROUND(C55*F64,1)</f>
        <v>2.2000000000000002</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0.01</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-34</v>
      </c>
      <c r="D66" s="2411" t="s">
        <v>673</v>
      </c>
      <c r="E66" s="2410"/>
      <c r="F66" s="788"/>
      <c r="K66" s="1906"/>
      <c r="O66" s="2190" t="s">
        <v>2155</v>
      </c>
      <c r="P66" s="2191" t="s">
        <v>2185</v>
      </c>
      <c r="Q66" s="2192">
        <f ca="1">C40+J29</f>
        <v>3676</v>
      </c>
      <c r="R66" s="2191" t="s">
        <v>2156</v>
      </c>
    </row>
    <row r="67" spans="1:18" s="1880" customFormat="1" ht="20.25" thickBot="1">
      <c r="A67" s="750" t="s">
        <v>1571</v>
      </c>
      <c r="B67" s="2049" t="s">
        <v>2080</v>
      </c>
      <c r="C67" s="752">
        <f ca="1">ROUND(C66*(1-((1+F69)/(1+F67))^F68)/(F67-F69),0)</f>
        <v>-672</v>
      </c>
      <c r="D67" s="782" t="s">
        <v>677</v>
      </c>
      <c r="E67" s="753" t="s">
        <v>678</v>
      </c>
      <c r="F67" s="763">
        <f>F40</f>
        <v>4.4999999999999998E-2</v>
      </c>
      <c r="K67" s="1906"/>
      <c r="O67" s="2190" t="s">
        <v>2157</v>
      </c>
      <c r="P67" s="2191" t="s">
        <v>2188</v>
      </c>
      <c r="Q67" s="2192">
        <f ca="1">L60</f>
        <v>0</v>
      </c>
      <c r="R67" s="2195" t="s">
        <v>2190</v>
      </c>
    </row>
    <row r="68" spans="1:18" ht="21.75" thickBot="1">
      <c r="A68" s="755"/>
      <c r="B68" s="756"/>
      <c r="C68" s="757"/>
      <c r="D68" s="789" t="s">
        <v>1599</v>
      </c>
      <c r="E68" s="753" t="s">
        <v>1575</v>
      </c>
      <c r="F68" s="790">
        <f ca="1">F41</f>
        <v>50</v>
      </c>
      <c r="O68" s="2193" t="s">
        <v>2159</v>
      </c>
      <c r="P68" s="2191" t="s">
        <v>2189</v>
      </c>
      <c r="Q68" s="2197">
        <f ca="1">L51</f>
        <v>1199</v>
      </c>
      <c r="R68" s="2198" t="s">
        <v>2192</v>
      </c>
    </row>
    <row r="69" spans="1:18" ht="20.25" thickBot="1">
      <c r="A69" s="759"/>
      <c r="B69" s="760"/>
      <c r="C69" s="761"/>
      <c r="D69" s="784"/>
      <c r="E69" s="753" t="s">
        <v>683</v>
      </c>
      <c r="F69" s="2163"/>
      <c r="O69" s="2193" t="s">
        <v>2160</v>
      </c>
      <c r="P69" s="2199" t="s">
        <v>2174</v>
      </c>
      <c r="Q69" s="2192">
        <f ca="1">ROUND(Q70-Q71*Q72,0)</f>
        <v>61</v>
      </c>
      <c r="R69" s="2195"/>
    </row>
    <row r="70" spans="1:18" ht="15.75" thickBot="1">
      <c r="A70" s="791" t="s">
        <v>1578</v>
      </c>
      <c r="B70" s="792" t="s">
        <v>1601</v>
      </c>
      <c r="C70" s="793">
        <f ca="1">ROUND(C67*10000/F70,0)</f>
        <v>-1075</v>
      </c>
      <c r="D70" s="794" t="s">
        <v>1602</v>
      </c>
      <c r="E70" s="795" t="s">
        <v>1603</v>
      </c>
      <c r="F70" s="796">
        <f ca="1">F43</f>
        <v>6250.48</v>
      </c>
      <c r="O70" s="2193" t="s">
        <v>2175</v>
      </c>
      <c r="P70" s="2199" t="s">
        <v>2176</v>
      </c>
      <c r="Q70" s="2192">
        <f ca="1">C39</f>
        <v>186</v>
      </c>
      <c r="R70" s="2191" t="s">
        <v>2156</v>
      </c>
    </row>
    <row r="71" spans="1:18" ht="15.75" thickBot="1">
      <c r="O71" s="2193" t="s">
        <v>2177</v>
      </c>
      <c r="P71" s="2199" t="s">
        <v>2178</v>
      </c>
      <c r="Q71" s="2192">
        <f ca="1">C13</f>
        <v>1468</v>
      </c>
      <c r="R71" s="2191" t="s">
        <v>2156</v>
      </c>
    </row>
    <row r="72" spans="1:18" ht="15.75" thickBot="1">
      <c r="O72" s="2193" t="s">
        <v>2179</v>
      </c>
      <c r="P72" s="2199" t="s">
        <v>2180</v>
      </c>
      <c r="Q72" s="2194">
        <f ca="1">J36</f>
        <v>8.5000000000000006E-2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f ca="1">Q66+Q67</f>
        <v>3676</v>
      </c>
      <c r="R76" s="2195" t="s">
        <v>2168</v>
      </c>
    </row>
  </sheetData>
  <sheetProtection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147" t="s">
        <v>2343</v>
      </c>
      <c r="C1" s="4147"/>
      <c r="D1" s="4147"/>
      <c r="E1" s="4147"/>
      <c r="F1" s="4147"/>
      <c r="G1" s="4146" t="s">
        <v>2344</v>
      </c>
      <c r="H1" s="4146"/>
      <c r="I1" s="4146"/>
      <c r="J1" s="4146"/>
      <c r="K1" s="4146"/>
      <c r="L1" s="4146"/>
      <c r="N1" s="4146" t="s">
        <v>2345</v>
      </c>
      <c r="O1" s="4146"/>
      <c r="P1" s="4146"/>
      <c r="Q1" s="4146"/>
      <c r="S1" s="4146" t="s">
        <v>2346</v>
      </c>
      <c r="T1" s="4146"/>
      <c r="U1" s="4146"/>
      <c r="V1" s="4146"/>
      <c r="X1" s="4145" t="s">
        <v>2406</v>
      </c>
      <c r="Y1" s="4146"/>
      <c r="Z1" s="4146"/>
      <c r="AA1" s="4146"/>
      <c r="AB1" s="4146"/>
      <c r="AD1" s="4145" t="s">
        <v>2410</v>
      </c>
      <c r="AE1" s="4146"/>
      <c r="AF1" s="4146"/>
      <c r="AG1" s="4146"/>
      <c r="AH1" s="4146"/>
    </row>
    <row r="2" spans="1:34" s="2792" customFormat="1" ht="14.25" thickBot="1">
      <c r="B2" s="2793" t="s">
        <v>2347</v>
      </c>
      <c r="C2" s="2793" t="s">
        <v>2408</v>
      </c>
      <c r="D2" s="2794" t="s">
        <v>1435</v>
      </c>
      <c r="E2" s="2794" t="s">
        <v>1730</v>
      </c>
      <c r="F2" s="2793" t="s">
        <v>2409</v>
      </c>
      <c r="G2" s="2795"/>
      <c r="I2" s="2793" t="s">
        <v>2703</v>
      </c>
      <c r="J2" s="2794" t="s">
        <v>2705</v>
      </c>
      <c r="K2" s="2794" t="s">
        <v>2706</v>
      </c>
      <c r="L2" s="2793" t="s">
        <v>2707</v>
      </c>
      <c r="N2" s="2793" t="s">
        <v>2347</v>
      </c>
      <c r="O2" s="2794" t="s">
        <v>2704</v>
      </c>
      <c r="P2" s="2794" t="s">
        <v>1730</v>
      </c>
      <c r="Q2" s="2793" t="s">
        <v>2409</v>
      </c>
      <c r="S2" s="2793" t="s">
        <v>2347</v>
      </c>
      <c r="T2" s="2794" t="s">
        <v>2704</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2714</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2937</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2936</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2935</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2934</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2933</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2932</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2779</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2778</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2777</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2776</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2775</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2739</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2737</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2734</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2733</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2732</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2731</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2729</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141">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2722</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141"/>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2723</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141"/>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2719</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142"/>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2713</v>
      </c>
      <c r="B26" s="2832">
        <v>439</v>
      </c>
      <c r="C26" s="2832">
        <v>327</v>
      </c>
      <c r="D26" s="2832">
        <f t="shared" si="212"/>
        <v>327</v>
      </c>
      <c r="E26" s="2832">
        <v>627</v>
      </c>
      <c r="F26" s="2833">
        <v>283</v>
      </c>
      <c r="G26" s="4140">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2715</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141"/>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141"/>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142"/>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140">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141"/>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141"/>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144"/>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143">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141"/>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141"/>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144"/>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143">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141"/>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141"/>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144"/>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148">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149"/>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149"/>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150"/>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143">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141"/>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141"/>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144"/>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143">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141">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141">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144">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143">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141">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141">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144">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143">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141">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141">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144">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143">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141">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141">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144">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143">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141">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141">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144">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143">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141">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141">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144">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143">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141">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141">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144">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143">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141">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141">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144">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143">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141">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141">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144">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143">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141">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141">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144">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R51"/>
  <sheetViews>
    <sheetView workbookViewId="0">
      <pane xSplit="2" ySplit="1" topLeftCell="G2" activePane="bottomRight" state="frozen"/>
      <selection pane="topRight" activeCell="C1" sqref="C1"/>
      <selection pane="bottomLeft" activeCell="A2" sqref="A2"/>
      <selection pane="bottomRight" activeCell="O6" sqref="O6"/>
    </sheetView>
  </sheetViews>
  <sheetFormatPr defaultRowHeight="14.25"/>
  <cols>
    <col min="1" max="1" width="5.625" style="3812" customWidth="1"/>
    <col min="2" max="2" width="47" style="3812" customWidth="1"/>
    <col min="3" max="3" width="20" style="3812" customWidth="1"/>
    <col min="4" max="4" width="9.125" style="3812" hidden="1" customWidth="1"/>
    <col min="5" max="5" width="13.125" style="3812" customWidth="1"/>
    <col min="6" max="6" width="13.125" style="3812" hidden="1" customWidth="1"/>
    <col min="7" max="7" width="13.125" style="3815" customWidth="1"/>
    <col min="8" max="14" width="13.125" style="3812" customWidth="1"/>
    <col min="15" max="15" width="13.125" style="3814" customWidth="1"/>
    <col min="16" max="18" width="13.125" style="3812" customWidth="1"/>
    <col min="19" max="19" width="20" style="3812" customWidth="1"/>
    <col min="20" max="16384" width="9" style="3812"/>
  </cols>
  <sheetData>
    <row r="1" spans="2:18">
      <c r="B1" s="3812" t="s">
        <v>3243</v>
      </c>
      <c r="C1" s="3812" t="s">
        <v>3244</v>
      </c>
      <c r="D1" s="3812" t="s">
        <v>3245</v>
      </c>
      <c r="E1" s="3812" t="s">
        <v>3246</v>
      </c>
      <c r="F1" s="3812" t="s">
        <v>3247</v>
      </c>
      <c r="G1" s="3815" t="s">
        <v>1813</v>
      </c>
      <c r="H1" s="3812" t="s">
        <v>3248</v>
      </c>
      <c r="I1" s="3812" t="s">
        <v>3249</v>
      </c>
      <c r="J1" s="3812" t="s">
        <v>3250</v>
      </c>
      <c r="K1" s="3812" t="s">
        <v>3251</v>
      </c>
      <c r="L1" s="3812" t="s">
        <v>3252</v>
      </c>
      <c r="M1" s="3812" t="s">
        <v>3253</v>
      </c>
      <c r="N1" s="3812" t="s">
        <v>3254</v>
      </c>
      <c r="O1" s="3814" t="s">
        <v>3255</v>
      </c>
      <c r="P1" s="3812" t="s">
        <v>3256</v>
      </c>
      <c r="Q1" s="3812" t="s">
        <v>3257</v>
      </c>
      <c r="R1" s="3812" t="s">
        <v>3258</v>
      </c>
    </row>
    <row r="2" spans="2:18">
      <c r="B2" s="3812" t="s">
        <v>3259</v>
      </c>
      <c r="C2" s="3812" t="s">
        <v>3260</v>
      </c>
      <c r="D2" s="3812" t="s">
        <v>3261</v>
      </c>
      <c r="E2" s="3812" t="s">
        <v>2994</v>
      </c>
      <c r="F2" s="3812" t="s">
        <v>3262</v>
      </c>
      <c r="G2" s="3815" t="s">
        <v>3263</v>
      </c>
      <c r="H2" s="3812" t="s">
        <v>3264</v>
      </c>
      <c r="I2" s="3812">
        <v>60326.05</v>
      </c>
      <c r="J2" s="3812">
        <v>40217.370000000003</v>
      </c>
      <c r="K2" s="3812" t="s">
        <v>3265</v>
      </c>
      <c r="L2" s="3812">
        <v>4964.83</v>
      </c>
      <c r="M2" s="3813">
        <v>44832.000497685185</v>
      </c>
      <c r="N2" s="3812">
        <v>4964.83</v>
      </c>
      <c r="O2" s="3814">
        <v>823</v>
      </c>
      <c r="P2" s="3812">
        <v>0</v>
      </c>
      <c r="Q2" s="3812" t="s">
        <v>3266</v>
      </c>
      <c r="R2" s="3812">
        <v>1000</v>
      </c>
    </row>
    <row r="3" spans="2:18">
      <c r="B3" s="3812" t="s">
        <v>3267</v>
      </c>
      <c r="C3" s="3812" t="s">
        <v>3268</v>
      </c>
      <c r="D3" s="3812" t="s">
        <v>3261</v>
      </c>
      <c r="E3" s="3812" t="s">
        <v>2994</v>
      </c>
      <c r="F3" s="3812" t="s">
        <v>3262</v>
      </c>
      <c r="G3" s="3815" t="s">
        <v>3263</v>
      </c>
      <c r="H3" s="3812" t="s">
        <v>3264</v>
      </c>
      <c r="I3" s="3812">
        <v>97536.66</v>
      </c>
      <c r="J3" s="3812">
        <v>65024.44</v>
      </c>
      <c r="K3" s="3812" t="s">
        <v>3269</v>
      </c>
      <c r="L3" s="3812">
        <v>8017.51</v>
      </c>
      <c r="M3" s="3813">
        <v>44761.000497685185</v>
      </c>
      <c r="N3" s="3812">
        <v>8017.51</v>
      </c>
      <c r="O3" s="3814">
        <v>822</v>
      </c>
      <c r="P3" s="3812">
        <v>0</v>
      </c>
      <c r="Q3" s="3812" t="s">
        <v>3270</v>
      </c>
      <c r="R3" s="3812">
        <v>1600</v>
      </c>
    </row>
    <row r="4" spans="2:18">
      <c r="B4" s="3812" t="s">
        <v>3271</v>
      </c>
      <c r="C4" s="3812" t="s">
        <v>3272</v>
      </c>
      <c r="D4" s="3812" t="s">
        <v>3261</v>
      </c>
      <c r="E4" s="3812" t="s">
        <v>2994</v>
      </c>
      <c r="F4" s="3812" t="s">
        <v>3262</v>
      </c>
      <c r="G4" s="3815" t="s">
        <v>3263</v>
      </c>
      <c r="H4" s="3812" t="s">
        <v>3264</v>
      </c>
      <c r="I4" s="3812">
        <v>39975.61</v>
      </c>
      <c r="J4" s="3812">
        <v>26650.41</v>
      </c>
      <c r="K4" s="3812" t="s">
        <v>3273</v>
      </c>
      <c r="L4" s="3812">
        <v>3258.01</v>
      </c>
      <c r="M4" s="3813">
        <v>44760.000497685185</v>
      </c>
      <c r="N4" s="3812">
        <v>3258.01</v>
      </c>
      <c r="O4" s="3814">
        <v>815</v>
      </c>
      <c r="P4" s="3812">
        <v>0</v>
      </c>
      <c r="Q4" s="3812" t="s">
        <v>3274</v>
      </c>
      <c r="R4" s="3812">
        <v>650</v>
      </c>
    </row>
    <row r="5" spans="2:18">
      <c r="B5" s="3812" t="s">
        <v>3275</v>
      </c>
      <c r="C5" s="3812" t="s">
        <v>3276</v>
      </c>
      <c r="D5" s="3812" t="s">
        <v>3261</v>
      </c>
      <c r="E5" s="3812" t="s">
        <v>2994</v>
      </c>
      <c r="F5" s="3812" t="s">
        <v>3262</v>
      </c>
      <c r="G5" s="3815" t="s">
        <v>3277</v>
      </c>
      <c r="H5" s="3812" t="s">
        <v>3264</v>
      </c>
      <c r="I5" s="3812">
        <v>100726.26</v>
      </c>
      <c r="J5" s="3812">
        <v>77481.740000000005</v>
      </c>
      <c r="K5" s="3812" t="s">
        <v>3273</v>
      </c>
      <c r="L5" s="3812">
        <v>8098.39</v>
      </c>
      <c r="M5" s="3813">
        <v>44760.000497685185</v>
      </c>
      <c r="N5" s="3812">
        <v>8098.39</v>
      </c>
      <c r="O5" s="3814">
        <v>804</v>
      </c>
      <c r="P5" s="3812">
        <v>0</v>
      </c>
      <c r="Q5" s="3812" t="s">
        <v>3278</v>
      </c>
      <c r="R5" s="3812">
        <v>1600</v>
      </c>
    </row>
    <row r="6" spans="2:18">
      <c r="B6" s="3812" t="s">
        <v>3279</v>
      </c>
      <c r="C6" s="3812" t="s">
        <v>3280</v>
      </c>
      <c r="D6" s="3812" t="s">
        <v>3261</v>
      </c>
      <c r="E6" s="3812" t="s">
        <v>2994</v>
      </c>
      <c r="F6" s="3812" t="s">
        <v>3262</v>
      </c>
      <c r="G6" s="3815" t="s">
        <v>3281</v>
      </c>
      <c r="H6" s="3812" t="s">
        <v>3282</v>
      </c>
      <c r="I6" s="3812">
        <v>48135.07</v>
      </c>
      <c r="J6" s="3812">
        <v>48135.07</v>
      </c>
      <c r="K6" s="3812" t="s">
        <v>3283</v>
      </c>
      <c r="L6" s="3812">
        <v>12487.17</v>
      </c>
      <c r="M6" s="3813">
        <v>44714.000497685185</v>
      </c>
      <c r="N6" s="3812">
        <v>12487.17</v>
      </c>
      <c r="O6" s="3814">
        <v>2594</v>
      </c>
      <c r="P6" s="3812">
        <v>0</v>
      </c>
      <c r="Q6" s="3812" t="s">
        <v>3284</v>
      </c>
      <c r="R6" s="3812">
        <v>2500</v>
      </c>
    </row>
    <row r="7" spans="2:18">
      <c r="B7" s="3812" t="s">
        <v>3285</v>
      </c>
      <c r="C7" s="3812" t="s">
        <v>3286</v>
      </c>
      <c r="D7" s="3812" t="s">
        <v>3261</v>
      </c>
      <c r="E7" s="3812" t="s">
        <v>2994</v>
      </c>
      <c r="F7" s="3812" t="s">
        <v>3262</v>
      </c>
      <c r="G7" s="3815" t="s">
        <v>3287</v>
      </c>
      <c r="H7" s="3812" t="s">
        <v>3264</v>
      </c>
      <c r="I7" s="3812">
        <v>22386</v>
      </c>
      <c r="J7" s="3812">
        <v>13991.5</v>
      </c>
      <c r="K7" s="3812" t="s">
        <v>3288</v>
      </c>
      <c r="L7" s="3812">
        <v>1811.03</v>
      </c>
      <c r="M7" s="3813">
        <v>44446.000497685185</v>
      </c>
      <c r="N7" s="3812">
        <v>1811.03</v>
      </c>
      <c r="O7" s="3814">
        <v>809</v>
      </c>
      <c r="P7" s="3812">
        <v>0</v>
      </c>
      <c r="Q7" s="3812" t="s">
        <v>3289</v>
      </c>
      <c r="R7" s="3812">
        <v>360</v>
      </c>
    </row>
    <row r="8" spans="2:18">
      <c r="B8" s="3812" t="s">
        <v>3290</v>
      </c>
      <c r="C8" s="3812" t="s">
        <v>3291</v>
      </c>
      <c r="D8" s="3812" t="s">
        <v>3261</v>
      </c>
      <c r="E8" s="3812" t="s">
        <v>2994</v>
      </c>
      <c r="F8" s="3812" t="s">
        <v>3262</v>
      </c>
      <c r="G8" s="3815" t="s">
        <v>3292</v>
      </c>
      <c r="H8" s="3812" t="s">
        <v>3264</v>
      </c>
      <c r="I8" s="3812">
        <v>29928.97</v>
      </c>
      <c r="J8" s="3812">
        <v>16627.21</v>
      </c>
      <c r="K8" s="3812" t="s">
        <v>3288</v>
      </c>
      <c r="L8" s="3812">
        <v>5111.87</v>
      </c>
      <c r="M8" s="3813">
        <v>44446.000497685185</v>
      </c>
      <c r="N8" s="3812">
        <v>5111.87</v>
      </c>
      <c r="O8" s="3814">
        <v>1708</v>
      </c>
      <c r="P8" s="3812">
        <v>0</v>
      </c>
      <c r="Q8" s="3812" t="s">
        <v>3293</v>
      </c>
      <c r="R8" s="3812">
        <v>1020</v>
      </c>
    </row>
    <row r="9" spans="2:18">
      <c r="B9" s="3812" t="s">
        <v>3294</v>
      </c>
      <c r="C9" s="3812" t="s">
        <v>3295</v>
      </c>
      <c r="D9" s="3812" t="s">
        <v>3261</v>
      </c>
      <c r="E9" s="3812" t="s">
        <v>2994</v>
      </c>
      <c r="F9" s="3812" t="s">
        <v>3262</v>
      </c>
      <c r="G9" s="3815" t="s">
        <v>3296</v>
      </c>
      <c r="H9" s="3812" t="s">
        <v>3297</v>
      </c>
      <c r="I9" s="3812">
        <v>200000</v>
      </c>
      <c r="J9" s="3812">
        <v>100000</v>
      </c>
      <c r="K9" s="3812" t="s">
        <v>3298</v>
      </c>
      <c r="L9" s="3812">
        <v>13020</v>
      </c>
      <c r="M9" s="3813">
        <v>44307.000497685185</v>
      </c>
      <c r="N9" s="3812">
        <v>13020</v>
      </c>
      <c r="O9" s="3814">
        <v>651</v>
      </c>
      <c r="P9" s="3812">
        <v>0</v>
      </c>
      <c r="Q9" s="3812" t="s">
        <v>3299</v>
      </c>
      <c r="R9" s="3812">
        <v>2600</v>
      </c>
    </row>
    <row r="10" spans="2:18">
      <c r="B10" s="3812" t="s">
        <v>3300</v>
      </c>
      <c r="C10" s="3812" t="s">
        <v>3301</v>
      </c>
      <c r="D10" s="3812" t="s">
        <v>3261</v>
      </c>
      <c r="E10" s="3812" t="s">
        <v>2994</v>
      </c>
      <c r="F10" s="3812" t="s">
        <v>3262</v>
      </c>
      <c r="G10" s="3815" t="s">
        <v>3302</v>
      </c>
      <c r="H10" s="3812" t="s">
        <v>3303</v>
      </c>
      <c r="I10" s="3812">
        <v>34812</v>
      </c>
      <c r="J10" s="3812">
        <v>19340</v>
      </c>
      <c r="K10" s="3812" t="s">
        <v>3304</v>
      </c>
      <c r="L10" s="3812">
        <v>5764.87</v>
      </c>
      <c r="M10" s="3813">
        <v>43873.000497685185</v>
      </c>
      <c r="N10" s="3812">
        <v>5764.87</v>
      </c>
      <c r="O10" s="3814">
        <v>1656</v>
      </c>
      <c r="P10" s="3812">
        <v>0</v>
      </c>
      <c r="Q10" s="3812" t="s">
        <v>3305</v>
      </c>
      <c r="R10" s="3812">
        <v>1800</v>
      </c>
    </row>
    <row r="11" spans="2:18">
      <c r="B11" s="3812" t="s">
        <v>3306</v>
      </c>
      <c r="C11" s="3812" t="s">
        <v>3307</v>
      </c>
      <c r="D11" s="3812" t="s">
        <v>3261</v>
      </c>
      <c r="E11" s="3812" t="s">
        <v>2994</v>
      </c>
      <c r="F11" s="3812" t="s">
        <v>3262</v>
      </c>
      <c r="G11" s="3815">
        <v>1.8</v>
      </c>
      <c r="H11" s="3812" t="s">
        <v>3308</v>
      </c>
      <c r="I11" s="3812">
        <v>30055</v>
      </c>
      <c r="J11" s="3812">
        <v>16697.47</v>
      </c>
      <c r="K11" s="3812" t="s">
        <v>3309</v>
      </c>
      <c r="L11" s="3812">
        <v>4977.1099999999997</v>
      </c>
      <c r="M11" s="3813">
        <v>43662.000497685185</v>
      </c>
      <c r="N11" s="3812">
        <v>4977.1099999999997</v>
      </c>
      <c r="O11" s="3814">
        <v>1656</v>
      </c>
      <c r="P11" s="3812">
        <v>0</v>
      </c>
      <c r="Q11" s="3812" t="s">
        <v>3310</v>
      </c>
      <c r="R11" s="3812">
        <v>1500</v>
      </c>
    </row>
    <row r="12" spans="2:18">
      <c r="B12" s="3812" t="s">
        <v>3311</v>
      </c>
      <c r="C12" s="3812" t="s">
        <v>3312</v>
      </c>
      <c r="D12" s="3812" t="s">
        <v>3261</v>
      </c>
      <c r="E12" s="3812" t="s">
        <v>2994</v>
      </c>
      <c r="F12" s="3812" t="s">
        <v>3262</v>
      </c>
      <c r="G12" s="3815">
        <v>2</v>
      </c>
      <c r="H12" s="3812" t="s">
        <v>3308</v>
      </c>
      <c r="I12" s="3812">
        <v>93237</v>
      </c>
      <c r="J12" s="3812">
        <v>46618.33</v>
      </c>
      <c r="K12" s="3812" t="s">
        <v>3313</v>
      </c>
      <c r="L12" s="3812">
        <v>16204.59</v>
      </c>
      <c r="M12" s="3813">
        <v>43577.000497685185</v>
      </c>
      <c r="N12" s="3812">
        <v>16204.59</v>
      </c>
      <c r="O12" s="3814">
        <v>1738</v>
      </c>
      <c r="P12" s="3812">
        <v>0</v>
      </c>
      <c r="Q12" s="3812" t="s">
        <v>3314</v>
      </c>
      <c r="R12" s="3812">
        <v>4850</v>
      </c>
    </row>
    <row r="13" spans="2:18">
      <c r="B13" s="3812" t="s">
        <v>3315</v>
      </c>
      <c r="C13" s="3812" t="s">
        <v>3316</v>
      </c>
      <c r="D13" s="3812" t="s">
        <v>3261</v>
      </c>
      <c r="E13" s="3812" t="s">
        <v>2994</v>
      </c>
      <c r="F13" s="3812" t="s">
        <v>3262</v>
      </c>
      <c r="G13" s="3815">
        <v>1.8</v>
      </c>
      <c r="H13" s="3812" t="s">
        <v>3308</v>
      </c>
      <c r="I13" s="3812">
        <v>15660</v>
      </c>
      <c r="J13" s="3812">
        <v>8700</v>
      </c>
      <c r="K13" s="3812" t="s">
        <v>3313</v>
      </c>
      <c r="L13" s="3812">
        <v>2593.3000000000002</v>
      </c>
      <c r="M13" s="3813">
        <v>43577.000497685185</v>
      </c>
      <c r="N13" s="3812">
        <v>2593.3000000000002</v>
      </c>
      <c r="O13" s="3814">
        <v>1656</v>
      </c>
      <c r="P13" s="3812">
        <v>0</v>
      </c>
      <c r="Q13" s="3812" t="s">
        <v>3317</v>
      </c>
      <c r="R13" s="3812">
        <v>780</v>
      </c>
    </row>
    <row r="14" spans="2:18">
      <c r="B14" s="3812" t="s">
        <v>3318</v>
      </c>
      <c r="C14" s="3812" t="s">
        <v>3319</v>
      </c>
      <c r="D14" s="3812" t="s">
        <v>3261</v>
      </c>
      <c r="E14" s="3812" t="s">
        <v>2994</v>
      </c>
      <c r="F14" s="3812" t="s">
        <v>3262</v>
      </c>
      <c r="G14" s="3815">
        <v>0.8</v>
      </c>
      <c r="H14" s="3812" t="s">
        <v>3320</v>
      </c>
      <c r="I14" s="3812">
        <v>3424</v>
      </c>
      <c r="J14" s="3812">
        <v>4280.58</v>
      </c>
      <c r="K14" s="3812" t="s">
        <v>3321</v>
      </c>
      <c r="L14" s="3812">
        <v>642.09</v>
      </c>
      <c r="M14" s="3813">
        <v>43094.000497685185</v>
      </c>
      <c r="N14" s="3812">
        <v>642.09</v>
      </c>
      <c r="O14" s="3814">
        <v>1875</v>
      </c>
      <c r="P14" s="3812">
        <v>0</v>
      </c>
      <c r="Q14" s="3812" t="s">
        <v>3322</v>
      </c>
      <c r="R14" s="3812">
        <v>200</v>
      </c>
    </row>
    <row r="15" spans="2:18">
      <c r="B15" s="3812" t="s">
        <v>3323</v>
      </c>
      <c r="C15" s="3812" t="s">
        <v>3324</v>
      </c>
      <c r="D15" s="3812" t="s">
        <v>3261</v>
      </c>
      <c r="E15" s="3812" t="s">
        <v>2994</v>
      </c>
      <c r="F15" s="3812" t="s">
        <v>3262</v>
      </c>
      <c r="G15" s="3815">
        <v>0.8</v>
      </c>
      <c r="H15" s="3812" t="s">
        <v>3325</v>
      </c>
      <c r="I15" s="3812">
        <v>25110</v>
      </c>
      <c r="J15" s="3812">
        <v>31386.9</v>
      </c>
      <c r="K15" s="3812" t="s">
        <v>3326</v>
      </c>
      <c r="L15" s="3812">
        <v>11547.52</v>
      </c>
      <c r="M15" s="3813">
        <v>42859.000497685185</v>
      </c>
      <c r="N15" s="3812">
        <v>11547.52</v>
      </c>
      <c r="O15" s="3814">
        <v>4599</v>
      </c>
      <c r="P15" s="3812">
        <v>0</v>
      </c>
      <c r="Q15" s="3812" t="s">
        <v>3327</v>
      </c>
      <c r="R15" s="3812">
        <v>3500</v>
      </c>
    </row>
    <row r="16" spans="2:18">
      <c r="B16" s="3812" t="s">
        <v>3328</v>
      </c>
      <c r="C16" s="3812" t="s">
        <v>3329</v>
      </c>
      <c r="D16" s="3812" t="s">
        <v>3261</v>
      </c>
      <c r="E16" s="3812" t="s">
        <v>2994</v>
      </c>
      <c r="F16" s="3812" t="s">
        <v>3262</v>
      </c>
      <c r="G16" s="3815">
        <v>0.8</v>
      </c>
      <c r="H16" s="3812" t="s">
        <v>3325</v>
      </c>
      <c r="I16" s="3812">
        <v>36185</v>
      </c>
      <c r="J16" s="3812">
        <v>45231.1</v>
      </c>
      <c r="K16" s="3812" t="s">
        <v>3330</v>
      </c>
      <c r="L16" s="3812">
        <v>13943.25</v>
      </c>
      <c r="M16" s="3813">
        <v>42846.000497685185</v>
      </c>
      <c r="N16" s="3812">
        <v>13943.25</v>
      </c>
      <c r="O16" s="3814">
        <v>3853</v>
      </c>
      <c r="P16" s="3812">
        <v>0</v>
      </c>
      <c r="Q16" s="3812" t="s">
        <v>3331</v>
      </c>
      <c r="R16" s="3812">
        <v>4200</v>
      </c>
    </row>
    <row r="17" spans="2:18">
      <c r="B17" s="3812" t="s">
        <v>3332</v>
      </c>
      <c r="C17" s="3812" t="s">
        <v>3333</v>
      </c>
      <c r="D17" s="3812" t="s">
        <v>3261</v>
      </c>
      <c r="E17" s="3812" t="s">
        <v>2994</v>
      </c>
      <c r="F17" s="3812" t="s">
        <v>3262</v>
      </c>
      <c r="G17" s="3815">
        <v>1</v>
      </c>
      <c r="H17" s="3812" t="s">
        <v>3320</v>
      </c>
      <c r="I17" s="3812">
        <v>401615</v>
      </c>
      <c r="J17" s="3812">
        <v>401615.3</v>
      </c>
      <c r="K17" s="3812" t="s">
        <v>3330</v>
      </c>
      <c r="L17" s="3812">
        <v>109378.8</v>
      </c>
      <c r="M17" s="3813">
        <v>42846.000497685185</v>
      </c>
      <c r="N17" s="3812">
        <v>109378.8</v>
      </c>
      <c r="O17" s="3814">
        <v>2723</v>
      </c>
      <c r="P17" s="3812">
        <v>0</v>
      </c>
      <c r="Q17" s="3812" t="s">
        <v>3334</v>
      </c>
      <c r="R17" s="3812">
        <v>32800</v>
      </c>
    </row>
    <row r="18" spans="2:18">
      <c r="B18" s="3812" t="s">
        <v>3335</v>
      </c>
      <c r="C18" s="3812" t="s">
        <v>3336</v>
      </c>
      <c r="D18" s="3812" t="s">
        <v>3261</v>
      </c>
      <c r="E18" s="3812" t="s">
        <v>2994</v>
      </c>
      <c r="F18" s="3812" t="s">
        <v>3262</v>
      </c>
      <c r="G18" s="3815">
        <v>0.8</v>
      </c>
      <c r="H18" s="3812" t="s">
        <v>3320</v>
      </c>
      <c r="I18" s="3812">
        <v>9530</v>
      </c>
      <c r="J18" s="3812">
        <v>11912.8</v>
      </c>
      <c r="K18" s="3812" t="s">
        <v>3337</v>
      </c>
      <c r="L18" s="3812">
        <v>1798</v>
      </c>
      <c r="M18" s="3813">
        <v>42668.000497685185</v>
      </c>
      <c r="N18" s="3812">
        <v>1798</v>
      </c>
      <c r="O18" s="3814">
        <v>1887</v>
      </c>
      <c r="P18" s="3812">
        <v>0</v>
      </c>
      <c r="Q18" s="3812" t="s">
        <v>3338</v>
      </c>
      <c r="R18" s="3812">
        <v>530</v>
      </c>
    </row>
    <row r="19" spans="2:18">
      <c r="B19" s="3812" t="s">
        <v>3339</v>
      </c>
      <c r="C19" s="3812" t="s">
        <v>3340</v>
      </c>
      <c r="D19" s="3812" t="s">
        <v>3261</v>
      </c>
      <c r="E19" s="3812" t="s">
        <v>2994</v>
      </c>
      <c r="F19" s="3812" t="s">
        <v>3262</v>
      </c>
      <c r="G19" s="3815">
        <v>0.8</v>
      </c>
      <c r="H19" s="3812" t="s">
        <v>3320</v>
      </c>
      <c r="I19" s="3812">
        <v>10631</v>
      </c>
      <c r="J19" s="3812">
        <v>13289.21</v>
      </c>
      <c r="K19" s="3812" t="s">
        <v>3341</v>
      </c>
      <c r="L19" s="3812">
        <v>1597.44</v>
      </c>
      <c r="M19" s="3813">
        <v>42102.000497685185</v>
      </c>
      <c r="N19" s="3812">
        <v>1597.44</v>
      </c>
      <c r="O19" s="3814">
        <v>1503</v>
      </c>
      <c r="P19" s="3812">
        <v>0</v>
      </c>
      <c r="Q19" s="3812" t="s">
        <v>3342</v>
      </c>
      <c r="R19" s="3812">
        <v>500</v>
      </c>
    </row>
    <row r="20" spans="2:18">
      <c r="B20" s="3812" t="s">
        <v>3343</v>
      </c>
      <c r="C20" s="3812" t="s">
        <v>3344</v>
      </c>
      <c r="D20" s="3812" t="s">
        <v>3261</v>
      </c>
      <c r="E20" s="3812" t="s">
        <v>2994</v>
      </c>
      <c r="F20" s="3812" t="s">
        <v>3262</v>
      </c>
      <c r="G20" s="3815">
        <v>0.8</v>
      </c>
      <c r="H20" s="3812" t="s">
        <v>3320</v>
      </c>
      <c r="I20" s="3812">
        <v>45442</v>
      </c>
      <c r="J20" s="3812">
        <v>56802.68</v>
      </c>
      <c r="K20" s="3812" t="s">
        <v>3341</v>
      </c>
      <c r="L20" s="3812">
        <v>7121.08</v>
      </c>
      <c r="M20" s="3813">
        <v>42102.000497685185</v>
      </c>
      <c r="N20" s="3812">
        <v>7121.08</v>
      </c>
      <c r="O20" s="3814">
        <v>1567</v>
      </c>
      <c r="P20" s="3812">
        <v>0</v>
      </c>
      <c r="Q20" s="3812" t="s">
        <v>3345</v>
      </c>
      <c r="R20" s="3812">
        <v>2000</v>
      </c>
    </row>
    <row r="21" spans="2:18">
      <c r="B21" s="3812" t="s">
        <v>3346</v>
      </c>
      <c r="C21" s="3812" t="s">
        <v>3347</v>
      </c>
      <c r="D21" s="3812" t="s">
        <v>3261</v>
      </c>
      <c r="E21" s="3812" t="s">
        <v>2994</v>
      </c>
      <c r="F21" s="3812" t="s">
        <v>3262</v>
      </c>
      <c r="G21" s="3815">
        <v>0.8</v>
      </c>
      <c r="H21" s="3812" t="s">
        <v>3320</v>
      </c>
      <c r="I21" s="3812">
        <v>57063</v>
      </c>
      <c r="J21" s="3812">
        <v>71328.36</v>
      </c>
      <c r="K21" s="3812" t="s">
        <v>3348</v>
      </c>
      <c r="L21" s="3812">
        <v>8967.77</v>
      </c>
      <c r="M21" s="3813">
        <v>42079.000497685185</v>
      </c>
      <c r="N21" s="3812">
        <v>8967.77</v>
      </c>
      <c r="O21" s="3814">
        <v>1572</v>
      </c>
      <c r="P21" s="3812">
        <v>0</v>
      </c>
      <c r="Q21" s="3812" t="s">
        <v>3349</v>
      </c>
      <c r="R21" s="3812">
        <v>2700</v>
      </c>
    </row>
    <row r="22" spans="2:18">
      <c r="B22" s="3812" t="s">
        <v>3350</v>
      </c>
      <c r="C22" s="3812" t="s">
        <v>3351</v>
      </c>
      <c r="D22" s="3812" t="s">
        <v>3261</v>
      </c>
      <c r="E22" s="3812" t="s">
        <v>2994</v>
      </c>
      <c r="F22" s="3812" t="s">
        <v>3262</v>
      </c>
      <c r="G22" s="3815">
        <v>0.8</v>
      </c>
      <c r="H22" s="3812" t="s">
        <v>3320</v>
      </c>
      <c r="I22" s="3812">
        <v>33544</v>
      </c>
      <c r="J22" s="3812">
        <v>41930.26</v>
      </c>
      <c r="K22" s="3812" t="s">
        <v>3352</v>
      </c>
      <c r="L22" s="3812">
        <v>5256.6</v>
      </c>
      <c r="M22" s="3813">
        <v>42074.000497685185</v>
      </c>
      <c r="N22" s="3812">
        <v>5256.6</v>
      </c>
      <c r="O22" s="3814">
        <v>1567</v>
      </c>
      <c r="P22" s="3812">
        <v>0</v>
      </c>
      <c r="Q22" s="3812" t="s">
        <v>3353</v>
      </c>
      <c r="R22" s="3812">
        <v>1500</v>
      </c>
    </row>
    <row r="23" spans="2:18">
      <c r="B23" s="3812" t="s">
        <v>3354</v>
      </c>
      <c r="C23" s="3812" t="s">
        <v>3355</v>
      </c>
      <c r="D23" s="3812" t="s">
        <v>3261</v>
      </c>
      <c r="E23" s="3812" t="s">
        <v>2994</v>
      </c>
      <c r="F23" s="3812" t="s">
        <v>3262</v>
      </c>
      <c r="G23" s="3815">
        <v>0.8</v>
      </c>
      <c r="H23" s="3812" t="s">
        <v>3320</v>
      </c>
      <c r="I23" s="3812">
        <v>46878</v>
      </c>
      <c r="J23" s="3812">
        <v>58598.03</v>
      </c>
      <c r="K23" s="3812" t="s">
        <v>3356</v>
      </c>
      <c r="L23" s="3812">
        <v>6769.32</v>
      </c>
      <c r="M23" s="3813">
        <v>41800.000497685185</v>
      </c>
      <c r="N23" s="3812">
        <v>6769.32</v>
      </c>
      <c r="O23" s="3814">
        <v>1444</v>
      </c>
      <c r="P23" s="3812">
        <v>0</v>
      </c>
      <c r="Q23" s="3812" t="s">
        <v>3357</v>
      </c>
      <c r="R23" s="3812">
        <v>1400</v>
      </c>
    </row>
    <row r="24" spans="2:18">
      <c r="B24" s="3812" t="s">
        <v>3358</v>
      </c>
      <c r="C24" s="3812" t="s">
        <v>3359</v>
      </c>
      <c r="D24" s="3812" t="s">
        <v>3261</v>
      </c>
      <c r="E24" s="3812" t="s">
        <v>2994</v>
      </c>
      <c r="F24" s="3812" t="s">
        <v>3262</v>
      </c>
      <c r="G24" s="3815">
        <v>0.8</v>
      </c>
      <c r="H24" s="3812" t="s">
        <v>3320</v>
      </c>
      <c r="I24" s="3812">
        <v>24317</v>
      </c>
      <c r="J24" s="3812">
        <v>30396.400000000001</v>
      </c>
      <c r="K24" s="3812" t="s">
        <v>3360</v>
      </c>
      <c r="L24" s="3812">
        <v>2215.0100000000002</v>
      </c>
      <c r="M24" s="3813">
        <v>41737.000497685185</v>
      </c>
      <c r="N24" s="3812">
        <v>2235.0100000000002</v>
      </c>
      <c r="O24" s="3814">
        <v>919</v>
      </c>
      <c r="P24" s="3812">
        <v>9.0000000000000011E-3</v>
      </c>
      <c r="Q24" s="3812" t="s">
        <v>3361</v>
      </c>
      <c r="R24" s="3812">
        <v>450</v>
      </c>
    </row>
    <row r="25" spans="2:18">
      <c r="B25" s="3812" t="s">
        <v>3362</v>
      </c>
      <c r="C25" s="3812" t="s">
        <v>3363</v>
      </c>
      <c r="D25" s="3812" t="s">
        <v>3261</v>
      </c>
      <c r="E25" s="3812" t="s">
        <v>2994</v>
      </c>
      <c r="F25" s="3812" t="s">
        <v>3262</v>
      </c>
      <c r="G25" s="3815">
        <v>0.8</v>
      </c>
      <c r="H25" s="3812" t="s">
        <v>3320</v>
      </c>
      <c r="I25" s="3812">
        <v>13760</v>
      </c>
      <c r="J25" s="3812">
        <v>17200</v>
      </c>
      <c r="K25" s="3812" t="s">
        <v>3364</v>
      </c>
      <c r="L25" s="3812">
        <v>1255.0999999999999</v>
      </c>
      <c r="M25" s="3813">
        <v>41731.000497685185</v>
      </c>
      <c r="N25" s="3812">
        <v>3700</v>
      </c>
      <c r="O25" s="3814">
        <v>2689</v>
      </c>
      <c r="P25" s="3812">
        <v>1.9480000000000002</v>
      </c>
      <c r="Q25" s="3812" t="s">
        <v>3365</v>
      </c>
      <c r="R25" s="3812">
        <v>250</v>
      </c>
    </row>
    <row r="26" spans="2:18">
      <c r="B26" s="3812" t="s">
        <v>3366</v>
      </c>
      <c r="C26" s="3812" t="s">
        <v>3367</v>
      </c>
      <c r="D26" s="3812" t="s">
        <v>3261</v>
      </c>
      <c r="E26" s="3812" t="s">
        <v>2994</v>
      </c>
      <c r="F26" s="3812" t="s">
        <v>3262</v>
      </c>
      <c r="G26" s="3815">
        <v>0.8</v>
      </c>
      <c r="H26" s="3812" t="s">
        <v>3320</v>
      </c>
      <c r="I26" s="3812">
        <v>2270</v>
      </c>
      <c r="J26" s="3812">
        <v>2837.45</v>
      </c>
      <c r="K26" s="3812" t="s">
        <v>3364</v>
      </c>
      <c r="L26" s="3812">
        <v>325.85000000000002</v>
      </c>
      <c r="M26" s="3813">
        <v>41731.000497685185</v>
      </c>
      <c r="N26" s="3812">
        <v>325.85000000000002</v>
      </c>
      <c r="O26" s="3814">
        <v>1435</v>
      </c>
      <c r="P26" s="3812">
        <v>0</v>
      </c>
      <c r="Q26" s="3812" t="s">
        <v>3368</v>
      </c>
      <c r="R26" s="3812">
        <v>70</v>
      </c>
    </row>
    <row r="27" spans="2:18">
      <c r="B27" s="3812" t="s">
        <v>3369</v>
      </c>
      <c r="C27" s="3812" t="s">
        <v>3370</v>
      </c>
      <c r="D27" s="3812" t="s">
        <v>3261</v>
      </c>
      <c r="E27" s="3812" t="s">
        <v>2994</v>
      </c>
      <c r="F27" s="3812" t="s">
        <v>3262</v>
      </c>
      <c r="G27" s="3815">
        <v>0.8</v>
      </c>
      <c r="H27" s="3812" t="s">
        <v>3320</v>
      </c>
      <c r="I27" s="3812">
        <v>51929</v>
      </c>
      <c r="J27" s="3812">
        <v>64911.83</v>
      </c>
      <c r="K27" s="3812" t="s">
        <v>3364</v>
      </c>
      <c r="L27" s="3812">
        <v>12025.16</v>
      </c>
      <c r="M27" s="3813">
        <v>41731.000497685185</v>
      </c>
      <c r="N27" s="3812">
        <v>12025.16</v>
      </c>
      <c r="O27" s="3814">
        <v>2316</v>
      </c>
      <c r="P27" s="3812">
        <v>0</v>
      </c>
      <c r="Q27" s="3812" t="s">
        <v>3371</v>
      </c>
      <c r="R27" s="3812">
        <v>2400</v>
      </c>
    </row>
    <row r="28" spans="2:18">
      <c r="B28" s="3812" t="s">
        <v>3372</v>
      </c>
      <c r="C28" s="3812" t="s">
        <v>3373</v>
      </c>
      <c r="D28" s="3812" t="s">
        <v>3261</v>
      </c>
      <c r="E28" s="3812" t="s">
        <v>2994</v>
      </c>
      <c r="F28" s="3812" t="s">
        <v>3262</v>
      </c>
      <c r="G28" s="3815">
        <v>0.8</v>
      </c>
      <c r="H28" s="3812" t="s">
        <v>3320</v>
      </c>
      <c r="I28" s="3812">
        <v>22472</v>
      </c>
      <c r="J28" s="3812">
        <v>28089.599999999999</v>
      </c>
      <c r="K28" s="3812" t="s">
        <v>3364</v>
      </c>
      <c r="L28" s="3812">
        <v>3231.53</v>
      </c>
      <c r="M28" s="3813">
        <v>41731.000497685185</v>
      </c>
      <c r="N28" s="3812">
        <v>3231.53</v>
      </c>
      <c r="O28" s="3814">
        <v>1438</v>
      </c>
      <c r="P28" s="3812">
        <v>0</v>
      </c>
      <c r="Q28" s="3812" t="s">
        <v>3374</v>
      </c>
      <c r="R28" s="3812">
        <v>700</v>
      </c>
    </row>
    <row r="29" spans="2:18">
      <c r="B29" s="3812" t="s">
        <v>3375</v>
      </c>
      <c r="C29" s="3812" t="s">
        <v>3376</v>
      </c>
      <c r="D29" s="3812" t="s">
        <v>3261</v>
      </c>
      <c r="E29" s="3812" t="s">
        <v>2994</v>
      </c>
      <c r="F29" s="3812" t="s">
        <v>3262</v>
      </c>
      <c r="G29" s="3815">
        <v>0.8</v>
      </c>
      <c r="H29" s="3812" t="s">
        <v>3320</v>
      </c>
      <c r="I29" s="3812">
        <v>15041</v>
      </c>
      <c r="J29" s="3812">
        <v>18801.849999999999</v>
      </c>
      <c r="K29" s="3812" t="s">
        <v>3377</v>
      </c>
      <c r="L29" s="3812">
        <v>3483.04</v>
      </c>
      <c r="M29" s="3813">
        <v>41701.000497685185</v>
      </c>
      <c r="N29" s="3812">
        <v>6950</v>
      </c>
      <c r="O29" s="3814">
        <v>4621</v>
      </c>
      <c r="P29" s="3812">
        <v>0.99540000000000006</v>
      </c>
      <c r="Q29" s="3812" t="s">
        <v>3378</v>
      </c>
      <c r="R29" s="3812">
        <v>700</v>
      </c>
    </row>
    <row r="30" spans="2:18">
      <c r="B30" s="3812" t="s">
        <v>3379</v>
      </c>
      <c r="C30" s="3812" t="s">
        <v>3380</v>
      </c>
      <c r="D30" s="3812" t="s">
        <v>3261</v>
      </c>
      <c r="E30" s="3812" t="s">
        <v>2994</v>
      </c>
      <c r="F30" s="3812" t="s">
        <v>3262</v>
      </c>
      <c r="G30" s="3815">
        <v>0.8</v>
      </c>
      <c r="H30" s="3812" t="s">
        <v>3320</v>
      </c>
      <c r="I30" s="3812">
        <v>22675</v>
      </c>
      <c r="J30" s="3812">
        <v>28344.22</v>
      </c>
      <c r="K30" s="3812" t="s">
        <v>3381</v>
      </c>
      <c r="L30" s="3812">
        <v>1008.82</v>
      </c>
      <c r="M30" s="3813">
        <v>41610.000497685185</v>
      </c>
      <c r="N30" s="3812">
        <v>1008.82</v>
      </c>
      <c r="O30" s="3814">
        <v>445</v>
      </c>
      <c r="P30" s="3812">
        <v>0</v>
      </c>
      <c r="Q30" s="3812" t="s">
        <v>3382</v>
      </c>
      <c r="R30" s="3812">
        <v>200</v>
      </c>
    </row>
    <row r="31" spans="2:18">
      <c r="B31" s="3812" t="s">
        <v>3383</v>
      </c>
      <c r="C31" s="3812" t="s">
        <v>3384</v>
      </c>
      <c r="D31" s="3812" t="s">
        <v>3261</v>
      </c>
      <c r="E31" s="3812" t="s">
        <v>2994</v>
      </c>
      <c r="F31" s="3812" t="s">
        <v>3262</v>
      </c>
      <c r="G31" s="3815">
        <v>0.8</v>
      </c>
      <c r="H31" s="3812" t="s">
        <v>3385</v>
      </c>
      <c r="I31" s="3812">
        <v>66600</v>
      </c>
      <c r="J31" s="3812">
        <v>83249.52</v>
      </c>
      <c r="K31" s="3812" t="s">
        <v>3386</v>
      </c>
      <c r="L31" s="3812">
        <v>18230.55</v>
      </c>
      <c r="M31" s="3813">
        <v>41577.000497685185</v>
      </c>
      <c r="N31" s="3812">
        <v>41900</v>
      </c>
      <c r="O31" s="3814">
        <v>6291</v>
      </c>
      <c r="P31" s="3812">
        <v>1.2983000000000002</v>
      </c>
      <c r="Q31" s="3812" t="s">
        <v>3387</v>
      </c>
      <c r="R31" s="3812">
        <v>3700</v>
      </c>
    </row>
    <row r="32" spans="2:18">
      <c r="B32" s="3812" t="s">
        <v>3388</v>
      </c>
      <c r="C32" s="3812" t="s">
        <v>3389</v>
      </c>
      <c r="D32" s="3812" t="s">
        <v>3261</v>
      </c>
      <c r="E32" s="3812" t="s">
        <v>2994</v>
      </c>
      <c r="F32" s="3812" t="s">
        <v>3262</v>
      </c>
      <c r="G32" s="3815">
        <v>0.8</v>
      </c>
      <c r="H32" s="3812" t="s">
        <v>3385</v>
      </c>
      <c r="I32" s="3812">
        <v>8000</v>
      </c>
      <c r="J32" s="3812">
        <v>10000</v>
      </c>
      <c r="K32" s="3812" t="s">
        <v>3390</v>
      </c>
      <c r="L32" s="3812">
        <v>1876.89</v>
      </c>
      <c r="M32" s="3813">
        <v>41499.000497685185</v>
      </c>
      <c r="N32" s="3812">
        <v>1876.89</v>
      </c>
      <c r="O32" s="3814">
        <v>2346</v>
      </c>
      <c r="P32" s="3812">
        <v>0</v>
      </c>
      <c r="Q32" s="3812" t="s">
        <v>3391</v>
      </c>
      <c r="R32" s="3812">
        <v>380</v>
      </c>
    </row>
    <row r="33" spans="2:18">
      <c r="B33" s="3812" t="s">
        <v>3392</v>
      </c>
      <c r="C33" s="3812" t="s">
        <v>3393</v>
      </c>
      <c r="D33" s="3812" t="s">
        <v>3261</v>
      </c>
      <c r="E33" s="3812" t="s">
        <v>2994</v>
      </c>
      <c r="F33" s="3812" t="s">
        <v>3262</v>
      </c>
      <c r="G33" s="3815">
        <v>0.8</v>
      </c>
      <c r="H33" s="3812" t="s">
        <v>3320</v>
      </c>
      <c r="I33" s="3812">
        <v>15839</v>
      </c>
      <c r="J33" s="3812">
        <v>19798.75</v>
      </c>
      <c r="K33" s="3812" t="s">
        <v>3390</v>
      </c>
      <c r="L33" s="3812">
        <v>1102.95</v>
      </c>
      <c r="M33" s="3813">
        <v>41499.000497685185</v>
      </c>
      <c r="N33" s="3812">
        <v>1102.95</v>
      </c>
      <c r="O33" s="3814">
        <v>696</v>
      </c>
      <c r="P33" s="3812">
        <v>0</v>
      </c>
      <c r="Q33" s="3812" t="s">
        <v>3394</v>
      </c>
      <c r="R33" s="3812">
        <v>230</v>
      </c>
    </row>
    <row r="34" spans="2:18">
      <c r="B34" s="3812" t="s">
        <v>3395</v>
      </c>
      <c r="C34" s="3812" t="s">
        <v>3396</v>
      </c>
      <c r="D34" s="3812" t="s">
        <v>3261</v>
      </c>
      <c r="E34" s="3812" t="s">
        <v>2994</v>
      </c>
      <c r="F34" s="3812" t="s">
        <v>3262</v>
      </c>
      <c r="G34" s="3815">
        <v>0.8</v>
      </c>
      <c r="H34" s="3812" t="s">
        <v>3320</v>
      </c>
      <c r="I34" s="3812">
        <v>23230</v>
      </c>
      <c r="J34" s="3812">
        <v>29037.11</v>
      </c>
      <c r="K34" s="3812" t="s">
        <v>3390</v>
      </c>
      <c r="L34" s="3812">
        <v>5504.83</v>
      </c>
      <c r="M34" s="3813">
        <v>41499.000497685185</v>
      </c>
      <c r="N34" s="3812">
        <v>5504.83</v>
      </c>
      <c r="O34" s="3814">
        <v>2370</v>
      </c>
      <c r="P34" s="3812">
        <v>0</v>
      </c>
      <c r="Q34" s="3812" t="s">
        <v>3397</v>
      </c>
      <c r="R34" s="3812">
        <v>1100</v>
      </c>
    </row>
    <row r="35" spans="2:18">
      <c r="B35" s="3812" t="s">
        <v>3398</v>
      </c>
      <c r="C35" s="3812" t="s">
        <v>3399</v>
      </c>
      <c r="D35" s="3812" t="s">
        <v>3261</v>
      </c>
      <c r="E35" s="3812" t="s">
        <v>2994</v>
      </c>
      <c r="F35" s="3812" t="s">
        <v>3262</v>
      </c>
      <c r="G35" s="3815">
        <v>0.8</v>
      </c>
      <c r="H35" s="3812" t="s">
        <v>3297</v>
      </c>
      <c r="I35" s="3812">
        <v>61324</v>
      </c>
      <c r="J35" s="3812">
        <v>76654.399999999994</v>
      </c>
      <c r="K35" s="3812" t="s">
        <v>3400</v>
      </c>
      <c r="L35" s="3812">
        <v>6958.78</v>
      </c>
      <c r="M35" s="3813">
        <v>41484.000497685185</v>
      </c>
      <c r="N35" s="3812">
        <v>6958.78</v>
      </c>
      <c r="O35" s="3814">
        <v>1135</v>
      </c>
      <c r="P35" s="3812">
        <v>0</v>
      </c>
      <c r="Q35" s="3812" t="s">
        <v>3401</v>
      </c>
      <c r="R35" s="3812">
        <v>2100</v>
      </c>
    </row>
    <row r="36" spans="2:18">
      <c r="B36" s="3812" t="s">
        <v>3402</v>
      </c>
      <c r="C36" s="3812" t="s">
        <v>3403</v>
      </c>
      <c r="D36" s="3812" t="s">
        <v>3261</v>
      </c>
      <c r="E36" s="3812" t="s">
        <v>2994</v>
      </c>
      <c r="F36" s="3812" t="s">
        <v>3262</v>
      </c>
      <c r="G36" s="3815">
        <v>0.8</v>
      </c>
      <c r="H36" s="3812" t="s">
        <v>3297</v>
      </c>
      <c r="I36" s="3812">
        <v>29950</v>
      </c>
      <c r="J36" s="3812">
        <v>37438.080000000002</v>
      </c>
      <c r="K36" s="3812" t="s">
        <v>3404</v>
      </c>
      <c r="L36" s="3812">
        <v>6935.4</v>
      </c>
      <c r="M36" s="3813">
        <v>41473.000497685185</v>
      </c>
      <c r="N36" s="3812">
        <v>6935.4</v>
      </c>
      <c r="O36" s="3814">
        <v>2316</v>
      </c>
      <c r="P36" s="3812">
        <v>0</v>
      </c>
      <c r="Q36" s="3812" t="s">
        <v>3405</v>
      </c>
      <c r="R36" s="3812">
        <v>2100</v>
      </c>
    </row>
    <row r="37" spans="2:18">
      <c r="B37" s="3812" t="s">
        <v>3406</v>
      </c>
      <c r="C37" s="3812" t="s">
        <v>3407</v>
      </c>
      <c r="D37" s="3812" t="s">
        <v>3261</v>
      </c>
      <c r="E37" s="3812" t="s">
        <v>2994</v>
      </c>
      <c r="F37" s="3812" t="s">
        <v>3262</v>
      </c>
      <c r="G37" s="3815" t="s">
        <v>3408</v>
      </c>
      <c r="H37" s="3812" t="s">
        <v>3320</v>
      </c>
      <c r="I37" s="3812">
        <v>26667</v>
      </c>
      <c r="J37" s="3812">
        <v>33333.33</v>
      </c>
      <c r="K37" s="3812" t="s">
        <v>3409</v>
      </c>
      <c r="L37" s="3812">
        <v>4821.87</v>
      </c>
      <c r="M37" s="3813">
        <v>41304.000497685185</v>
      </c>
      <c r="N37" s="3812">
        <v>4821.87</v>
      </c>
      <c r="O37" s="3814">
        <v>1808</v>
      </c>
      <c r="P37" s="3812">
        <v>0</v>
      </c>
      <c r="Q37" s="3812" t="s">
        <v>3410</v>
      </c>
      <c r="R37" s="3812">
        <v>1000</v>
      </c>
    </row>
    <row r="38" spans="2:18">
      <c r="B38" s="3812" t="s">
        <v>3411</v>
      </c>
      <c r="C38" s="3812" t="s">
        <v>3412</v>
      </c>
      <c r="D38" s="3812" t="s">
        <v>3261</v>
      </c>
      <c r="E38" s="3812" t="s">
        <v>2994</v>
      </c>
      <c r="F38" s="3812" t="s">
        <v>3262</v>
      </c>
      <c r="G38" s="3815" t="s">
        <v>3408</v>
      </c>
      <c r="H38" s="3812" t="s">
        <v>3320</v>
      </c>
      <c r="I38" s="3812">
        <v>69241</v>
      </c>
      <c r="J38" s="3812">
        <v>86551.87</v>
      </c>
      <c r="K38" s="3812" t="s">
        <v>3413</v>
      </c>
      <c r="L38" s="3812">
        <v>7626.38</v>
      </c>
      <c r="M38" s="3813">
        <v>41271.000497685185</v>
      </c>
      <c r="N38" s="3812">
        <v>7626.38</v>
      </c>
      <c r="O38" s="3814">
        <v>1101</v>
      </c>
      <c r="P38" s="3812">
        <v>0</v>
      </c>
      <c r="Q38" s="3812" t="s">
        <v>3414</v>
      </c>
      <c r="R38" s="3812">
        <v>1600</v>
      </c>
    </row>
    <row r="39" spans="2:18">
      <c r="B39" s="3812" t="s">
        <v>3415</v>
      </c>
      <c r="C39" s="3812" t="s">
        <v>3416</v>
      </c>
      <c r="D39" s="3812" t="s">
        <v>3261</v>
      </c>
      <c r="E39" s="3812" t="s">
        <v>2994</v>
      </c>
      <c r="F39" s="3812" t="s">
        <v>3262</v>
      </c>
      <c r="G39" s="3815" t="s">
        <v>3408</v>
      </c>
      <c r="H39" s="3812" t="s">
        <v>3320</v>
      </c>
      <c r="I39" s="3812">
        <v>7781</v>
      </c>
      <c r="J39" s="3812">
        <v>9726</v>
      </c>
      <c r="K39" s="3812" t="s">
        <v>3417</v>
      </c>
      <c r="L39" s="3812">
        <v>854.35</v>
      </c>
      <c r="M39" s="3813">
        <v>41269.000497685185</v>
      </c>
      <c r="N39" s="3812">
        <v>854.35</v>
      </c>
      <c r="O39" s="3814">
        <v>1098</v>
      </c>
      <c r="P39" s="3812">
        <v>0</v>
      </c>
      <c r="Q39" s="3812" t="s">
        <v>3418</v>
      </c>
      <c r="R39" s="3812">
        <v>170</v>
      </c>
    </row>
    <row r="40" spans="2:18">
      <c r="B40" s="3812" t="s">
        <v>3419</v>
      </c>
      <c r="C40" s="3812" t="s">
        <v>3420</v>
      </c>
      <c r="D40" s="3812" t="s">
        <v>3261</v>
      </c>
      <c r="E40" s="3812" t="s">
        <v>2994</v>
      </c>
      <c r="F40" s="3812" t="s">
        <v>3262</v>
      </c>
      <c r="G40" s="3815" t="s">
        <v>3408</v>
      </c>
      <c r="H40" s="3812" t="s">
        <v>3297</v>
      </c>
      <c r="I40" s="3812">
        <v>10559</v>
      </c>
      <c r="J40" s="3812">
        <v>13198.8</v>
      </c>
      <c r="K40" s="3812" t="s">
        <v>3417</v>
      </c>
      <c r="L40" s="3812">
        <v>1914.14</v>
      </c>
      <c r="M40" s="3813">
        <v>41269.000497685185</v>
      </c>
      <c r="N40" s="3812">
        <v>1914.14</v>
      </c>
      <c r="O40" s="3814">
        <v>1813</v>
      </c>
      <c r="P40" s="3812">
        <v>0</v>
      </c>
      <c r="Q40" s="3812" t="s">
        <v>3421</v>
      </c>
      <c r="R40" s="3812">
        <v>380</v>
      </c>
    </row>
    <row r="41" spans="2:18">
      <c r="B41" s="3812" t="s">
        <v>3422</v>
      </c>
      <c r="C41" s="3812" t="s">
        <v>3423</v>
      </c>
      <c r="D41" s="3812" t="s">
        <v>3261</v>
      </c>
      <c r="E41" s="3812" t="s">
        <v>2994</v>
      </c>
      <c r="F41" s="3812" t="s">
        <v>3262</v>
      </c>
      <c r="G41" s="3815" t="s">
        <v>3408</v>
      </c>
      <c r="H41" s="3812" t="s">
        <v>3297</v>
      </c>
      <c r="I41" s="3812">
        <v>27741</v>
      </c>
      <c r="J41" s="3812">
        <v>34676.67</v>
      </c>
      <c r="K41" s="3812" t="s">
        <v>3417</v>
      </c>
      <c r="L41" s="3812">
        <v>5017.25</v>
      </c>
      <c r="M41" s="3813">
        <v>41269.000497685185</v>
      </c>
      <c r="N41" s="3812">
        <v>5017.25</v>
      </c>
      <c r="O41" s="3814">
        <v>1809</v>
      </c>
      <c r="P41" s="3812">
        <v>0</v>
      </c>
      <c r="Q41" s="3812" t="s">
        <v>3424</v>
      </c>
      <c r="R41" s="3812">
        <v>1000</v>
      </c>
    </row>
    <row r="42" spans="2:18">
      <c r="B42" s="3812" t="s">
        <v>3425</v>
      </c>
      <c r="C42" s="3812" t="s">
        <v>3426</v>
      </c>
      <c r="D42" s="3812" t="s">
        <v>3261</v>
      </c>
      <c r="E42" s="3812" t="s">
        <v>2994</v>
      </c>
      <c r="F42" s="3812" t="s">
        <v>3262</v>
      </c>
      <c r="G42" s="3815" t="s">
        <v>3408</v>
      </c>
      <c r="H42" s="3812" t="s">
        <v>3320</v>
      </c>
      <c r="I42" s="3812">
        <v>4573</v>
      </c>
      <c r="J42" s="3812">
        <v>5715.9</v>
      </c>
      <c r="K42" s="3812" t="s">
        <v>3417</v>
      </c>
      <c r="L42" s="3812">
        <v>431.02</v>
      </c>
      <c r="M42" s="3813">
        <v>41269.000497685185</v>
      </c>
      <c r="N42" s="3812">
        <v>431.02</v>
      </c>
      <c r="O42" s="3814">
        <v>943</v>
      </c>
      <c r="P42" s="3812">
        <v>0</v>
      </c>
      <c r="Q42" s="3812" t="s">
        <v>3427</v>
      </c>
      <c r="R42" s="3812">
        <v>90</v>
      </c>
    </row>
    <row r="43" spans="2:18">
      <c r="B43" s="3812" t="s">
        <v>3428</v>
      </c>
      <c r="C43" s="3812" t="s">
        <v>3429</v>
      </c>
      <c r="D43" s="3812" t="s">
        <v>3261</v>
      </c>
      <c r="E43" s="3812" t="s">
        <v>2994</v>
      </c>
      <c r="F43" s="3812" t="s">
        <v>3262</v>
      </c>
      <c r="G43" s="3815" t="s">
        <v>3408</v>
      </c>
      <c r="H43" s="3812" t="s">
        <v>3430</v>
      </c>
      <c r="I43" s="3812">
        <v>13325</v>
      </c>
      <c r="J43" s="3812">
        <v>16656.150000000001</v>
      </c>
      <c r="K43" s="3812" t="s">
        <v>3431</v>
      </c>
      <c r="L43" s="3812">
        <v>1393.81</v>
      </c>
      <c r="M43" s="3813">
        <v>41170.000497685185</v>
      </c>
      <c r="N43" s="3812">
        <v>1393.81</v>
      </c>
      <c r="O43" s="3814">
        <v>1046</v>
      </c>
      <c r="P43" s="3812">
        <v>0</v>
      </c>
      <c r="Q43" s="3812" t="s">
        <v>3432</v>
      </c>
      <c r="R43" s="3812">
        <v>210</v>
      </c>
    </row>
    <row r="44" spans="2:18">
      <c r="B44" s="3812" t="s">
        <v>3433</v>
      </c>
      <c r="C44" s="3812" t="s">
        <v>3434</v>
      </c>
      <c r="D44" s="3812" t="s">
        <v>3261</v>
      </c>
      <c r="E44" s="3812" t="s">
        <v>2994</v>
      </c>
      <c r="F44" s="3812" t="s">
        <v>3262</v>
      </c>
      <c r="G44" s="3815" t="s">
        <v>3408</v>
      </c>
      <c r="H44" s="3812" t="s">
        <v>3297</v>
      </c>
      <c r="I44" s="3812">
        <v>24556</v>
      </c>
      <c r="J44" s="3812">
        <v>30695.4</v>
      </c>
      <c r="K44" s="3812" t="s">
        <v>3435</v>
      </c>
      <c r="L44" s="3812">
        <v>2635.68</v>
      </c>
      <c r="M44" s="3813">
        <v>41102.000497685185</v>
      </c>
      <c r="N44" s="3812">
        <v>2635.68</v>
      </c>
      <c r="O44" s="3814">
        <v>1073</v>
      </c>
      <c r="P44" s="3812">
        <v>0</v>
      </c>
      <c r="Q44" s="3812" t="s">
        <v>3436</v>
      </c>
      <c r="R44" s="3812">
        <v>400</v>
      </c>
    </row>
    <row r="45" spans="2:18">
      <c r="B45" s="3812" t="s">
        <v>3437</v>
      </c>
      <c r="C45" s="3812" t="s">
        <v>3438</v>
      </c>
      <c r="D45" s="3812" t="s">
        <v>3261</v>
      </c>
      <c r="E45" s="3812" t="s">
        <v>2994</v>
      </c>
      <c r="F45" s="3812" t="s">
        <v>3262</v>
      </c>
      <c r="G45" s="3815" t="s">
        <v>3408</v>
      </c>
      <c r="H45" s="3812" t="s">
        <v>3297</v>
      </c>
      <c r="I45" s="3812">
        <v>24556</v>
      </c>
      <c r="J45" s="3812">
        <v>30695.4</v>
      </c>
      <c r="K45" s="3812" t="s">
        <v>3439</v>
      </c>
      <c r="L45" s="3812">
        <v>2635.68</v>
      </c>
      <c r="M45" s="3813">
        <v>41101.000497685185</v>
      </c>
      <c r="N45" s="3812">
        <v>2635.68</v>
      </c>
      <c r="O45" s="3814">
        <v>1073</v>
      </c>
      <c r="P45" s="3812">
        <v>0</v>
      </c>
      <c r="Q45" s="3812" t="s">
        <v>3440</v>
      </c>
      <c r="R45" s="3812">
        <v>400</v>
      </c>
    </row>
    <row r="46" spans="2:18">
      <c r="B46" s="3812" t="s">
        <v>3441</v>
      </c>
      <c r="C46" s="3812" t="s">
        <v>3442</v>
      </c>
      <c r="D46" s="3812" t="s">
        <v>3261</v>
      </c>
      <c r="E46" s="3812" t="s">
        <v>2994</v>
      </c>
      <c r="F46" s="3812" t="s">
        <v>3262</v>
      </c>
      <c r="G46" s="3815" t="s">
        <v>3408</v>
      </c>
      <c r="H46" s="3812" t="s">
        <v>3320</v>
      </c>
      <c r="I46" s="3812">
        <v>25412</v>
      </c>
      <c r="J46" s="3812">
        <v>31764.799999999999</v>
      </c>
      <c r="K46" s="3812" t="s">
        <v>3443</v>
      </c>
      <c r="L46" s="3812">
        <v>2257.1999999999998</v>
      </c>
      <c r="M46" s="3813">
        <v>41067.000497685185</v>
      </c>
      <c r="N46" s="3812">
        <v>3870</v>
      </c>
      <c r="O46" s="3814">
        <v>1523</v>
      </c>
      <c r="P46" s="3812">
        <v>0.71450000000000002</v>
      </c>
      <c r="Q46" s="3812" t="s">
        <v>3444</v>
      </c>
      <c r="R46" s="3812">
        <v>350</v>
      </c>
    </row>
    <row r="47" spans="2:18">
      <c r="B47" s="3812" t="s">
        <v>3445</v>
      </c>
      <c r="C47" s="3812" t="s">
        <v>3446</v>
      </c>
      <c r="D47" s="3812" t="s">
        <v>3261</v>
      </c>
      <c r="E47" s="3812" t="s">
        <v>2994</v>
      </c>
      <c r="F47" s="3812" t="s">
        <v>3262</v>
      </c>
      <c r="G47" s="3815" t="s">
        <v>3408</v>
      </c>
      <c r="H47" s="3812" t="s">
        <v>3297</v>
      </c>
      <c r="I47" s="3812">
        <v>23225</v>
      </c>
      <c r="J47" s="3812">
        <v>29031.7</v>
      </c>
      <c r="K47" s="3812" t="s">
        <v>3443</v>
      </c>
      <c r="L47" s="3812">
        <v>2493.06</v>
      </c>
      <c r="M47" s="3813">
        <v>41177.000497685185</v>
      </c>
      <c r="N47" s="3812">
        <v>2493.06</v>
      </c>
      <c r="O47" s="3814">
        <v>1073</v>
      </c>
      <c r="P47" s="3812">
        <v>0</v>
      </c>
      <c r="Q47" s="3812" t="s">
        <v>3447</v>
      </c>
      <c r="R47" s="3812">
        <v>380</v>
      </c>
    </row>
    <row r="48" spans="2:18">
      <c r="B48" s="3812" t="s">
        <v>3448</v>
      </c>
      <c r="C48" s="3812" t="s">
        <v>3449</v>
      </c>
      <c r="D48" s="3812" t="s">
        <v>3261</v>
      </c>
      <c r="E48" s="3812" t="s">
        <v>2994</v>
      </c>
      <c r="F48" s="3812" t="s">
        <v>3262</v>
      </c>
      <c r="G48" s="3815" t="s">
        <v>3408</v>
      </c>
      <c r="H48" s="3812" t="s">
        <v>3430</v>
      </c>
      <c r="I48" s="3812">
        <v>9654</v>
      </c>
      <c r="J48" s="3812">
        <v>12067.31</v>
      </c>
      <c r="K48" s="3812" t="s">
        <v>3450</v>
      </c>
      <c r="L48" s="3812">
        <v>1012</v>
      </c>
      <c r="M48" s="3813">
        <v>41050.000497685185</v>
      </c>
      <c r="N48" s="3812">
        <v>1012</v>
      </c>
      <c r="O48" s="3814">
        <v>1048</v>
      </c>
      <c r="P48" s="3812">
        <v>0</v>
      </c>
      <c r="Q48" s="3812" t="s">
        <v>3451</v>
      </c>
      <c r="R48" s="3812">
        <v>150</v>
      </c>
    </row>
    <row r="49" spans="2:18">
      <c r="B49" s="3812" t="s">
        <v>3452</v>
      </c>
      <c r="C49" s="3812" t="s">
        <v>3453</v>
      </c>
      <c r="D49" s="3812" t="s">
        <v>3261</v>
      </c>
      <c r="E49" s="3812" t="s">
        <v>2994</v>
      </c>
      <c r="F49" s="3812" t="s">
        <v>3262</v>
      </c>
      <c r="G49" s="3815" t="s">
        <v>3408</v>
      </c>
      <c r="H49" s="3812" t="s">
        <v>3430</v>
      </c>
      <c r="I49" s="3812">
        <v>38017</v>
      </c>
      <c r="J49" s="3812">
        <v>47521.98</v>
      </c>
      <c r="K49" s="3812" t="s">
        <v>3454</v>
      </c>
      <c r="L49" s="3812">
        <v>6858.66</v>
      </c>
      <c r="M49" s="3813">
        <v>40962.000497685185</v>
      </c>
      <c r="N49" s="3812">
        <v>6858.66</v>
      </c>
      <c r="O49" s="3814">
        <v>1804</v>
      </c>
      <c r="P49" s="3812">
        <v>0</v>
      </c>
      <c r="Q49" s="3812" t="s">
        <v>3455</v>
      </c>
      <c r="R49" s="3812">
        <v>1030</v>
      </c>
    </row>
    <row r="50" spans="2:18">
      <c r="B50" s="3812" t="s">
        <v>3456</v>
      </c>
      <c r="C50" s="3812" t="s">
        <v>3457</v>
      </c>
      <c r="D50" s="3812" t="s">
        <v>3261</v>
      </c>
      <c r="E50" s="3812" t="s">
        <v>2994</v>
      </c>
      <c r="F50" s="3812" t="s">
        <v>3262</v>
      </c>
      <c r="G50" s="3815" t="s">
        <v>3408</v>
      </c>
      <c r="H50" s="3812" t="s">
        <v>3430</v>
      </c>
      <c r="I50" s="3812">
        <v>28927</v>
      </c>
      <c r="J50" s="3812">
        <v>36158.5</v>
      </c>
      <c r="K50" s="3812" t="s">
        <v>3458</v>
      </c>
      <c r="L50" s="3812">
        <v>1981.32</v>
      </c>
      <c r="M50" s="3813">
        <v>40959.000497685185</v>
      </c>
      <c r="N50" s="3812">
        <v>1981.32</v>
      </c>
      <c r="O50" s="3814">
        <v>685</v>
      </c>
      <c r="P50" s="3812">
        <v>0</v>
      </c>
      <c r="Q50" s="3812" t="s">
        <v>3459</v>
      </c>
      <c r="R50" s="3812">
        <v>300</v>
      </c>
    </row>
    <row r="51" spans="2:18">
      <c r="B51" s="3812" t="s">
        <v>3460</v>
      </c>
      <c r="C51" s="3812" t="s">
        <v>3461</v>
      </c>
      <c r="D51" s="3812" t="s">
        <v>3261</v>
      </c>
      <c r="E51" s="3812" t="s">
        <v>2994</v>
      </c>
      <c r="F51" s="3812" t="s">
        <v>3262</v>
      </c>
      <c r="G51" s="3815" t="s">
        <v>3408</v>
      </c>
      <c r="H51" s="3812" t="s">
        <v>3297</v>
      </c>
      <c r="I51" s="3812">
        <v>26680</v>
      </c>
      <c r="J51" s="3812">
        <v>33329.5</v>
      </c>
      <c r="K51" s="3812" t="s">
        <v>3458</v>
      </c>
      <c r="L51" s="3812">
        <v>5657.9</v>
      </c>
      <c r="M51" s="3813">
        <v>40959.000497685185</v>
      </c>
      <c r="N51" s="3812">
        <v>5657.9</v>
      </c>
      <c r="O51" s="3814">
        <v>2121</v>
      </c>
      <c r="P51" s="3812">
        <v>0</v>
      </c>
      <c r="Q51" s="3812" t="s">
        <v>3462</v>
      </c>
      <c r="R51" s="3812">
        <v>850</v>
      </c>
    </row>
  </sheetData>
  <phoneticPr fontId="22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E5"/>
  <sheetViews>
    <sheetView workbookViewId="0">
      <selection activeCell="E6" sqref="E6"/>
    </sheetView>
  </sheetViews>
  <sheetFormatPr defaultRowHeight="13.5"/>
  <sheetData>
    <row r="1" spans="1:5">
      <c r="A1" s="3156" t="s">
        <v>3465</v>
      </c>
      <c r="B1" s="3156" t="s">
        <v>3463</v>
      </c>
      <c r="C1" s="3156" t="s">
        <v>3464</v>
      </c>
      <c r="D1" s="3156" t="s">
        <v>3466</v>
      </c>
      <c r="E1" s="3156" t="s">
        <v>3467</v>
      </c>
    </row>
    <row r="2" spans="1:5">
      <c r="A2" t="str">
        <f>招拍挂成交!B2</f>
        <v>顺义新城3401街区(高丽营镇中关村顺义园三代半产业基地)3-2-4(北区)(3号地A)地块M1工业用地国有建设用地使用权出让</v>
      </c>
      <c r="B2">
        <f>招拍挂成交!N2</f>
        <v>4964.83</v>
      </c>
      <c r="C2">
        <v>4464.49</v>
      </c>
      <c r="D2">
        <f>B2-C2</f>
        <v>500.34000000000015</v>
      </c>
      <c r="E2">
        <f>D2/B2</f>
        <v>0.10077686446464434</v>
      </c>
    </row>
    <row r="3" spans="1:5">
      <c r="A3" t="str">
        <f>招拍挂成交!B9</f>
        <v>北京市顺义临空国际(科创功能区)6-1-1地块M1一类工业用地国有建设用地</v>
      </c>
      <c r="B3">
        <f>招拍挂成交!N9</f>
        <v>13020</v>
      </c>
      <c r="C3">
        <v>10476.870000000001</v>
      </c>
      <c r="D3">
        <f>B3-C3</f>
        <v>2543.1299999999992</v>
      </c>
      <c r="E3">
        <f>D3/B3</f>
        <v>0.19532488479262666</v>
      </c>
    </row>
    <row r="4" spans="1:5">
      <c r="A4" t="str">
        <f>招拍挂成交!B6</f>
        <v>京平公转铁综合物流枢纽产业园土地整理(一期)一级开发项目南场区PG05-0003-B004地块</v>
      </c>
      <c r="B4">
        <f>招拍挂成交!N6</f>
        <v>12487.17</v>
      </c>
      <c r="C4">
        <v>11544</v>
      </c>
      <c r="D4">
        <f>B4-C4</f>
        <v>943.17000000000007</v>
      </c>
      <c r="E4">
        <f>D4/B4</f>
        <v>7.5531125146850731E-2</v>
      </c>
    </row>
    <row r="5" spans="1:5">
      <c r="E5">
        <f>ROUND(AVERAGE(E2:E4),2)</f>
        <v>0.12</v>
      </c>
    </row>
  </sheetData>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2697</v>
      </c>
      <c r="B1" s="3154"/>
      <c r="C1" s="3154"/>
      <c r="D1" s="3154"/>
      <c r="E1" s="3154"/>
      <c r="F1" s="3154"/>
      <c r="G1" s="3155"/>
      <c r="H1" s="3155"/>
      <c r="I1" s="3155"/>
      <c r="J1" s="3155"/>
      <c r="K1" s="3155"/>
      <c r="L1" s="3155"/>
      <c r="M1" s="3155"/>
      <c r="N1" s="3155"/>
    </row>
    <row r="2" spans="1:14" ht="14.25">
      <c r="A2" s="3160" t="s">
        <v>2692</v>
      </c>
      <c r="B2" s="3165">
        <f ca="1">SUMIF(B7:B14,"&lt;&gt;#ref!",B7:B14)</f>
        <v>0</v>
      </c>
      <c r="C2" s="3160" t="s">
        <v>2693</v>
      </c>
      <c r="D2" s="3157"/>
      <c r="E2" s="3157"/>
      <c r="F2" s="3157"/>
      <c r="G2" s="3155"/>
      <c r="H2" s="3155"/>
      <c r="I2" s="3155"/>
      <c r="J2" s="3155"/>
      <c r="K2" s="3155"/>
      <c r="L2" s="3155"/>
      <c r="M2" s="3155"/>
      <c r="N2" s="3155"/>
    </row>
    <row r="3" spans="1:14" ht="14.25">
      <c r="A3" s="3160" t="s">
        <v>2720</v>
      </c>
      <c r="B3" s="3165" t="e">
        <f ca="1">ROUND(B2*10000/E3,0)</f>
        <v>#DIV/0!</v>
      </c>
      <c r="C3" s="3160" t="s">
        <v>1859</v>
      </c>
      <c r="D3" s="3160" t="s">
        <v>2694</v>
      </c>
      <c r="E3" s="3158">
        <f ca="1">SUMIF(E7:E14,"&lt;&gt;#ref!",E7:E14)</f>
        <v>0</v>
      </c>
      <c r="F3" s="3157"/>
      <c r="G3" s="3155"/>
      <c r="H3" s="3155"/>
      <c r="I3" s="3155"/>
      <c r="J3" s="3155"/>
      <c r="K3" s="3155"/>
      <c r="L3" s="3155"/>
      <c r="M3" s="3155"/>
      <c r="N3" s="3155"/>
    </row>
    <row r="4" spans="1:14" ht="14.25">
      <c r="A4" s="3160" t="s">
        <v>2700</v>
      </c>
      <c r="B4" s="3165" t="e">
        <f ca="1">ROUND(B2*10000/E4,0)</f>
        <v>#DIV/0!</v>
      </c>
      <c r="C4" s="3160" t="s">
        <v>1859</v>
      </c>
      <c r="D4" s="3160" t="s">
        <v>2701</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2698</v>
      </c>
      <c r="B6" s="3160" t="s">
        <v>2695</v>
      </c>
      <c r="C6" s="2717"/>
      <c r="D6" s="3157"/>
      <c r="E6" s="3160" t="s">
        <v>2696</v>
      </c>
      <c r="F6" s="3160" t="s">
        <v>2699</v>
      </c>
      <c r="G6" s="3155"/>
      <c r="H6" s="3155"/>
      <c r="I6" s="3155"/>
      <c r="J6" s="3155"/>
      <c r="K6" s="3155"/>
      <c r="L6" s="3155"/>
      <c r="M6" s="3155"/>
      <c r="N6" s="3155"/>
    </row>
    <row r="7" spans="1:14" ht="14.25">
      <c r="A7" s="3163"/>
      <c r="B7" s="3165" t="e">
        <f ca="1">SUMIF(INDIRECT("'"&amp;A7&amp;"'"&amp;"!A:A"),"总价",INDIRECT("'"&amp;A7&amp;"'"&amp;"!B:B"))</f>
        <v>#REF!</v>
      </c>
      <c r="C7" s="3160" t="s">
        <v>2693</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2693</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2693</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2693</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2693</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2693</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2693</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2693</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-1</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36" t="s">
        <v>2231</v>
      </c>
      <c r="C8" s="1688">
        <f ca="1">ROUND(F8*F10*F9*(1-F11)/10000,0)</f>
        <v>0</v>
      </c>
      <c r="D8" s="1685" t="s">
        <v>2302</v>
      </c>
      <c r="E8" s="61" t="s">
        <v>610</v>
      </c>
      <c r="F8" s="754">
        <f ca="1">INDIRECT("'数据-取费表'!u"&amp;$G$1)</f>
        <v>0</v>
      </c>
      <c r="G8" s="1476"/>
      <c r="H8" s="2292" t="s">
        <v>1615</v>
      </c>
      <c r="I8" s="4136" t="s">
        <v>2231</v>
      </c>
      <c r="J8" s="752">
        <f ca="1">ROUND(M8*M10*M9*(1-M11)/10000,0)</f>
        <v>0</v>
      </c>
      <c r="K8" s="338" t="s">
        <v>2302</v>
      </c>
      <c r="L8" s="753" t="s">
        <v>1529</v>
      </c>
      <c r="M8" s="754">
        <f ca="1">INDIRECT("'数据-取费表'!z"&amp;$G$1)</f>
        <v>0</v>
      </c>
    </row>
    <row r="9" spans="1:25" ht="18" customHeight="1">
      <c r="A9" s="2288"/>
      <c r="B9" s="4137"/>
      <c r="C9" s="1689"/>
      <c r="D9" s="1686"/>
      <c r="E9" s="61" t="s">
        <v>611</v>
      </c>
      <c r="F9" s="754">
        <f ca="1">IF(INDIRECT("'数据-取费表'!ah"&amp;$G$1)="",INDIRECT("'数据-取费表'!k"&amp;$G$1),INDIRECT("'数据-取费表'!ah"&amp;$G$1))</f>
        <v>0</v>
      </c>
      <c r="G9" s="1476"/>
      <c r="H9" s="2277"/>
      <c r="I9" s="4137"/>
      <c r="J9" s="757"/>
      <c r="K9" s="758"/>
      <c r="L9" s="753" t="s">
        <v>1530</v>
      </c>
      <c r="M9" s="754">
        <f ca="1">F9</f>
        <v>0</v>
      </c>
    </row>
    <row r="10" spans="1:25" ht="18" customHeight="1">
      <c r="A10" s="2281"/>
      <c r="B10" s="4138"/>
      <c r="C10" s="1689"/>
      <c r="D10" s="1686"/>
      <c r="E10" s="61" t="s">
        <v>612</v>
      </c>
      <c r="F10" s="754">
        <f ca="1">INDIRECT("'数据-取费表'!ai"&amp;$G$1)</f>
        <v>0</v>
      </c>
      <c r="G10" s="1476"/>
      <c r="H10" s="2277"/>
      <c r="I10" s="4138"/>
      <c r="J10" s="757"/>
      <c r="K10" s="758"/>
      <c r="L10" s="753" t="s">
        <v>1531</v>
      </c>
      <c r="M10" s="754">
        <f ca="1">INDIRECT("'数据-取费表'!ai"&amp;$G$1)</f>
        <v>0</v>
      </c>
    </row>
    <row r="11" spans="1:25" ht="18" customHeight="1">
      <c r="A11" s="755"/>
      <c r="B11" s="4139"/>
      <c r="C11" s="1689"/>
      <c r="D11" s="1686"/>
      <c r="E11" s="61" t="s">
        <v>613</v>
      </c>
      <c r="F11" s="763">
        <f ca="1">INDIRECT("'数据-取费表'!w"&amp;$G$1)</f>
        <v>0</v>
      </c>
      <c r="G11" s="1476"/>
      <c r="H11" s="2293"/>
      <c r="I11" s="4138"/>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2717</v>
      </c>
      <c r="E12" s="2286" t="s">
        <v>2232</v>
      </c>
      <c r="F12" s="2396"/>
      <c r="G12" s="1476"/>
      <c r="H12" s="2349" t="s">
        <v>1616</v>
      </c>
      <c r="I12" s="2354" t="s">
        <v>2227</v>
      </c>
      <c r="J12" s="752">
        <f ca="1">ROUND(IF(M12="押一",J8/12*M13,IF(M12="押二",J8/12*2*M13,IF(M12="押三",J8/12*3*M13,J13*M13))),0)</f>
        <v>0</v>
      </c>
      <c r="K12" s="2289" t="s">
        <v>2717</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0.02</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0.02</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单利计息。建造成本、管理费用、销售费用产生的利息。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(建造成本+管理费用)×利率×(建设周期÷2)</v>
      </c>
      <c r="E25" s="753" t="s">
        <v>651</v>
      </c>
      <c r="F25" s="613">
        <f>'数据-取费表'!B20</f>
        <v>1</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5.0000000000000001E-4</v>
      </c>
      <c r="D26" s="2357" t="str">
        <f>IF(F25&lt;=1,"销售费用×利率×(建设周期÷2)","销售费用×((1+利率)^(建设周期÷2)-1)")</f>
        <v>销售费用×利率×(建设周期÷2)</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6" t="s">
        <v>2770</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151"/>
      <c r="J36" s="1900"/>
      <c r="K36" s="1901"/>
      <c r="L36" s="1900"/>
      <c r="M36" s="1900"/>
    </row>
    <row r="37" spans="1:18" ht="18" customHeight="1">
      <c r="A37" s="783"/>
      <c r="B37" s="762"/>
      <c r="C37" s="69"/>
      <c r="D37" s="784"/>
      <c r="E37" s="753" t="s">
        <v>647</v>
      </c>
      <c r="F37" s="754">
        <f ca="1">INDIRECT("'数据-取费表'!r"&amp;$G$1)</f>
        <v>0</v>
      </c>
      <c r="G37" s="1883"/>
      <c r="H37" s="1886"/>
      <c r="I37" s="4151"/>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2708</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2711</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2721</v>
      </c>
      <c r="J54" s="2785">
        <f ca="1">IF(M48="住宅",MAX(J52,L49-'数据-取费表'!B20),MIN(J52,L49-'数据-取费表'!B20))</f>
        <v>-1</v>
      </c>
      <c r="K54" s="4152"/>
      <c r="L54" s="4153"/>
      <c r="O54" s="2193" t="s">
        <v>2164</v>
      </c>
      <c r="P54" s="2191" t="s">
        <v>2165</v>
      </c>
      <c r="Q54" s="2192">
        <f ca="1">J54</f>
        <v>-1</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2691</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W44"/>
  <sheetViews>
    <sheetView zoomScale="80" zoomScaleNormal="80" workbookViewId="0">
      <selection activeCell="P47" sqref="P47"/>
    </sheetView>
  </sheetViews>
  <sheetFormatPr defaultRowHeight="13.15" customHeight="1"/>
  <cols>
    <col min="1" max="1" width="9.5" style="3225" customWidth="1"/>
    <col min="2" max="2" width="8.875" style="3225"/>
    <col min="3" max="5" width="12.875" style="3225" customWidth="1"/>
    <col min="6" max="6" width="47.5" style="3225" customWidth="1"/>
    <col min="7" max="7" width="13" style="3382" customWidth="1"/>
    <col min="8" max="8" width="8.875" style="3219"/>
    <col min="9" max="9" width="8.875" style="3220"/>
    <col min="10" max="10" width="5.75" style="3383" customWidth="1"/>
    <col min="11" max="11" width="11.75" style="3383" customWidth="1"/>
    <col min="12" max="13" width="10.75" style="3383" customWidth="1"/>
    <col min="14" max="14" width="10" style="3383" customWidth="1"/>
    <col min="15" max="16" width="10.5" style="3383" bestFit="1" customWidth="1"/>
    <col min="17" max="17" width="10" style="3383" customWidth="1"/>
    <col min="18" max="18" width="10.125" style="3383" customWidth="1"/>
    <col min="19" max="19" width="10" style="3383" customWidth="1"/>
    <col min="20" max="20" width="26.125" style="3383" customWidth="1"/>
    <col min="21" max="21" width="8.875" style="3383"/>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3" t="s">
        <v>2810</v>
      </c>
      <c r="B1" s="3214"/>
      <c r="C1" s="3215"/>
      <c r="D1" s="3215"/>
      <c r="E1" s="3216"/>
      <c r="F1" s="3217"/>
      <c r="G1" s="3218"/>
      <c r="J1" s="3221" t="s">
        <v>2811</v>
      </c>
      <c r="K1" s="3222"/>
      <c r="L1" s="3222"/>
      <c r="M1" s="3222"/>
      <c r="N1" s="3222"/>
      <c r="O1" s="3222"/>
      <c r="P1" s="3222"/>
      <c r="Q1" s="3222"/>
      <c r="R1" s="3223"/>
      <c r="S1" s="3224"/>
      <c r="T1" s="3224"/>
      <c r="U1" s="3224"/>
    </row>
    <row r="2" spans="1:22" s="3234" customFormat="1" ht="13.15" customHeight="1">
      <c r="A2" s="3226" t="s">
        <v>2812</v>
      </c>
      <c r="B2" s="3227" t="e">
        <f>C40</f>
        <v>#DIV/0!</v>
      </c>
      <c r="C2" s="3215" t="s">
        <v>2813</v>
      </c>
      <c r="D2" s="3215"/>
      <c r="E2" s="3216"/>
      <c r="F2" s="3217"/>
      <c r="G2" s="3228"/>
      <c r="H2" s="3229"/>
      <c r="I2" s="3230"/>
      <c r="J2" s="4160" t="s">
        <v>2814</v>
      </c>
      <c r="K2" s="4161"/>
      <c r="L2" s="3231" t="s">
        <v>2815</v>
      </c>
      <c r="M2" s="3231" t="s">
        <v>2816</v>
      </c>
      <c r="N2" s="3231" t="s">
        <v>2817</v>
      </c>
      <c r="O2" s="3231" t="s">
        <v>2818</v>
      </c>
      <c r="P2" s="3231" t="s">
        <v>2819</v>
      </c>
      <c r="Q2" s="3232" t="s">
        <v>2820</v>
      </c>
      <c r="R2" s="3233" t="s">
        <v>2821</v>
      </c>
      <c r="S2" s="3224"/>
      <c r="T2" s="3224"/>
      <c r="U2" s="3224"/>
      <c r="V2" s="3230"/>
    </row>
    <row r="3" spans="1:22" s="3234" customFormat="1" ht="13.15" customHeight="1">
      <c r="A3" s="3235" t="s">
        <v>2822</v>
      </c>
      <c r="B3" s="3236" t="e">
        <f>ROUND(B2*10000/B4,0)</f>
        <v>#DIV/0!</v>
      </c>
      <c r="C3" s="3215" t="s">
        <v>2823</v>
      </c>
      <c r="D3" s="3215"/>
      <c r="E3" s="3216"/>
      <c r="F3" s="3217"/>
      <c r="G3" s="3228"/>
      <c r="H3" s="3229"/>
      <c r="I3" s="3230"/>
      <c r="J3" s="4162" t="s">
        <v>2824</v>
      </c>
      <c r="K3" s="4163"/>
      <c r="L3" s="3237"/>
      <c r="M3" s="3237"/>
      <c r="N3" s="3237"/>
      <c r="O3" s="3237"/>
      <c r="P3" s="3237"/>
      <c r="Q3" s="3238"/>
      <c r="R3" s="3239">
        <f>SUM(L3:Q3)</f>
        <v>0</v>
      </c>
      <c r="S3" s="3224"/>
      <c r="T3" s="3224"/>
      <c r="U3" s="3224"/>
      <c r="V3" s="3230"/>
    </row>
    <row r="4" spans="1:22" s="3234" customFormat="1" ht="13.15" customHeight="1">
      <c r="A4" s="3240" t="s">
        <v>2825</v>
      </c>
      <c r="B4" s="3241"/>
      <c r="C4" s="3215"/>
      <c r="D4" s="3215"/>
      <c r="E4" s="3216"/>
      <c r="F4" s="3217"/>
      <c r="G4" s="3228"/>
      <c r="H4" s="3229"/>
      <c r="I4" s="3230"/>
      <c r="J4" s="4162" t="s">
        <v>2826</v>
      </c>
      <c r="K4" s="4163"/>
      <c r="L4" s="3242"/>
      <c r="M4" s="3242"/>
      <c r="N4" s="3242"/>
      <c r="O4" s="3242"/>
      <c r="P4" s="3242"/>
      <c r="Q4" s="3243"/>
      <c r="R4" s="3244">
        <f>SUM(L4:Q4)</f>
        <v>0</v>
      </c>
      <c r="S4" s="3224"/>
      <c r="T4" s="3224"/>
      <c r="U4" s="3224"/>
      <c r="V4" s="3230"/>
    </row>
    <row r="5" spans="1:22" s="3234" customFormat="1" ht="13.15" customHeight="1" thickBot="1">
      <c r="A5" s="3245" t="s">
        <v>2827</v>
      </c>
      <c r="B5" s="3246"/>
      <c r="C5" s="3215"/>
      <c r="D5" s="3247"/>
      <c r="E5" s="3217"/>
      <c r="F5" s="3217"/>
      <c r="G5" s="3228"/>
      <c r="H5" s="3229"/>
      <c r="I5" s="3230"/>
      <c r="J5" s="3248" t="s">
        <v>2828</v>
      </c>
      <c r="K5" s="3249"/>
      <c r="L5" s="3249"/>
      <c r="M5" s="3250"/>
      <c r="N5" s="3250"/>
      <c r="O5" s="3250"/>
      <c r="P5" s="3250"/>
      <c r="Q5" s="3250"/>
      <c r="R5" s="3233">
        <f>SUM(R14,R19,R24,R25,R27,R28)</f>
        <v>0</v>
      </c>
      <c r="S5" s="3224"/>
      <c r="T5" s="3224" t="s">
        <v>2829</v>
      </c>
      <c r="U5" s="3224" t="e">
        <f>ROUND(R5*10000/365/R3,1)</f>
        <v>#DIV/0!</v>
      </c>
      <c r="V5" s="3230"/>
    </row>
    <row r="6" spans="1:22" s="3234" customFormat="1" ht="13.15" customHeight="1" thickBot="1">
      <c r="A6" s="4168" t="s">
        <v>2830</v>
      </c>
      <c r="B6" s="4169"/>
      <c r="C6" s="4170"/>
      <c r="D6" s="3251"/>
      <c r="E6" s="3252"/>
      <c r="F6" s="3253"/>
      <c r="G6" s="3254"/>
      <c r="H6" s="3229"/>
      <c r="I6" s="3230"/>
      <c r="J6" s="4154">
        <v>1</v>
      </c>
      <c r="K6" s="4155" t="s">
        <v>2831</v>
      </c>
      <c r="L6" s="3255" t="s">
        <v>2832</v>
      </c>
      <c r="M6" s="3256" t="s">
        <v>2833</v>
      </c>
      <c r="N6" s="3256" t="s">
        <v>2834</v>
      </c>
      <c r="O6" s="3256" t="s">
        <v>2835</v>
      </c>
      <c r="P6" s="3256" t="s">
        <v>2836</v>
      </c>
      <c r="Q6" s="3256" t="s">
        <v>2837</v>
      </c>
      <c r="R6" s="3239" t="s">
        <v>2838</v>
      </c>
      <c r="S6" s="3224"/>
      <c r="T6" s="3224" t="s">
        <v>2839</v>
      </c>
      <c r="U6" s="3224"/>
      <c r="V6" s="3230"/>
    </row>
    <row r="7" spans="1:22" s="3234" customFormat="1" ht="13.15" customHeight="1">
      <c r="A7" s="3257" t="s">
        <v>2840</v>
      </c>
      <c r="B7" s="3258"/>
      <c r="C7" s="3259"/>
      <c r="D7" s="3260">
        <f>SUM(D9,D10,D11,D17,0)</f>
        <v>0</v>
      </c>
      <c r="E7" s="3261" t="e">
        <f>E9+E10+E11+E17</f>
        <v>#DIV/0!</v>
      </c>
      <c r="F7" s="3262"/>
      <c r="G7" s="3263"/>
      <c r="H7" s="3229"/>
      <c r="I7" s="3230"/>
      <c r="J7" s="4154"/>
      <c r="K7" s="4156"/>
      <c r="L7" s="3264" t="s">
        <v>2841</v>
      </c>
      <c r="M7" s="3265"/>
      <c r="N7" s="3241"/>
      <c r="O7" s="3266"/>
      <c r="P7" s="3266"/>
      <c r="Q7" s="3267">
        <v>365</v>
      </c>
      <c r="R7" s="3268">
        <f>ROUND(M7*N7*O7*P7*Q7/10000,0)</f>
        <v>0</v>
      </c>
      <c r="S7" s="3224"/>
      <c r="T7" s="3224" t="s">
        <v>2842</v>
      </c>
      <c r="U7" s="3224"/>
      <c r="V7" s="3230"/>
    </row>
    <row r="8" spans="1:22" s="3234" customFormat="1" ht="13.15" customHeight="1">
      <c r="A8" s="3269" t="s">
        <v>2843</v>
      </c>
      <c r="B8" s="4171" t="s">
        <v>2844</v>
      </c>
      <c r="C8" s="4172"/>
      <c r="D8" s="3270" t="s">
        <v>2845</v>
      </c>
      <c r="E8" s="3271" t="s">
        <v>2846</v>
      </c>
      <c r="F8" s="3272" t="s">
        <v>2847</v>
      </c>
      <c r="G8" s="3273"/>
      <c r="H8" s="3229"/>
      <c r="I8" s="3230"/>
      <c r="J8" s="4154"/>
      <c r="K8" s="4156"/>
      <c r="L8" s="3264" t="s">
        <v>2848</v>
      </c>
      <c r="M8" s="3265"/>
      <c r="N8" s="3241"/>
      <c r="O8" s="3266"/>
      <c r="P8" s="3266"/>
      <c r="Q8" s="3267">
        <v>365</v>
      </c>
      <c r="R8" s="3268">
        <f t="shared" ref="R8:R13" si="0">ROUND(M8*N8*O8*P8*Q8/10000,0)</f>
        <v>0</v>
      </c>
      <c r="S8" s="3224"/>
      <c r="T8" s="3224" t="s">
        <v>2849</v>
      </c>
      <c r="U8" s="3224"/>
      <c r="V8" s="3230"/>
    </row>
    <row r="9" spans="1:22" s="3234" customFormat="1" ht="13.15" customHeight="1">
      <c r="A9" s="3269">
        <v>1</v>
      </c>
      <c r="B9" s="4171" t="s">
        <v>2850</v>
      </c>
      <c r="C9" s="4172"/>
      <c r="D9" s="3270">
        <f>ROUND(D6*E9,0)</f>
        <v>0</v>
      </c>
      <c r="E9" s="3274"/>
      <c r="F9" s="3275" t="s">
        <v>2851</v>
      </c>
      <c r="G9" s="3254"/>
      <c r="H9" s="3229"/>
      <c r="I9" s="3230"/>
      <c r="J9" s="4154"/>
      <c r="K9" s="4156"/>
      <c r="L9" s="3264" t="s">
        <v>2852</v>
      </c>
      <c r="M9" s="3265"/>
      <c r="N9" s="3241"/>
      <c r="O9" s="3266"/>
      <c r="P9" s="3266"/>
      <c r="Q9" s="3267">
        <v>365</v>
      </c>
      <c r="R9" s="3268">
        <f t="shared" si="0"/>
        <v>0</v>
      </c>
      <c r="S9" s="3224"/>
      <c r="T9" s="3224"/>
      <c r="U9" s="3224"/>
      <c r="V9" s="3230"/>
    </row>
    <row r="10" spans="1:22" s="3234" customFormat="1" ht="13.15" customHeight="1">
      <c r="A10" s="3269">
        <v>2</v>
      </c>
      <c r="B10" s="4171" t="s">
        <v>2853</v>
      </c>
      <c r="C10" s="4172"/>
      <c r="D10" s="3270">
        <f>ROUND(D6*E10,0)</f>
        <v>0</v>
      </c>
      <c r="E10" s="3274"/>
      <c r="F10" s="3275" t="s">
        <v>2854</v>
      </c>
      <c r="G10" s="3254"/>
      <c r="H10" s="3229"/>
      <c r="I10" s="3230"/>
      <c r="J10" s="4154"/>
      <c r="K10" s="4156"/>
      <c r="L10" s="3264" t="s">
        <v>2855</v>
      </c>
      <c r="M10" s="3265"/>
      <c r="N10" s="3241"/>
      <c r="O10" s="3266"/>
      <c r="P10" s="3266"/>
      <c r="Q10" s="3267">
        <v>365</v>
      </c>
      <c r="R10" s="3268">
        <f t="shared" si="0"/>
        <v>0</v>
      </c>
      <c r="S10" s="3224"/>
      <c r="T10" s="3224"/>
      <c r="U10" s="3224"/>
      <c r="V10" s="3230"/>
    </row>
    <row r="11" spans="1:22" s="3234" customFormat="1" ht="13.15" customHeight="1">
      <c r="A11" s="3269">
        <v>3</v>
      </c>
      <c r="B11" s="4171" t="s">
        <v>2856</v>
      </c>
      <c r="C11" s="4172"/>
      <c r="D11" s="3270">
        <f>D12+D14+D15+D16</f>
        <v>0</v>
      </c>
      <c r="E11" s="3276" t="e">
        <f>D11/D6</f>
        <v>#DIV/0!</v>
      </c>
      <c r="F11" s="3272"/>
      <c r="G11" s="3273"/>
      <c r="H11" s="3229"/>
      <c r="I11" s="3230"/>
      <c r="J11" s="4154"/>
      <c r="K11" s="4156"/>
      <c r="L11" s="3264" t="s">
        <v>2857</v>
      </c>
      <c r="M11" s="3265"/>
      <c r="N11" s="3241"/>
      <c r="O11" s="3266"/>
      <c r="P11" s="3266"/>
      <c r="Q11" s="3267">
        <v>365</v>
      </c>
      <c r="R11" s="3268">
        <f t="shared" si="0"/>
        <v>0</v>
      </c>
      <c r="S11" s="3224"/>
      <c r="T11" s="3224"/>
      <c r="U11" s="3224"/>
      <c r="V11" s="3230"/>
    </row>
    <row r="12" spans="1:22" s="3234" customFormat="1" ht="13.15" customHeight="1">
      <c r="A12" s="3277" t="s">
        <v>2858</v>
      </c>
      <c r="B12" s="4164" t="s">
        <v>2859</v>
      </c>
      <c r="C12" s="4165"/>
      <c r="D12" s="3278">
        <f>ROUND(D13*1.2%*(1-30%),0)</f>
        <v>0</v>
      </c>
      <c r="E12" s="3279">
        <v>1.2E-2</v>
      </c>
      <c r="F12" s="3272" t="s">
        <v>2860</v>
      </c>
      <c r="G12" s="3273"/>
      <c r="H12" s="3229"/>
      <c r="I12" s="3230"/>
      <c r="J12" s="4154"/>
      <c r="K12" s="4156"/>
      <c r="L12" s="3264" t="s">
        <v>2861</v>
      </c>
      <c r="M12" s="3265"/>
      <c r="N12" s="3241"/>
      <c r="O12" s="3266"/>
      <c r="P12" s="3266"/>
      <c r="Q12" s="3267">
        <v>365</v>
      </c>
      <c r="R12" s="3268">
        <f t="shared" si="0"/>
        <v>0</v>
      </c>
      <c r="S12" s="3224"/>
      <c r="T12" s="3224"/>
      <c r="U12" s="3224"/>
      <c r="V12" s="3230"/>
    </row>
    <row r="13" spans="1:22" s="3234" customFormat="1" ht="13.15" customHeight="1">
      <c r="A13" s="3277"/>
      <c r="B13" s="3280"/>
      <c r="C13" s="3281" t="s">
        <v>2862</v>
      </c>
      <c r="D13" s="3282"/>
      <c r="E13" s="3283"/>
      <c r="F13" s="3272"/>
      <c r="G13" s="3273"/>
      <c r="H13" s="3229"/>
      <c r="I13" s="3230"/>
      <c r="J13" s="4154"/>
      <c r="K13" s="4156"/>
      <c r="L13" s="3264" t="s">
        <v>2863</v>
      </c>
      <c r="M13" s="3265"/>
      <c r="N13" s="3241"/>
      <c r="O13" s="3266"/>
      <c r="P13" s="3266"/>
      <c r="Q13" s="3267">
        <v>365</v>
      </c>
      <c r="R13" s="3268">
        <f t="shared" si="0"/>
        <v>0</v>
      </c>
      <c r="S13" s="3224"/>
      <c r="T13" s="3224"/>
      <c r="U13" s="3224"/>
      <c r="V13" s="3230"/>
    </row>
    <row r="14" spans="1:22" s="3234" customFormat="1" ht="13.15" customHeight="1">
      <c r="A14" s="3277" t="s">
        <v>2864</v>
      </c>
      <c r="B14" s="4164" t="s">
        <v>2865</v>
      </c>
      <c r="C14" s="4165"/>
      <c r="D14" s="3278">
        <f>ROUND(E14*B5/10000,0)</f>
        <v>0</v>
      </c>
      <c r="E14" s="3267"/>
      <c r="F14" s="3272" t="s">
        <v>2866</v>
      </c>
      <c r="G14" s="3273"/>
      <c r="H14" s="3229"/>
      <c r="I14" s="3230"/>
      <c r="J14" s="4154"/>
      <c r="K14" s="4157"/>
      <c r="L14" s="3284" t="s">
        <v>2867</v>
      </c>
      <c r="M14" s="3285">
        <f>SUM(M7:M13)</f>
        <v>0</v>
      </c>
      <c r="N14" s="3285" t="e">
        <f>ROUND((N7*M7+N8*M8+N9*M9+N10*M10+N11*M11+N12*M12+N13*M13)/M14,0)</f>
        <v>#DIV/0!</v>
      </c>
      <c r="O14" s="3286"/>
      <c r="P14" s="3286"/>
      <c r="Q14" s="3287"/>
      <c r="R14" s="3233">
        <f>SUM(R7:R13)</f>
        <v>0</v>
      </c>
      <c r="S14" s="3224"/>
      <c r="T14" s="3224"/>
      <c r="U14" s="3224"/>
      <c r="V14" s="3230"/>
    </row>
    <row r="15" spans="1:22" s="3234" customFormat="1" ht="13.15" customHeight="1">
      <c r="A15" s="3277" t="s">
        <v>2868</v>
      </c>
      <c r="B15" s="4164" t="s">
        <v>2869</v>
      </c>
      <c r="C15" s="4165"/>
      <c r="D15" s="3278">
        <f>ROUND(D6*E15,0)</f>
        <v>0</v>
      </c>
      <c r="E15" s="3279">
        <v>5.5E-2</v>
      </c>
      <c r="F15" s="3272" t="s">
        <v>2870</v>
      </c>
      <c r="G15" s="3254"/>
      <c r="H15" s="3229"/>
      <c r="I15" s="3230"/>
      <c r="J15" s="4154">
        <v>2</v>
      </c>
      <c r="K15" s="4155" t="s">
        <v>2871</v>
      </c>
      <c r="L15" s="3264" t="s">
        <v>2872</v>
      </c>
      <c r="M15" s="3265" t="s">
        <v>2873</v>
      </c>
      <c r="N15" s="3265" t="s">
        <v>2874</v>
      </c>
      <c r="O15" s="3266" t="s">
        <v>2875</v>
      </c>
      <c r="P15" s="3266" t="s">
        <v>2837</v>
      </c>
      <c r="Q15" s="3241" t="s">
        <v>2876</v>
      </c>
      <c r="R15" s="3288" t="s">
        <v>2838</v>
      </c>
      <c r="S15" s="3224"/>
      <c r="T15" s="3224"/>
      <c r="U15" s="3224"/>
      <c r="V15" s="3230"/>
    </row>
    <row r="16" spans="1:22" s="3234" customFormat="1" ht="13.15" customHeight="1">
      <c r="A16" s="3277" t="s">
        <v>2877</v>
      </c>
      <c r="B16" s="4164" t="s">
        <v>2878</v>
      </c>
      <c r="C16" s="4165"/>
      <c r="D16" s="3289">
        <f>D6*E16</f>
        <v>0</v>
      </c>
      <c r="E16" s="3290"/>
      <c r="F16" s="3275" t="s">
        <v>2879</v>
      </c>
      <c r="G16" s="3254"/>
      <c r="H16" s="3229"/>
      <c r="I16" s="3230"/>
      <c r="J16" s="4154"/>
      <c r="K16" s="4156"/>
      <c r="L16" s="3264" t="s">
        <v>2880</v>
      </c>
      <c r="M16" s="3265"/>
      <c r="N16" s="3265"/>
      <c r="O16" s="3266"/>
      <c r="P16" s="3267">
        <v>365</v>
      </c>
      <c r="Q16" s="3241"/>
      <c r="R16" s="3288">
        <f>ROUND(M16*N16*O16*P16/10000,0)</f>
        <v>0</v>
      </c>
      <c r="S16" s="3224"/>
      <c r="T16" s="3224"/>
      <c r="U16" s="3224"/>
      <c r="V16" s="3230"/>
    </row>
    <row r="17" spans="1:22" s="3234" customFormat="1" ht="13.15" customHeight="1" thickBot="1">
      <c r="A17" s="3291">
        <v>4</v>
      </c>
      <c r="B17" s="4166" t="s">
        <v>2881</v>
      </c>
      <c r="C17" s="4167"/>
      <c r="D17" s="3292">
        <f>ROUND(D6*E17,0)</f>
        <v>0</v>
      </c>
      <c r="E17" s="3293"/>
      <c r="F17" s="3294" t="s">
        <v>2882</v>
      </c>
      <c r="G17" s="3254"/>
      <c r="H17" s="3229"/>
      <c r="I17" s="3230"/>
      <c r="J17" s="4154"/>
      <c r="K17" s="4156"/>
      <c r="L17" s="3264" t="s">
        <v>2883</v>
      </c>
      <c r="M17" s="3265"/>
      <c r="N17" s="3265"/>
      <c r="O17" s="3266"/>
      <c r="P17" s="3267">
        <v>365</v>
      </c>
      <c r="Q17" s="3241"/>
      <c r="R17" s="3288">
        <f>ROUND(M17*N17*O17*P17/10000,0)</f>
        <v>0</v>
      </c>
      <c r="S17" s="3224"/>
      <c r="T17" s="3224"/>
      <c r="U17" s="3224"/>
      <c r="V17" s="3230"/>
    </row>
    <row r="18" spans="1:22" s="3234" customFormat="1" ht="13.15" customHeight="1" thickBot="1">
      <c r="A18" s="3257" t="s">
        <v>2884</v>
      </c>
      <c r="B18" s="3258"/>
      <c r="C18" s="3258"/>
      <c r="D18" s="3295">
        <f>ROUND(D6*E18,0)</f>
        <v>0</v>
      </c>
      <c r="E18" s="3296"/>
      <c r="F18" s="3297" t="s">
        <v>2885</v>
      </c>
      <c r="G18" s="3254"/>
      <c r="H18" s="3229"/>
      <c r="I18" s="3230"/>
      <c r="J18" s="4154"/>
      <c r="K18" s="4156"/>
      <c r="L18" s="3264" t="s">
        <v>2886</v>
      </c>
      <c r="M18" s="3265"/>
      <c r="N18" s="3265"/>
      <c r="O18" s="3266"/>
      <c r="P18" s="3267">
        <v>365</v>
      </c>
      <c r="Q18" s="3241"/>
      <c r="R18" s="3288">
        <f>ROUND(M18*N18*O18*P18/10000,0)</f>
        <v>0</v>
      </c>
      <c r="S18" s="3224"/>
      <c r="T18" s="3224"/>
      <c r="U18" s="3224"/>
      <c r="V18" s="3230"/>
    </row>
    <row r="19" spans="1:22" s="3234" customFormat="1" ht="13.15" customHeight="1" thickBot="1">
      <c r="A19" s="3298" t="s">
        <v>2887</v>
      </c>
      <c r="B19" s="3252"/>
      <c r="C19" s="3252"/>
      <c r="D19" s="3252"/>
      <c r="E19" s="3252"/>
      <c r="F19" s="3253"/>
      <c r="G19" s="3273"/>
      <c r="H19" s="3229"/>
      <c r="I19" s="3230"/>
      <c r="J19" s="4154"/>
      <c r="K19" s="4157"/>
      <c r="L19" s="3284" t="s">
        <v>2867</v>
      </c>
      <c r="M19" s="3285"/>
      <c r="N19" s="3285">
        <f>SUM(N16:N18)</f>
        <v>0</v>
      </c>
      <c r="O19" s="3286"/>
      <c r="P19" s="3299" t="s">
        <v>2888</v>
      </c>
      <c r="Q19" s="3266"/>
      <c r="R19" s="3300">
        <f>ROUND(IF(P19="按比例",R14*Q19,SUM(R16:R18)),0)</f>
        <v>0</v>
      </c>
      <c r="S19" s="3224"/>
      <c r="T19" s="3224"/>
      <c r="U19" s="3224"/>
      <c r="V19" s="3230"/>
    </row>
    <row r="20" spans="1:22" s="3234" customFormat="1" ht="13.15" customHeight="1">
      <c r="A20" s="3257"/>
      <c r="B20" s="3258"/>
      <c r="C20" s="3258"/>
      <c r="D20" s="3258"/>
      <c r="E20" s="3258"/>
      <c r="F20" s="3301"/>
      <c r="G20" s="3273"/>
      <c r="H20" s="3229"/>
      <c r="I20" s="3230"/>
      <c r="J20" s="4154">
        <v>3</v>
      </c>
      <c r="K20" s="4155" t="s">
        <v>2889</v>
      </c>
      <c r="L20" s="3264" t="s">
        <v>2890</v>
      </c>
      <c r="M20" s="3265" t="s">
        <v>2891</v>
      </c>
      <c r="N20" s="3302" t="s">
        <v>2892</v>
      </c>
      <c r="O20" s="3266" t="s">
        <v>2893</v>
      </c>
      <c r="P20" s="3267" t="s">
        <v>2894</v>
      </c>
      <c r="Q20" s="3241" t="s">
        <v>2895</v>
      </c>
      <c r="R20" s="3288" t="s">
        <v>2896</v>
      </c>
      <c r="S20" s="3303"/>
      <c r="T20" s="3303"/>
      <c r="U20" s="3303"/>
      <c r="V20" s="3230"/>
    </row>
    <row r="21" spans="1:22" s="3234" customFormat="1" ht="13.15" customHeight="1">
      <c r="A21" s="3257"/>
      <c r="B21" s="3258"/>
      <c r="C21" s="3304" t="s">
        <v>2897</v>
      </c>
      <c r="D21" s="3305" t="s">
        <v>2898</v>
      </c>
      <c r="E21" s="3306" t="s">
        <v>2899</v>
      </c>
      <c r="F21" s="3301"/>
      <c r="G21" s="3273"/>
      <c r="H21" s="3229"/>
      <c r="I21" s="3230"/>
      <c r="J21" s="4154"/>
      <c r="K21" s="4156"/>
      <c r="L21" s="3264" t="s">
        <v>2900</v>
      </c>
      <c r="M21" s="3265"/>
      <c r="N21" s="3265"/>
      <c r="O21" s="3266"/>
      <c r="P21" s="3267">
        <v>365</v>
      </c>
      <c r="Q21" s="3241"/>
      <c r="R21" s="3307">
        <f>ROUND(M21*N21*O21*P21/10000,0)</f>
        <v>0</v>
      </c>
      <c r="S21" s="3303"/>
      <c r="T21" s="3303"/>
      <c r="U21" s="3303"/>
      <c r="V21" s="3230"/>
    </row>
    <row r="22" spans="1:22" s="3234" customFormat="1" ht="13.15" customHeight="1">
      <c r="A22" s="3257"/>
      <c r="B22" s="3258"/>
      <c r="C22" s="3308" t="s">
        <v>2901</v>
      </c>
      <c r="D22" s="3309" t="s">
        <v>2902</v>
      </c>
      <c r="E22" s="3310" t="s">
        <v>2903</v>
      </c>
      <c r="F22" s="3301"/>
      <c r="G22" s="3311"/>
      <c r="H22" s="3229"/>
      <c r="I22" s="3230"/>
      <c r="J22" s="4154"/>
      <c r="K22" s="4156"/>
      <c r="L22" s="3264" t="s">
        <v>2904</v>
      </c>
      <c r="M22" s="3265"/>
      <c r="N22" s="3265"/>
      <c r="O22" s="3266"/>
      <c r="P22" s="3267">
        <v>365</v>
      </c>
      <c r="Q22" s="3241"/>
      <c r="R22" s="3307">
        <f>ROUND(M22*N22*O22*P22/10000,0)</f>
        <v>0</v>
      </c>
      <c r="S22" s="3303"/>
      <c r="T22" s="3303"/>
      <c r="U22" s="3303"/>
      <c r="V22" s="3230"/>
    </row>
    <row r="23" spans="1:22" s="3234" customFormat="1" ht="13.15" customHeight="1">
      <c r="A23" s="3312">
        <v>1</v>
      </c>
      <c r="B23" s="3313" t="s">
        <v>2905</v>
      </c>
      <c r="C23" s="3314">
        <f>D6</f>
        <v>0</v>
      </c>
      <c r="D23" s="3315">
        <f>C23*(1+D24)</f>
        <v>0</v>
      </c>
      <c r="E23" s="3316">
        <f>D23*(1+E24)</f>
        <v>0</v>
      </c>
      <c r="F23" s="3317"/>
      <c r="G23" s="3318"/>
      <c r="H23" s="3229"/>
      <c r="I23" s="3230"/>
      <c r="J23" s="4154"/>
      <c r="K23" s="4156"/>
      <c r="L23" s="3264" t="s">
        <v>2906</v>
      </c>
      <c r="M23" s="3265"/>
      <c r="N23" s="3265"/>
      <c r="O23" s="3266"/>
      <c r="P23" s="3267">
        <v>365</v>
      </c>
      <c r="Q23" s="3241"/>
      <c r="R23" s="3307">
        <f>ROUND(M23*N23*O23*P23/10000,0)</f>
        <v>0</v>
      </c>
      <c r="S23" s="3224"/>
      <c r="T23" s="3224"/>
      <c r="U23" s="3224"/>
      <c r="V23" s="3230"/>
    </row>
    <row r="24" spans="1:22" s="3234" customFormat="1" ht="13.15" customHeight="1">
      <c r="A24" s="3319"/>
      <c r="B24" s="3320" t="s">
        <v>2907</v>
      </c>
      <c r="C24" s="3321"/>
      <c r="D24" s="3322"/>
      <c r="E24" s="3323"/>
      <c r="F24" s="3324"/>
      <c r="G24" s="3318"/>
      <c r="H24" s="3229"/>
      <c r="I24" s="3230"/>
      <c r="J24" s="4154"/>
      <c r="K24" s="4157"/>
      <c r="L24" s="3284" t="s">
        <v>2867</v>
      </c>
      <c r="M24" s="3285">
        <f>SUM(M21:M23)</f>
        <v>0</v>
      </c>
      <c r="N24" s="3285"/>
      <c r="O24" s="3286"/>
      <c r="P24" s="3299" t="s">
        <v>2888</v>
      </c>
      <c r="Q24" s="3266"/>
      <c r="R24" s="3300">
        <f>ROUND(IF(P24="按比例",R14*Q24,SUM(R21:R23)),0)</f>
        <v>0</v>
      </c>
      <c r="S24" s="3224"/>
      <c r="T24" s="3224"/>
      <c r="U24" s="3224"/>
      <c r="V24" s="3230"/>
    </row>
    <row r="25" spans="1:22" s="3331" customFormat="1" ht="13.15" customHeight="1">
      <c r="A25" s="3319"/>
      <c r="B25" s="3320"/>
      <c r="C25" s="3321"/>
      <c r="D25" s="3322"/>
      <c r="E25" s="3323"/>
      <c r="F25" s="3324"/>
      <c r="G25" s="3311"/>
      <c r="H25" s="3229"/>
      <c r="I25" s="3230"/>
      <c r="J25" s="3325">
        <v>4</v>
      </c>
      <c r="K25" s="3326" t="s">
        <v>2908</v>
      </c>
      <c r="L25" s="3327"/>
      <c r="M25" s="3327"/>
      <c r="N25" s="3327"/>
      <c r="O25" s="3327"/>
      <c r="P25" s="3328"/>
      <c r="Q25" s="3329"/>
      <c r="R25" s="3300">
        <f>ROUND(R14*Q25,0)</f>
        <v>0</v>
      </c>
      <c r="S25" s="3224"/>
      <c r="T25" s="3224"/>
      <c r="U25" s="3224"/>
      <c r="V25" s="3330"/>
    </row>
    <row r="26" spans="1:22" s="3331" customFormat="1" ht="13.15" customHeight="1">
      <c r="A26" s="3312">
        <v>2</v>
      </c>
      <c r="B26" s="3313" t="s">
        <v>2909</v>
      </c>
      <c r="C26" s="3314">
        <f>D7</f>
        <v>0</v>
      </c>
      <c r="D26" s="3315">
        <f>D23*D27</f>
        <v>0</v>
      </c>
      <c r="E26" s="3316">
        <f>E23*E27</f>
        <v>0</v>
      </c>
      <c r="F26" s="3317"/>
      <c r="G26" s="3318"/>
      <c r="H26" s="3229"/>
      <c r="I26" s="3230"/>
      <c r="J26" s="4158">
        <v>5</v>
      </c>
      <c r="K26" s="3332" t="s">
        <v>2910</v>
      </c>
      <c r="L26" s="3333"/>
      <c r="M26" s="3334"/>
      <c r="N26" s="3335" t="s">
        <v>2911</v>
      </c>
      <c r="O26" s="3335" t="s">
        <v>2912</v>
      </c>
      <c r="P26" s="3336" t="s">
        <v>2913</v>
      </c>
      <c r="Q26" s="3336" t="s">
        <v>2914</v>
      </c>
      <c r="R26" s="3239" t="s">
        <v>2838</v>
      </c>
      <c r="S26" s="3337"/>
      <c r="T26" s="3337"/>
      <c r="U26" s="3337"/>
      <c r="V26" s="3330"/>
    </row>
    <row r="27" spans="1:22" s="3234" customFormat="1" ht="13.15" customHeight="1">
      <c r="A27" s="3319"/>
      <c r="B27" s="3320" t="s">
        <v>2915</v>
      </c>
      <c r="C27" s="3338" t="e">
        <f>E7</f>
        <v>#DIV/0!</v>
      </c>
      <c r="D27" s="3322"/>
      <c r="E27" s="3323"/>
      <c r="F27" s="3324"/>
      <c r="G27" s="3318"/>
      <c r="H27" s="3339"/>
      <c r="I27" s="3330"/>
      <c r="J27" s="4159"/>
      <c r="K27" s="3340"/>
      <c r="L27" s="3341"/>
      <c r="M27" s="3342"/>
      <c r="N27" s="3343"/>
      <c r="O27" s="3343"/>
      <c r="P27" s="3343"/>
      <c r="Q27" s="3344"/>
      <c r="R27" s="3300">
        <f>ROUND(O27*N27*P27*(1-Q27)/10000,0)</f>
        <v>0</v>
      </c>
      <c r="S27" s="3224"/>
      <c r="T27" s="3224"/>
      <c r="U27" s="3224"/>
      <c r="V27" s="3230"/>
    </row>
    <row r="28" spans="1:22" s="3331" customFormat="1" ht="13.15" customHeight="1" thickBot="1">
      <c r="A28" s="3319"/>
      <c r="B28" s="3320"/>
      <c r="C28" s="3338"/>
      <c r="D28" s="3322"/>
      <c r="E28" s="3323" t="s">
        <v>2916</v>
      </c>
      <c r="F28" s="3324"/>
      <c r="G28" s="3311"/>
      <c r="H28" s="3339"/>
      <c r="I28" s="3330"/>
      <c r="J28" s="3345">
        <v>6</v>
      </c>
      <c r="K28" s="3346" t="s">
        <v>2917</v>
      </c>
      <c r="L28" s="3347" t="s">
        <v>2918</v>
      </c>
      <c r="M28" s="3348"/>
      <c r="N28" s="3347" t="s">
        <v>2919</v>
      </c>
      <c r="O28" s="3349"/>
      <c r="P28" s="3347" t="s">
        <v>2920</v>
      </c>
      <c r="Q28" s="3350">
        <v>1.4999999999999999E-2</v>
      </c>
      <c r="R28" s="3351"/>
      <c r="S28" s="3303"/>
      <c r="T28" s="3303"/>
      <c r="U28" s="3303"/>
      <c r="V28" s="3330"/>
    </row>
    <row r="29" spans="1:22" s="3331" customFormat="1" ht="13.15" customHeight="1">
      <c r="A29" s="3312">
        <v>3</v>
      </c>
      <c r="B29" s="3313" t="s">
        <v>2921</v>
      </c>
      <c r="C29" s="3314">
        <f>C23*C30</f>
        <v>0</v>
      </c>
      <c r="D29" s="3315">
        <f>D23*C30</f>
        <v>0</v>
      </c>
      <c r="E29" s="3316">
        <f>E23*C30</f>
        <v>0</v>
      </c>
      <c r="F29" s="3317"/>
      <c r="G29" s="3318"/>
      <c r="H29" s="3229"/>
      <c r="I29" s="3230"/>
      <c r="J29" s="3303"/>
      <c r="K29" s="3303"/>
      <c r="L29" s="3303"/>
      <c r="M29" s="3303"/>
      <c r="N29" s="3303"/>
      <c r="O29" s="3303"/>
      <c r="P29" s="3303"/>
      <c r="Q29" s="3303"/>
      <c r="R29" s="3303"/>
      <c r="S29" s="3303"/>
      <c r="T29" s="3303"/>
      <c r="U29" s="3303"/>
      <c r="V29" s="3330"/>
    </row>
    <row r="30" spans="1:22" s="3234" customFormat="1" ht="13.15" customHeight="1" thickBot="1">
      <c r="A30" s="3319"/>
      <c r="B30" s="3320" t="s">
        <v>2915</v>
      </c>
      <c r="C30" s="3338">
        <f>E18</f>
        <v>0</v>
      </c>
      <c r="D30" s="3352"/>
      <c r="E30" s="3283"/>
      <c r="F30" s="3324"/>
      <c r="G30" s="3318"/>
      <c r="H30" s="3339"/>
      <c r="I30" s="3330"/>
      <c r="J30" s="3303"/>
      <c r="K30" s="3303"/>
      <c r="L30" s="3303"/>
      <c r="M30" s="3303"/>
      <c r="N30" s="3303"/>
      <c r="O30" s="3303"/>
      <c r="P30" s="3303"/>
      <c r="Q30" s="3303"/>
      <c r="R30" s="3303"/>
      <c r="S30" s="3303"/>
      <c r="T30" s="3303"/>
      <c r="U30" s="3224"/>
      <c r="V30" s="3230"/>
    </row>
    <row r="31" spans="1:22" s="3331" customFormat="1" ht="13.15" customHeight="1">
      <c r="A31" s="3319"/>
      <c r="B31" s="3320"/>
      <c r="C31" s="3353"/>
      <c r="D31" s="3352"/>
      <c r="E31" s="3283"/>
      <c r="F31" s="3324"/>
      <c r="G31" s="3311"/>
      <c r="H31" s="3339"/>
      <c r="I31" s="3330"/>
      <c r="J31" s="3221" t="s">
        <v>2922</v>
      </c>
      <c r="K31" s="3222"/>
      <c r="L31" s="3222"/>
      <c r="M31" s="3222"/>
      <c r="N31" s="3222"/>
      <c r="O31" s="3222"/>
      <c r="P31" s="3222"/>
      <c r="Q31" s="3222"/>
      <c r="R31" s="3223"/>
      <c r="S31" s="3303"/>
      <c r="T31" s="3224"/>
      <c r="U31" s="3224"/>
      <c r="V31" s="3330"/>
    </row>
    <row r="32" spans="1:22" s="3331" customFormat="1" ht="13.15" customHeight="1">
      <c r="A32" s="3312">
        <v>4</v>
      </c>
      <c r="B32" s="3313" t="s">
        <v>2923</v>
      </c>
      <c r="C32" s="3314">
        <f>C23-C26-C29</f>
        <v>0</v>
      </c>
      <c r="D32" s="3315">
        <f>D23-D26-D29</f>
        <v>0</v>
      </c>
      <c r="E32" s="3316">
        <f>E23-E26-E29</f>
        <v>0</v>
      </c>
      <c r="F32" s="3317"/>
      <c r="G32" s="3311"/>
      <c r="H32" s="3229"/>
      <c r="I32" s="3230"/>
      <c r="J32" s="4160" t="s">
        <v>2814</v>
      </c>
      <c r="K32" s="4161"/>
      <c r="L32" s="3231" t="s">
        <v>2815</v>
      </c>
      <c r="M32" s="3231" t="s">
        <v>2816</v>
      </c>
      <c r="N32" s="3231" t="s">
        <v>2817</v>
      </c>
      <c r="O32" s="3231" t="s">
        <v>2818</v>
      </c>
      <c r="P32" s="3231" t="s">
        <v>2819</v>
      </c>
      <c r="Q32" s="3232" t="s">
        <v>2820</v>
      </c>
      <c r="R32" s="3354" t="s">
        <v>2821</v>
      </c>
      <c r="S32" s="3303"/>
      <c r="T32" s="3224"/>
      <c r="U32" s="3224"/>
      <c r="V32" s="3330"/>
    </row>
    <row r="33" spans="1:23" s="3234" customFormat="1" ht="13.15" customHeight="1">
      <c r="A33" s="3312"/>
      <c r="B33" s="3313"/>
      <c r="C33" s="3314"/>
      <c r="D33" s="3355"/>
      <c r="E33" s="3356"/>
      <c r="F33" s="3317"/>
      <c r="G33" s="3311"/>
      <c r="H33" s="3339"/>
      <c r="I33" s="3330"/>
      <c r="J33" s="4162" t="s">
        <v>2824</v>
      </c>
      <c r="K33" s="4163"/>
      <c r="L33" s="3237"/>
      <c r="M33" s="3237"/>
      <c r="N33" s="3237"/>
      <c r="O33" s="3237"/>
      <c r="P33" s="3237"/>
      <c r="Q33" s="3238"/>
      <c r="R33" s="3357">
        <f>SUM(L33:Q33)</f>
        <v>0</v>
      </c>
      <c r="S33" s="3303"/>
      <c r="T33" s="3224"/>
      <c r="U33" s="3224"/>
      <c r="V33" s="3230"/>
    </row>
    <row r="34" spans="1:23" s="3234" customFormat="1" ht="13.15" customHeight="1">
      <c r="A34" s="3312">
        <v>5</v>
      </c>
      <c r="B34" s="3313" t="s">
        <v>2924</v>
      </c>
      <c r="C34" s="3358"/>
      <c r="D34" s="3359"/>
      <c r="E34" s="3360"/>
      <c r="F34" s="3317"/>
      <c r="G34" s="3311"/>
      <c r="H34" s="3339"/>
      <c r="I34" s="3330"/>
      <c r="J34" s="4162" t="s">
        <v>2826</v>
      </c>
      <c r="K34" s="4163"/>
      <c r="L34" s="3242"/>
      <c r="M34" s="3242"/>
      <c r="N34" s="3242"/>
      <c r="O34" s="3242"/>
      <c r="P34" s="3242"/>
      <c r="Q34" s="3243"/>
      <c r="R34" s="3361">
        <f>SUM(L34:Q34)</f>
        <v>0</v>
      </c>
      <c r="S34" s="3303"/>
      <c r="T34" s="3224"/>
      <c r="U34" s="3224" t="e">
        <f>ROUND(R35*10000/365/R33,1)</f>
        <v>#DIV/0!</v>
      </c>
      <c r="V34" s="3230"/>
    </row>
    <row r="35" spans="1:23" s="3234" customFormat="1" ht="13.15" customHeight="1">
      <c r="A35" s="3312">
        <v>6</v>
      </c>
      <c r="B35" s="3313" t="s">
        <v>2925</v>
      </c>
      <c r="C35" s="3362"/>
      <c r="D35" s="3363"/>
      <c r="E35" s="3364"/>
      <c r="F35" s="3317"/>
      <c r="G35" s="3365"/>
      <c r="H35" s="3229"/>
      <c r="I35" s="3330"/>
      <c r="J35" s="3248" t="s">
        <v>2828</v>
      </c>
      <c r="K35" s="3249"/>
      <c r="L35" s="3249"/>
      <c r="M35" s="3250"/>
      <c r="N35" s="3250"/>
      <c r="O35" s="3250"/>
      <c r="P35" s="3250"/>
      <c r="Q35" s="3250"/>
      <c r="R35" s="3366">
        <f>R40+R41+R43</f>
        <v>0</v>
      </c>
      <c r="S35" s="3303"/>
      <c r="T35" s="3224" t="s">
        <v>2829</v>
      </c>
      <c r="U35" s="3224"/>
      <c r="V35" s="3230"/>
    </row>
    <row r="36" spans="1:23" s="3234" customFormat="1" ht="13.15" customHeight="1" thickBot="1">
      <c r="A36" s="3312">
        <v>7</v>
      </c>
      <c r="B36" s="3367" t="s">
        <v>2926</v>
      </c>
      <c r="C36" s="3368"/>
      <c r="D36" s="3369"/>
      <c r="E36" s="3370"/>
      <c r="F36" s="3371">
        <f>C36+D36+E36</f>
        <v>0</v>
      </c>
      <c r="G36" s="3311"/>
      <c r="H36" s="3229"/>
      <c r="I36" s="3230"/>
      <c r="J36" s="4154">
        <v>1</v>
      </c>
      <c r="K36" s="4155" t="s">
        <v>2927</v>
      </c>
      <c r="L36" s="3255"/>
      <c r="M36" s="3256"/>
      <c r="N36" s="3256"/>
      <c r="O36" s="3256"/>
      <c r="P36" s="3256"/>
      <c r="Q36" s="3256"/>
      <c r="R36" s="3239" t="s">
        <v>2838</v>
      </c>
      <c r="S36" s="3303"/>
      <c r="T36" s="3224" t="s">
        <v>2839</v>
      </c>
      <c r="U36" s="3224"/>
      <c r="V36" s="3230"/>
    </row>
    <row r="37" spans="1:23" s="3234" customFormat="1" ht="13.15" customHeight="1">
      <c r="A37" s="3312"/>
      <c r="B37" s="3313"/>
      <c r="C37" s="3313"/>
      <c r="D37" s="3313"/>
      <c r="E37" s="3313"/>
      <c r="F37" s="3317"/>
      <c r="G37" s="3311"/>
      <c r="H37" s="3229"/>
      <c r="I37" s="3230"/>
      <c r="J37" s="4154"/>
      <c r="K37" s="4156"/>
      <c r="L37" s="3264"/>
      <c r="M37" s="3265"/>
      <c r="N37" s="3241"/>
      <c r="O37" s="3266"/>
      <c r="P37" s="3266"/>
      <c r="Q37" s="3267"/>
      <c r="R37" s="3268"/>
      <c r="S37" s="3303"/>
      <c r="T37" s="3224" t="s">
        <v>2842</v>
      </c>
      <c r="U37" s="3224"/>
      <c r="V37" s="3230"/>
    </row>
    <row r="38" spans="1:23" s="3234" customFormat="1" ht="13.15" customHeight="1">
      <c r="A38" s="3312">
        <v>8</v>
      </c>
      <c r="B38" s="3313"/>
      <c r="C38" s="3270" t="e">
        <f>ROUND(C32*(1-((1+C35)/(1+C34))^C36)/(C34-C35),0)</f>
        <v>#DIV/0!</v>
      </c>
      <c r="D38" s="3270">
        <f>IF(D23=0,0,ROUND(D32*(1-((1+D35)/(1+D34))^D36)/(D34-D35),0))</f>
        <v>0</v>
      </c>
      <c r="E38" s="3270">
        <f>IF(E23=0,0,ROUND(E32*(1-((1+E35)/(1+E34))^E36)/(E34-E35),0))</f>
        <v>0</v>
      </c>
      <c r="F38" s="3317"/>
      <c r="G38" s="3311"/>
      <c r="H38" s="3229"/>
      <c r="I38" s="3230"/>
      <c r="J38" s="4154"/>
      <c r="K38" s="4156"/>
      <c r="L38" s="3264"/>
      <c r="M38" s="3265"/>
      <c r="N38" s="3241"/>
      <c r="O38" s="3266"/>
      <c r="P38" s="3266"/>
      <c r="Q38" s="3267"/>
      <c r="R38" s="3268"/>
      <c r="S38" s="3303"/>
      <c r="T38" s="3224" t="s">
        <v>2849</v>
      </c>
      <c r="U38" s="3224"/>
      <c r="V38" s="3230"/>
    </row>
    <row r="39" spans="1:23" s="3234" customFormat="1" ht="13.15" customHeight="1">
      <c r="A39" s="3312">
        <v>9</v>
      </c>
      <c r="B39" s="3313" t="s">
        <v>2928</v>
      </c>
      <c r="C39" s="3278" t="e">
        <f>C38</f>
        <v>#DIV/0!</v>
      </c>
      <c r="D39" s="3313">
        <f>D38/(1+D34)^C36</f>
        <v>0</v>
      </c>
      <c r="E39" s="3313">
        <f>E38/(1+E34)^(C36+D36)</f>
        <v>0</v>
      </c>
      <c r="F39" s="3317"/>
      <c r="G39" s="3372"/>
      <c r="H39" s="3229"/>
      <c r="I39" s="3230"/>
      <c r="J39" s="4154"/>
      <c r="K39" s="4156"/>
      <c r="L39" s="3264"/>
      <c r="M39" s="3265"/>
      <c r="N39" s="3241"/>
      <c r="O39" s="3266"/>
      <c r="P39" s="3266"/>
      <c r="Q39" s="3267"/>
      <c r="R39" s="3268"/>
      <c r="S39" s="3303"/>
      <c r="T39" s="3224"/>
      <c r="U39" s="3224"/>
      <c r="V39" s="3230"/>
    </row>
    <row r="40" spans="1:23" s="3234" customFormat="1" ht="13.15" customHeight="1">
      <c r="A40" s="3373">
        <v>10</v>
      </c>
      <c r="B40" s="3313" t="s">
        <v>2929</v>
      </c>
      <c r="C40" s="3374" t="e">
        <f>C39+D39+E39</f>
        <v>#DIV/0!</v>
      </c>
      <c r="D40" s="3375"/>
      <c r="E40" s="3375"/>
      <c r="F40" s="3376"/>
      <c r="G40" s="3311"/>
      <c r="H40" s="3229"/>
      <c r="I40" s="3230"/>
      <c r="J40" s="4154"/>
      <c r="K40" s="4157"/>
      <c r="L40" s="3284" t="s">
        <v>2867</v>
      </c>
      <c r="M40" s="3285"/>
      <c r="N40" s="3285"/>
      <c r="O40" s="3286"/>
      <c r="P40" s="3286"/>
      <c r="Q40" s="3287"/>
      <c r="R40" s="3233">
        <f>SUM(R37:R39)</f>
        <v>0</v>
      </c>
      <c r="S40" s="3303"/>
      <c r="T40" s="3224"/>
      <c r="U40" s="3224"/>
      <c r="V40" s="3230"/>
    </row>
    <row r="41" spans="1:23" s="3234" customFormat="1" ht="13.15" customHeight="1" thickBot="1">
      <c r="A41" s="3377">
        <v>11</v>
      </c>
      <c r="B41" s="3378" t="s">
        <v>2930</v>
      </c>
      <c r="C41" s="3378" t="e">
        <f>ROUND(C40*10000/B4,0)</f>
        <v>#DIV/0!</v>
      </c>
      <c r="D41" s="3379"/>
      <c r="E41" s="3379"/>
      <c r="F41" s="3380"/>
      <c r="G41" s="3381"/>
      <c r="H41" s="3229"/>
      <c r="I41" s="3230"/>
      <c r="J41" s="3325">
        <v>2</v>
      </c>
      <c r="K41" s="3326" t="s">
        <v>2908</v>
      </c>
      <c r="L41" s="3327"/>
      <c r="M41" s="3327"/>
      <c r="N41" s="3327"/>
      <c r="O41" s="3327"/>
      <c r="P41" s="3328"/>
      <c r="Q41" s="3329"/>
      <c r="R41" s="3300">
        <f>ROUND(R40*Q41,0)</f>
        <v>0</v>
      </c>
      <c r="S41" s="3303"/>
      <c r="T41" s="3224"/>
      <c r="U41" s="3337"/>
      <c r="V41" s="3230"/>
    </row>
    <row r="42" spans="1:23" s="3234" customFormat="1" ht="13.15" customHeight="1">
      <c r="G42" s="3381"/>
      <c r="H42" s="3229"/>
      <c r="I42" s="3230"/>
      <c r="J42" s="4158">
        <v>3</v>
      </c>
      <c r="K42" s="3332" t="s">
        <v>2910</v>
      </c>
      <c r="L42" s="3333"/>
      <c r="M42" s="3334"/>
      <c r="N42" s="3335" t="s">
        <v>2911</v>
      </c>
      <c r="O42" s="3335" t="s">
        <v>2912</v>
      </c>
      <c r="P42" s="3336" t="s">
        <v>2913</v>
      </c>
      <c r="Q42" s="3336" t="s">
        <v>2914</v>
      </c>
      <c r="R42" s="3239" t="s">
        <v>2838</v>
      </c>
      <c r="S42" s="3337"/>
      <c r="T42" s="3337"/>
      <c r="U42" s="3224"/>
      <c r="V42" s="3230"/>
    </row>
    <row r="43" spans="1:23" ht="13.15" customHeight="1">
      <c r="A43" s="3234"/>
      <c r="B43" s="3234"/>
      <c r="C43" s="3234"/>
      <c r="D43" s="3234"/>
      <c r="E43" s="3234"/>
      <c r="F43" s="3234"/>
      <c r="I43" s="3219"/>
      <c r="J43" s="4159"/>
      <c r="K43" s="3340"/>
      <c r="L43" s="3341"/>
      <c r="M43" s="3342"/>
      <c r="N43" s="3265"/>
      <c r="O43" s="3265"/>
      <c r="P43" s="3265"/>
      <c r="Q43" s="3329"/>
      <c r="R43" s="3300">
        <f>ROUND(O43*N43*P43*(1-Q43)/10000,0)</f>
        <v>0</v>
      </c>
      <c r="S43" s="3303"/>
      <c r="T43" s="3224"/>
      <c r="V43" s="3383"/>
      <c r="W43" s="3384"/>
    </row>
    <row r="44" spans="1:23" ht="13.15" customHeight="1" thickBot="1">
      <c r="J44" s="3345">
        <v>6</v>
      </c>
      <c r="K44" s="3346" t="s">
        <v>2917</v>
      </c>
      <c r="L44" s="3385" t="s">
        <v>2918</v>
      </c>
      <c r="M44" s="3348"/>
      <c r="N44" s="3385" t="s">
        <v>2919</v>
      </c>
      <c r="O44" s="3348"/>
      <c r="P44" s="3385" t="s">
        <v>2920</v>
      </c>
      <c r="Q44" s="3350">
        <v>1.4999999999999999E-2</v>
      </c>
      <c r="R44" s="33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4173" t="s">
        <v>2239</v>
      </c>
      <c r="B1" s="4174"/>
      <c r="C1" s="4175"/>
      <c r="D1" s="4176">
        <f>SUM(I10,I15,I20,I21,I23)</f>
        <v>0</v>
      </c>
      <c r="E1" s="4176"/>
      <c r="F1" s="4176"/>
      <c r="G1" s="4176"/>
      <c r="H1" s="4176"/>
      <c r="I1" s="4177"/>
    </row>
    <row r="2" spans="1:9">
      <c r="A2" s="4178" t="s">
        <v>2240</v>
      </c>
      <c r="B2" s="4179" t="s">
        <v>2241</v>
      </c>
      <c r="C2" s="4179"/>
      <c r="D2" s="2295" t="s">
        <v>2242</v>
      </c>
      <c r="E2" s="2295" t="s">
        <v>2243</v>
      </c>
      <c r="F2" s="2295" t="s">
        <v>2244</v>
      </c>
      <c r="G2" s="2295" t="s">
        <v>2245</v>
      </c>
      <c r="H2" s="2295" t="s">
        <v>2246</v>
      </c>
      <c r="I2" s="2296" t="s">
        <v>2247</v>
      </c>
    </row>
    <row r="3" spans="1:9">
      <c r="A3" s="4178"/>
      <c r="B3" s="4179" t="s">
        <v>2248</v>
      </c>
      <c r="C3" s="4179"/>
      <c r="D3" s="2297"/>
      <c r="E3" s="2295"/>
      <c r="F3" s="2298"/>
      <c r="G3" s="2298"/>
      <c r="H3" s="2299"/>
      <c r="I3" s="2300">
        <f>ROUND(D3*E3*F3*G3*H3/10000,0)</f>
        <v>0</v>
      </c>
    </row>
    <row r="4" spans="1:9">
      <c r="A4" s="4178"/>
      <c r="B4" s="4179" t="s">
        <v>2249</v>
      </c>
      <c r="C4" s="4179"/>
      <c r="D4" s="2297"/>
      <c r="E4" s="2295"/>
      <c r="F4" s="2298"/>
      <c r="G4" s="2298"/>
      <c r="H4" s="2299"/>
      <c r="I4" s="2300">
        <f t="shared" ref="I4:I9" si="0">ROUND(D4*E4*F4*G4*H4/10000,0)</f>
        <v>0</v>
      </c>
    </row>
    <row r="5" spans="1:9">
      <c r="A5" s="4178"/>
      <c r="B5" s="4179" t="s">
        <v>2250</v>
      </c>
      <c r="C5" s="4179"/>
      <c r="D5" s="2297"/>
      <c r="E5" s="2295"/>
      <c r="F5" s="2298"/>
      <c r="G5" s="2298"/>
      <c r="H5" s="2299"/>
      <c r="I5" s="2300">
        <f t="shared" si="0"/>
        <v>0</v>
      </c>
    </row>
    <row r="6" spans="1:9">
      <c r="A6" s="4178"/>
      <c r="B6" s="4179" t="s">
        <v>2251</v>
      </c>
      <c r="C6" s="4179"/>
      <c r="D6" s="2297"/>
      <c r="E6" s="2295"/>
      <c r="F6" s="2298"/>
      <c r="G6" s="2298"/>
      <c r="H6" s="2299"/>
      <c r="I6" s="2300">
        <f t="shared" si="0"/>
        <v>0</v>
      </c>
    </row>
    <row r="7" spans="1:9">
      <c r="A7" s="4178"/>
      <c r="B7" s="4179" t="s">
        <v>2252</v>
      </c>
      <c r="C7" s="4179"/>
      <c r="D7" s="2297"/>
      <c r="E7" s="2295"/>
      <c r="F7" s="2298"/>
      <c r="G7" s="2298"/>
      <c r="H7" s="2299"/>
      <c r="I7" s="2300">
        <f t="shared" si="0"/>
        <v>0</v>
      </c>
    </row>
    <row r="8" spans="1:9">
      <c r="A8" s="4178"/>
      <c r="B8" s="4179" t="s">
        <v>2253</v>
      </c>
      <c r="C8" s="4179"/>
      <c r="D8" s="2297"/>
      <c r="E8" s="2295"/>
      <c r="F8" s="2298"/>
      <c r="G8" s="2298"/>
      <c r="H8" s="2299"/>
      <c r="I8" s="2300">
        <f t="shared" si="0"/>
        <v>0</v>
      </c>
    </row>
    <row r="9" spans="1:9">
      <c r="A9" s="4178"/>
      <c r="B9" s="4179" t="s">
        <v>2254</v>
      </c>
      <c r="C9" s="4179"/>
      <c r="D9" s="2297"/>
      <c r="E9" s="2295"/>
      <c r="F9" s="2298"/>
      <c r="G9" s="2298"/>
      <c r="H9" s="2299"/>
      <c r="I9" s="2300">
        <f t="shared" si="0"/>
        <v>0</v>
      </c>
    </row>
    <row r="10" spans="1:9">
      <c r="A10" s="4178"/>
      <c r="B10" s="4180" t="s">
        <v>2255</v>
      </c>
      <c r="C10" s="4180"/>
      <c r="D10" s="2301">
        <v>527</v>
      </c>
      <c r="E10" s="2301" t="e">
        <f>ROUND(D1*10000/D10/H9,0)</f>
        <v>#DIV/0!</v>
      </c>
      <c r="F10" s="2302"/>
      <c r="G10" s="2302"/>
      <c r="H10" s="2303"/>
      <c r="I10" s="2304">
        <f>SUM(I3:I9)</f>
        <v>0</v>
      </c>
    </row>
    <row r="11" spans="1:9" ht="14.25">
      <c r="A11" s="4178" t="s">
        <v>2256</v>
      </c>
      <c r="B11" s="4179" t="s">
        <v>2257</v>
      </c>
      <c r="C11" s="4179"/>
      <c r="D11" s="2297" t="s">
        <v>2258</v>
      </c>
      <c r="E11" s="2297" t="s">
        <v>2259</v>
      </c>
      <c r="F11" s="2298" t="s">
        <v>2260</v>
      </c>
      <c r="G11" s="2298" t="s">
        <v>2261</v>
      </c>
      <c r="H11" s="2305" t="s">
        <v>2262</v>
      </c>
      <c r="I11" s="2296" t="s">
        <v>2263</v>
      </c>
    </row>
    <row r="12" spans="1:9">
      <c r="A12" s="4178"/>
      <c r="B12" s="4179" t="s">
        <v>2264</v>
      </c>
      <c r="C12" s="4179"/>
      <c r="D12" s="2297"/>
      <c r="E12" s="2297"/>
      <c r="F12" s="2298"/>
      <c r="G12" s="2299"/>
      <c r="H12" s="2306"/>
      <c r="I12" s="2296">
        <f>ROUND(D12*E12*F12*G12/10000,0)</f>
        <v>0</v>
      </c>
    </row>
    <row r="13" spans="1:9">
      <c r="A13" s="4178"/>
      <c r="B13" s="4179" t="s">
        <v>2265</v>
      </c>
      <c r="C13" s="4179"/>
      <c r="D13" s="2297"/>
      <c r="E13" s="2297"/>
      <c r="F13" s="2298"/>
      <c r="G13" s="2299"/>
      <c r="H13" s="2306"/>
      <c r="I13" s="2296">
        <f>ROUND(D13*E13*F13*G13/10000,0)</f>
        <v>0</v>
      </c>
    </row>
    <row r="14" spans="1:9">
      <c r="A14" s="4178"/>
      <c r="B14" s="4179" t="s">
        <v>2266</v>
      </c>
      <c r="C14" s="4179"/>
      <c r="D14" s="2297"/>
      <c r="E14" s="2297"/>
      <c r="F14" s="2298"/>
      <c r="G14" s="2299"/>
      <c r="H14" s="2306"/>
      <c r="I14" s="2296">
        <f>ROUND(D14*E14*F14*G14/10000,0)</f>
        <v>0</v>
      </c>
    </row>
    <row r="15" spans="1:9">
      <c r="A15" s="4178"/>
      <c r="B15" s="4180" t="s">
        <v>2255</v>
      </c>
      <c r="C15" s="4180"/>
      <c r="D15" s="2301"/>
      <c r="E15" s="2301">
        <f>SUM(E12:E14)</f>
        <v>0</v>
      </c>
      <c r="F15" s="2302"/>
      <c r="G15" s="2299"/>
      <c r="H15" s="2306"/>
      <c r="I15" s="2307">
        <f>SUM(I12:I14)</f>
        <v>0</v>
      </c>
    </row>
    <row r="16" spans="1:9" ht="24">
      <c r="A16" s="4178" t="s">
        <v>2267</v>
      </c>
      <c r="B16" s="4179" t="s">
        <v>2268</v>
      </c>
      <c r="C16" s="4179"/>
      <c r="D16" s="2297" t="s">
        <v>2269</v>
      </c>
      <c r="E16" s="2308" t="s">
        <v>2270</v>
      </c>
      <c r="F16" s="2298" t="s">
        <v>2271</v>
      </c>
      <c r="G16" s="2299" t="s">
        <v>2261</v>
      </c>
      <c r="H16" s="2305" t="s">
        <v>2262</v>
      </c>
      <c r="I16" s="2296" t="s">
        <v>2263</v>
      </c>
    </row>
    <row r="17" spans="1:9" ht="14.25">
      <c r="A17" s="4178"/>
      <c r="B17" s="4179" t="s">
        <v>2272</v>
      </c>
      <c r="C17" s="4179"/>
      <c r="D17" s="2297"/>
      <c r="E17" s="2297"/>
      <c r="F17" s="2298"/>
      <c r="G17" s="2299"/>
      <c r="H17" s="2309"/>
      <c r="I17" s="2310">
        <f>ROUND(D17*E17*F17*G17/10000,0)</f>
        <v>0</v>
      </c>
    </row>
    <row r="18" spans="1:9" ht="14.25">
      <c r="A18" s="4178"/>
      <c r="B18" s="4179" t="s">
        <v>2273</v>
      </c>
      <c r="C18" s="4179"/>
      <c r="D18" s="2297"/>
      <c r="E18" s="2297"/>
      <c r="F18" s="2298"/>
      <c r="G18" s="2299"/>
      <c r="H18" s="2309"/>
      <c r="I18" s="2310">
        <f>ROUND(D18*E18*F18*G18/10000,0)</f>
        <v>0</v>
      </c>
    </row>
    <row r="19" spans="1:9" ht="14.25">
      <c r="A19" s="4178"/>
      <c r="B19" s="4179" t="s">
        <v>2274</v>
      </c>
      <c r="C19" s="4179"/>
      <c r="D19" s="2297"/>
      <c r="E19" s="2297"/>
      <c r="F19" s="2298"/>
      <c r="G19" s="2299"/>
      <c r="H19" s="2309"/>
      <c r="I19" s="2310">
        <f>ROUND(D19*E19*F19*G19/10000,0)</f>
        <v>0</v>
      </c>
    </row>
    <row r="20" spans="1:9">
      <c r="A20" s="4178"/>
      <c r="B20" s="4180" t="s">
        <v>2255</v>
      </c>
      <c r="C20" s="4180"/>
      <c r="D20" s="2301">
        <f>SUM(D17:D19)</f>
        <v>0</v>
      </c>
      <c r="E20" s="2301"/>
      <c r="F20" s="2302"/>
      <c r="G20" s="2299"/>
      <c r="H20" s="2306"/>
      <c r="I20" s="2307">
        <f>SUM(I17:I19)</f>
        <v>0</v>
      </c>
    </row>
    <row r="21" spans="1:9">
      <c r="A21" s="4178" t="s">
        <v>2275</v>
      </c>
      <c r="B21" s="4182"/>
      <c r="C21" s="4182"/>
      <c r="D21" s="4182"/>
      <c r="E21" s="4182"/>
      <c r="F21" s="4182"/>
      <c r="G21" s="4182"/>
      <c r="H21" s="2311">
        <v>0.1</v>
      </c>
      <c r="I21" s="2304">
        <f>ROUND(I10*H21,0)</f>
        <v>0</v>
      </c>
    </row>
    <row r="22" spans="1:9" ht="14.25">
      <c r="A22" s="4183" t="s">
        <v>2276</v>
      </c>
      <c r="B22" s="4184"/>
      <c r="C22" s="4185"/>
      <c r="D22" s="2312" t="s">
        <v>2277</v>
      </c>
      <c r="E22" s="2312" t="s">
        <v>2278</v>
      </c>
      <c r="F22" s="2313" t="s">
        <v>2279</v>
      </c>
      <c r="G22" s="2313" t="s">
        <v>2280</v>
      </c>
      <c r="H22" s="2305" t="s">
        <v>2281</v>
      </c>
      <c r="I22" s="2296" t="s">
        <v>2282</v>
      </c>
    </row>
    <row r="23" spans="1:9" ht="14.25" thickBot="1">
      <c r="A23" s="4186"/>
      <c r="B23" s="4187"/>
      <c r="C23" s="4188"/>
      <c r="D23" s="2314"/>
      <c r="E23" s="2314"/>
      <c r="F23" s="2314"/>
      <c r="G23" s="2315"/>
      <c r="H23" s="2316"/>
      <c r="I23" s="2317">
        <f>ROUND(E23*D23*F23*(1-G23)/10000,0)</f>
        <v>0</v>
      </c>
    </row>
    <row r="26" spans="1:9">
      <c r="A26" s="2318" t="s">
        <v>2283</v>
      </c>
      <c r="B26" s="2318"/>
      <c r="C26" s="2318"/>
      <c r="D26" s="2318"/>
      <c r="E26" s="4189">
        <f>C27-C30-C31-C32</f>
        <v>0</v>
      </c>
      <c r="F26" s="4189"/>
      <c r="G26" s="4189"/>
      <c r="H26" s="2683" t="s">
        <v>2605</v>
      </c>
    </row>
    <row r="27" spans="1:9">
      <c r="A27" s="2319">
        <v>1</v>
      </c>
      <c r="B27" s="2320" t="s">
        <v>2284</v>
      </c>
      <c r="C27" s="2320"/>
      <c r="D27" s="2320"/>
      <c r="E27" s="4190"/>
      <c r="F27" s="4190"/>
      <c r="G27" s="4190"/>
    </row>
    <row r="28" spans="1:9">
      <c r="A28" s="2321" t="s">
        <v>2285</v>
      </c>
      <c r="B28" s="2320" t="s">
        <v>2286</v>
      </c>
      <c r="C28" s="2320"/>
      <c r="D28" s="2320"/>
      <c r="E28" s="4190"/>
      <c r="F28" s="4190"/>
      <c r="G28" s="4190"/>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181"/>
      <c r="F32" s="4181"/>
      <c r="G32" s="4181"/>
    </row>
    <row r="33" spans="1:7" hidden="1">
      <c r="A33" s="4191" t="s">
        <v>2294</v>
      </c>
      <c r="B33" s="4192"/>
      <c r="C33" s="4192"/>
      <c r="D33" s="4193"/>
      <c r="E33" s="4189"/>
      <c r="F33" s="4189"/>
      <c r="G33" s="4189"/>
    </row>
    <row r="34" spans="1:7" hidden="1">
      <c r="A34" s="2323">
        <v>1</v>
      </c>
      <c r="B34" s="2320" t="s">
        <v>2295</v>
      </c>
      <c r="C34" s="2320"/>
      <c r="D34" s="2320"/>
      <c r="E34" s="4190"/>
      <c r="F34" s="4190"/>
      <c r="G34" s="4190"/>
    </row>
    <row r="35" spans="1:7" hidden="1">
      <c r="A35" s="2323">
        <v>2</v>
      </c>
      <c r="B35" s="2320" t="s">
        <v>2296</v>
      </c>
      <c r="C35" s="2320"/>
      <c r="D35" s="2320"/>
      <c r="E35" s="4190"/>
      <c r="F35" s="4190"/>
      <c r="G35" s="4190"/>
    </row>
    <row r="36" spans="1:7" hidden="1">
      <c r="A36" s="2323">
        <v>3</v>
      </c>
      <c r="B36" s="2320" t="s">
        <v>2297</v>
      </c>
      <c r="C36" s="2320"/>
      <c r="D36" s="2320"/>
      <c r="E36" s="4190"/>
      <c r="F36" s="4190"/>
      <c r="G36" s="4190"/>
    </row>
    <row r="37" spans="1:7" hidden="1">
      <c r="A37" s="2323">
        <v>4</v>
      </c>
      <c r="B37" s="2320" t="s">
        <v>2298</v>
      </c>
      <c r="C37" s="2320"/>
      <c r="D37" s="2320"/>
      <c r="E37" s="4190"/>
      <c r="F37" s="4190"/>
      <c r="G37" s="4190"/>
    </row>
    <row r="38" spans="1:7" hidden="1">
      <c r="A38" s="4191" t="s">
        <v>2299</v>
      </c>
      <c r="B38" s="4192"/>
      <c r="C38" s="4192"/>
      <c r="D38" s="4193"/>
      <c r="E38" s="4189"/>
      <c r="F38" s="4189"/>
      <c r="G38" s="41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4"/>
      <c r="M1" s="3125"/>
      <c r="N1" s="3125"/>
      <c r="O1" s="3125"/>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063" t="s">
        <v>500</v>
      </c>
      <c r="D4" s="4064"/>
      <c r="E4" s="4197" t="s">
        <v>501</v>
      </c>
      <c r="F4" s="4198"/>
      <c r="G4" s="4063" t="s">
        <v>502</v>
      </c>
      <c r="H4" s="4064"/>
      <c r="I4" s="4063" t="s">
        <v>503</v>
      </c>
      <c r="J4" s="4064"/>
      <c r="K4" s="821" t="s">
        <v>504</v>
      </c>
      <c r="L4" s="1952"/>
      <c r="M4" s="1953"/>
      <c r="N4" s="1953"/>
      <c r="O4" s="1953"/>
      <c r="P4" s="4065" t="s">
        <v>505</v>
      </c>
      <c r="Q4" s="4066"/>
      <c r="R4" s="4071" t="s">
        <v>501</v>
      </c>
      <c r="S4" s="4072"/>
      <c r="T4" s="4071" t="s">
        <v>502</v>
      </c>
      <c r="U4" s="4072"/>
      <c r="V4" s="4058" t="s">
        <v>503</v>
      </c>
      <c r="W4" s="4058"/>
      <c r="X4" s="1451"/>
      <c r="Y4" s="4071" t="s">
        <v>505</v>
      </c>
      <c r="Z4" s="4072"/>
      <c r="AA4" s="4060" t="s">
        <v>501</v>
      </c>
      <c r="AB4" s="4060" t="s">
        <v>502</v>
      </c>
      <c r="AC4" s="4060" t="s">
        <v>503</v>
      </c>
    </row>
    <row r="5" spans="1:29" ht="15">
      <c r="A5" s="490"/>
      <c r="B5" s="491"/>
      <c r="C5" s="4079" t="s">
        <v>2678</v>
      </c>
      <c r="D5" s="4080"/>
      <c r="E5" s="4201" t="s">
        <v>2679</v>
      </c>
      <c r="F5" s="4202"/>
      <c r="G5" s="4079" t="s">
        <v>2680</v>
      </c>
      <c r="H5" s="4080"/>
      <c r="I5" s="4079" t="s">
        <v>2681</v>
      </c>
      <c r="J5" s="4080"/>
      <c r="K5" s="822"/>
      <c r="L5" s="1952"/>
      <c r="M5" s="1953"/>
      <c r="N5" s="1953"/>
      <c r="O5" s="1953"/>
      <c r="P5" s="4067"/>
      <c r="Q5" s="4068"/>
      <c r="R5" s="4073"/>
      <c r="S5" s="4074"/>
      <c r="T5" s="4073"/>
      <c r="U5" s="4074"/>
      <c r="V5" s="4058"/>
      <c r="W5" s="4058"/>
      <c r="X5" s="1451"/>
      <c r="Y5" s="4073"/>
      <c r="Z5" s="4074"/>
      <c r="AA5" s="4061"/>
      <c r="AB5" s="4061"/>
      <c r="AC5" s="4061"/>
    </row>
    <row r="6" spans="1:29" ht="15.75" thickBot="1">
      <c r="A6" s="492"/>
      <c r="B6" s="493"/>
      <c r="C6" s="4077" t="s">
        <v>2682</v>
      </c>
      <c r="D6" s="4078"/>
      <c r="E6" s="4199" t="s">
        <v>2682</v>
      </c>
      <c r="F6" s="4200"/>
      <c r="G6" s="4077" t="s">
        <v>2682</v>
      </c>
      <c r="H6" s="4078"/>
      <c r="I6" s="4077" t="s">
        <v>2682</v>
      </c>
      <c r="J6" s="4078"/>
      <c r="K6" s="822" t="s">
        <v>506</v>
      </c>
      <c r="L6" s="1952"/>
      <c r="M6" s="1953"/>
      <c r="N6" s="1953"/>
      <c r="O6" s="1953"/>
      <c r="P6" s="4069"/>
      <c r="Q6" s="4070"/>
      <c r="R6" s="4073"/>
      <c r="S6" s="4074"/>
      <c r="T6" s="4075"/>
      <c r="U6" s="4076"/>
      <c r="V6" s="4058"/>
      <c r="W6" s="4058"/>
      <c r="X6" s="1451"/>
      <c r="Y6" s="4075"/>
      <c r="Z6" s="4076"/>
      <c r="AA6" s="4062"/>
      <c r="AB6" s="4062"/>
      <c r="AC6" s="4062"/>
    </row>
    <row r="7" spans="1:29" s="1162" customFormat="1" ht="15.75" thickBot="1">
      <c r="A7" s="2558"/>
      <c r="B7" s="2565" t="s">
        <v>507</v>
      </c>
      <c r="C7" s="494">
        <f>'数据-取费表'!B2</f>
        <v>44867</v>
      </c>
      <c r="D7" s="495">
        <v>100</v>
      </c>
      <c r="E7" s="496"/>
      <c r="F7" s="497">
        <f>SUMIF(58:58,YEAR(E7)&amp;"-"&amp;MONTH(E7),59:59)</f>
        <v>0</v>
      </c>
      <c r="G7" s="498"/>
      <c r="H7" s="495">
        <f>SUMIF(58:58,YEAR(G7)&amp;"-"&amp;MONTH(G7),59:59)</f>
        <v>0</v>
      </c>
      <c r="I7" s="498"/>
      <c r="J7" s="495">
        <f>SUMIF(58:58,YEAR(I7)&amp;"-"&amp;MONTH(I7),59:59)</f>
        <v>0</v>
      </c>
      <c r="K7" s="823"/>
      <c r="L7" s="1954"/>
      <c r="M7" s="1955"/>
      <c r="N7" s="1955"/>
      <c r="O7" s="1955"/>
      <c r="P7" s="4087" t="s">
        <v>508</v>
      </c>
      <c r="Q7" s="4089"/>
      <c r="R7" s="1452" t="s">
        <v>13</v>
      </c>
      <c r="S7" s="1453">
        <f t="shared" ref="S7:S15" si="0">F7</f>
        <v>0</v>
      </c>
      <c r="T7" s="1452" t="s">
        <v>13</v>
      </c>
      <c r="U7" s="1453">
        <f t="shared" ref="U7:U15" si="1">H7</f>
        <v>0</v>
      </c>
      <c r="V7" s="1452" t="s">
        <v>13</v>
      </c>
      <c r="W7" s="1453">
        <f t="shared" ref="W7:W15" si="2">J7</f>
        <v>0</v>
      </c>
      <c r="X7" s="1454"/>
      <c r="Y7" s="4087" t="s">
        <v>508</v>
      </c>
      <c r="Z7" s="4088"/>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087" t="s">
        <v>511</v>
      </c>
      <c r="Q8" s="4088"/>
      <c r="R8" s="1452" t="s">
        <v>13</v>
      </c>
      <c r="S8" s="1453">
        <f t="shared" si="0"/>
        <v>0</v>
      </c>
      <c r="T8" s="1452" t="s">
        <v>13</v>
      </c>
      <c r="U8" s="1453">
        <f t="shared" si="1"/>
        <v>0</v>
      </c>
      <c r="V8" s="1452" t="s">
        <v>13</v>
      </c>
      <c r="W8" s="1453">
        <f t="shared" si="2"/>
        <v>0</v>
      </c>
      <c r="X8" s="1454"/>
      <c r="Y8" s="4087" t="s">
        <v>511</v>
      </c>
      <c r="Z8" s="4088"/>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057" t="s">
        <v>513</v>
      </c>
      <c r="Q9" s="1093" t="str">
        <f t="shared" ref="Q9:Q15" si="6">B9</f>
        <v>用途</v>
      </c>
      <c r="R9" s="1452" t="s">
        <v>8</v>
      </c>
      <c r="S9" s="1453">
        <f t="shared" si="0"/>
        <v>100</v>
      </c>
      <c r="T9" s="1452" t="s">
        <v>8</v>
      </c>
      <c r="U9" s="1453">
        <f t="shared" si="1"/>
        <v>100</v>
      </c>
      <c r="V9" s="1452" t="s">
        <v>8</v>
      </c>
      <c r="W9" s="1453">
        <f t="shared" si="2"/>
        <v>100</v>
      </c>
      <c r="X9" s="1454"/>
      <c r="Y9" s="3945"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057"/>
      <c r="Q10" s="1093" t="str">
        <f t="shared" si="6"/>
        <v>土地使用年限（年）</v>
      </c>
      <c r="R10" s="1452" t="s">
        <v>8</v>
      </c>
      <c r="S10" s="1453">
        <f t="shared" si="0"/>
        <v>100</v>
      </c>
      <c r="T10" s="1452" t="s">
        <v>8</v>
      </c>
      <c r="U10" s="1453">
        <f t="shared" si="1"/>
        <v>100</v>
      </c>
      <c r="V10" s="1452" t="s">
        <v>8</v>
      </c>
      <c r="W10" s="1453">
        <f t="shared" si="2"/>
        <v>100</v>
      </c>
      <c r="X10" s="1454"/>
      <c r="Y10" s="3945"/>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057"/>
      <c r="Q11" s="1093" t="str">
        <f t="shared" si="6"/>
        <v>容积率</v>
      </c>
      <c r="R11" s="1452" t="s">
        <v>11</v>
      </c>
      <c r="S11" s="1453" t="e">
        <f t="shared" si="0"/>
        <v>#N/A</v>
      </c>
      <c r="T11" s="1452" t="s">
        <v>11</v>
      </c>
      <c r="U11" s="1453" t="e">
        <f t="shared" si="1"/>
        <v>#N/A</v>
      </c>
      <c r="V11" s="1452" t="s">
        <v>11</v>
      </c>
      <c r="W11" s="1453" t="e">
        <f t="shared" si="2"/>
        <v>#N/A</v>
      </c>
      <c r="X11" s="1454"/>
      <c r="Y11" s="3945"/>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057"/>
      <c r="Q12" s="1093">
        <f t="shared" si="6"/>
        <v>111</v>
      </c>
      <c r="R12" s="1452" t="s">
        <v>11</v>
      </c>
      <c r="S12" s="1453">
        <f t="shared" si="0"/>
        <v>100</v>
      </c>
      <c r="T12" s="1452" t="s">
        <v>11</v>
      </c>
      <c r="U12" s="1453">
        <f t="shared" si="1"/>
        <v>100</v>
      </c>
      <c r="V12" s="1452" t="s">
        <v>11</v>
      </c>
      <c r="W12" s="1453">
        <f t="shared" si="2"/>
        <v>100</v>
      </c>
      <c r="X12" s="1454"/>
      <c r="Y12" s="3945"/>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057"/>
      <c r="Q13" s="1093">
        <f t="shared" si="6"/>
        <v>111</v>
      </c>
      <c r="R13" s="1452" t="s">
        <v>11</v>
      </c>
      <c r="S13" s="1453">
        <f t="shared" si="0"/>
        <v>100</v>
      </c>
      <c r="T13" s="1452" t="s">
        <v>11</v>
      </c>
      <c r="U13" s="1453">
        <f t="shared" si="1"/>
        <v>100</v>
      </c>
      <c r="V13" s="1452" t="s">
        <v>11</v>
      </c>
      <c r="W13" s="1453">
        <f t="shared" si="2"/>
        <v>100</v>
      </c>
      <c r="X13" s="1454"/>
      <c r="Y13" s="3945"/>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057"/>
      <c r="Q14" s="1093">
        <f t="shared" si="6"/>
        <v>111</v>
      </c>
      <c r="R14" s="1452" t="s">
        <v>11</v>
      </c>
      <c r="S14" s="1453">
        <f t="shared" si="0"/>
        <v>100</v>
      </c>
      <c r="T14" s="1452" t="s">
        <v>11</v>
      </c>
      <c r="U14" s="1453">
        <f t="shared" si="1"/>
        <v>100</v>
      </c>
      <c r="V14" s="1452" t="s">
        <v>11</v>
      </c>
      <c r="W14" s="1453">
        <f t="shared" si="2"/>
        <v>100</v>
      </c>
      <c r="X14" s="1454"/>
      <c r="Y14" s="3945"/>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090" t="s">
        <v>518</v>
      </c>
      <c r="Q15" s="1456" t="str">
        <f t="shared" si="6"/>
        <v>居住社区成熟度</v>
      </c>
      <c r="R15" s="1457" t="s">
        <v>11</v>
      </c>
      <c r="S15" s="1458">
        <f t="shared" si="0"/>
        <v>100</v>
      </c>
      <c r="T15" s="1457" t="s">
        <v>11</v>
      </c>
      <c r="U15" s="1458">
        <f t="shared" si="1"/>
        <v>100</v>
      </c>
      <c r="V15" s="1457" t="s">
        <v>11</v>
      </c>
      <c r="W15" s="1458">
        <f t="shared" si="2"/>
        <v>100</v>
      </c>
      <c r="X15" s="1451"/>
      <c r="Y15" s="4090"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091"/>
      <c r="Q16" s="1456"/>
      <c r="R16" s="1457"/>
      <c r="S16" s="1458"/>
      <c r="T16" s="1457"/>
      <c r="U16" s="1458"/>
      <c r="V16" s="1457"/>
      <c r="W16" s="1458"/>
      <c r="X16" s="1451"/>
      <c r="Y16" s="4091"/>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091"/>
      <c r="Q17" s="1456" t="str">
        <f>B17</f>
        <v>交通便捷度</v>
      </c>
      <c r="R17" s="1457" t="s">
        <v>11</v>
      </c>
      <c r="S17" s="1458">
        <f>F17</f>
        <v>100</v>
      </c>
      <c r="T17" s="1457" t="s">
        <v>11</v>
      </c>
      <c r="U17" s="1458">
        <f>H17</f>
        <v>100</v>
      </c>
      <c r="V17" s="1457" t="s">
        <v>11</v>
      </c>
      <c r="W17" s="1458">
        <f>J17</f>
        <v>100</v>
      </c>
      <c r="X17" s="1451"/>
      <c r="Y17" s="4091"/>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091"/>
      <c r="Q18" s="1456"/>
      <c r="R18" s="1457"/>
      <c r="S18" s="1458"/>
      <c r="T18" s="1457"/>
      <c r="U18" s="1458"/>
      <c r="V18" s="1457"/>
      <c r="W18" s="1458"/>
      <c r="X18" s="1451"/>
      <c r="Y18" s="4091"/>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091"/>
      <c r="Q19" s="1456" t="str">
        <f>B19</f>
        <v>公共配套设施</v>
      </c>
      <c r="R19" s="1457" t="s">
        <v>11</v>
      </c>
      <c r="S19" s="1458">
        <f>F19</f>
        <v>100</v>
      </c>
      <c r="T19" s="1457" t="s">
        <v>11</v>
      </c>
      <c r="U19" s="1458">
        <f>H19</f>
        <v>100</v>
      </c>
      <c r="V19" s="1457" t="s">
        <v>11</v>
      </c>
      <c r="W19" s="1458">
        <f>J19</f>
        <v>100</v>
      </c>
      <c r="X19" s="1451"/>
      <c r="Y19" s="4091"/>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091"/>
      <c r="Q20" s="1456"/>
      <c r="R20" s="1457"/>
      <c r="S20" s="1458"/>
      <c r="T20" s="1457"/>
      <c r="U20" s="1458"/>
      <c r="V20" s="1457"/>
      <c r="W20" s="1458"/>
      <c r="X20" s="1451"/>
      <c r="Y20" s="4091"/>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091"/>
      <c r="Q21" s="2363" t="str">
        <f>B21</f>
        <v>基础设施水平</v>
      </c>
      <c r="R21" s="1457" t="s">
        <v>11</v>
      </c>
      <c r="S21" s="1458">
        <f>F21</f>
        <v>100</v>
      </c>
      <c r="T21" s="1457" t="s">
        <v>11</v>
      </c>
      <c r="U21" s="1458">
        <f>H21</f>
        <v>100</v>
      </c>
      <c r="V21" s="1457" t="s">
        <v>11</v>
      </c>
      <c r="W21" s="1458">
        <f>J21</f>
        <v>100</v>
      </c>
      <c r="X21" s="2365"/>
      <c r="Y21" s="4091"/>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091"/>
      <c r="Q22" s="2363"/>
      <c r="R22" s="1457"/>
      <c r="S22" s="1458"/>
      <c r="T22" s="1457"/>
      <c r="U22" s="1458"/>
      <c r="V22" s="1457"/>
      <c r="W22" s="1458"/>
      <c r="X22" s="2365"/>
      <c r="Y22" s="4091"/>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091"/>
      <c r="Q23" s="1456" t="str">
        <f>B23</f>
        <v>自然及人文环境</v>
      </c>
      <c r="R23" s="1457" t="s">
        <v>11</v>
      </c>
      <c r="S23" s="1458">
        <f>F23</f>
        <v>100</v>
      </c>
      <c r="T23" s="1457" t="s">
        <v>11</v>
      </c>
      <c r="U23" s="1458">
        <f>H23</f>
        <v>100</v>
      </c>
      <c r="V23" s="1457" t="s">
        <v>11</v>
      </c>
      <c r="W23" s="1458">
        <f>J23</f>
        <v>100</v>
      </c>
      <c r="X23" s="1451"/>
      <c r="Y23" s="4091"/>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091"/>
      <c r="Q24" s="1456"/>
      <c r="R24" s="1457"/>
      <c r="S24" s="1458"/>
      <c r="T24" s="1457"/>
      <c r="U24" s="1458"/>
      <c r="V24" s="1457"/>
      <c r="W24" s="1458"/>
      <c r="X24" s="1451"/>
      <c r="Y24" s="4091"/>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091"/>
      <c r="Q25" s="1456" t="str">
        <f t="shared" ref="Q25:Q46" si="11">B25</f>
        <v>楼层-1</v>
      </c>
      <c r="R25" s="1457" t="s">
        <v>11</v>
      </c>
      <c r="S25" s="1458">
        <f>F25</f>
        <v>100</v>
      </c>
      <c r="T25" s="1457" t="s">
        <v>11</v>
      </c>
      <c r="U25" s="1458">
        <f>H25</f>
        <v>100</v>
      </c>
      <c r="V25" s="1457" t="s">
        <v>11</v>
      </c>
      <c r="W25" s="1458">
        <f>J25</f>
        <v>100</v>
      </c>
      <c r="X25" s="1451"/>
      <c r="Y25" s="4091"/>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091"/>
      <c r="Q26" s="1456" t="str">
        <f t="shared" si="11"/>
        <v>朝向</v>
      </c>
      <c r="R26" s="1457" t="s">
        <v>11</v>
      </c>
      <c r="S26" s="1458">
        <f>F26</f>
        <v>100</v>
      </c>
      <c r="T26" s="1457" t="s">
        <v>11</v>
      </c>
      <c r="U26" s="1458">
        <f>H26</f>
        <v>100</v>
      </c>
      <c r="V26" s="1457" t="s">
        <v>11</v>
      </c>
      <c r="W26" s="1458">
        <f>J26</f>
        <v>100</v>
      </c>
      <c r="X26" s="1451"/>
      <c r="Y26" s="4091"/>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091"/>
      <c r="Q27" s="1093" t="str">
        <f t="shared" si="11"/>
        <v>道路级别</v>
      </c>
      <c r="R27" s="1452" t="s">
        <v>11</v>
      </c>
      <c r="S27" s="1453">
        <f>F27</f>
        <v>100</v>
      </c>
      <c r="T27" s="1452" t="s">
        <v>11</v>
      </c>
      <c r="U27" s="1453">
        <f>H27</f>
        <v>100</v>
      </c>
      <c r="V27" s="1452" t="s">
        <v>11</v>
      </c>
      <c r="W27" s="1453">
        <f>J27</f>
        <v>100</v>
      </c>
      <c r="X27" s="1454"/>
      <c r="Y27" s="4091"/>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091"/>
      <c r="Q28" s="1456">
        <f t="shared" si="11"/>
        <v>111</v>
      </c>
      <c r="R28" s="1457" t="s">
        <v>11</v>
      </c>
      <c r="S28" s="1458">
        <f t="shared" ref="S28:S46" si="12">F28</f>
        <v>100</v>
      </c>
      <c r="T28" s="1457" t="s">
        <v>11</v>
      </c>
      <c r="U28" s="1458">
        <f t="shared" ref="U28:U46" si="13">H28</f>
        <v>100</v>
      </c>
      <c r="V28" s="1457" t="s">
        <v>11</v>
      </c>
      <c r="W28" s="1458">
        <f t="shared" ref="W28:W46" si="14">J28</f>
        <v>100</v>
      </c>
      <c r="X28" s="1451"/>
      <c r="Y28" s="4091"/>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091"/>
      <c r="Q29" s="1456">
        <f t="shared" si="11"/>
        <v>111</v>
      </c>
      <c r="R29" s="1457" t="s">
        <v>11</v>
      </c>
      <c r="S29" s="1458">
        <f t="shared" si="12"/>
        <v>100</v>
      </c>
      <c r="T29" s="1457" t="s">
        <v>11</v>
      </c>
      <c r="U29" s="1458">
        <f t="shared" si="13"/>
        <v>100</v>
      </c>
      <c r="V29" s="1457" t="s">
        <v>11</v>
      </c>
      <c r="W29" s="1458">
        <f t="shared" si="14"/>
        <v>100</v>
      </c>
      <c r="X29" s="1451"/>
      <c r="Y29" s="4091"/>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091"/>
      <c r="Q30" s="1456">
        <f t="shared" si="11"/>
        <v>111</v>
      </c>
      <c r="R30" s="1457" t="s">
        <v>11</v>
      </c>
      <c r="S30" s="1458">
        <f t="shared" si="12"/>
        <v>100</v>
      </c>
      <c r="T30" s="1457" t="s">
        <v>11</v>
      </c>
      <c r="U30" s="1458">
        <f t="shared" si="13"/>
        <v>100</v>
      </c>
      <c r="V30" s="1457" t="s">
        <v>11</v>
      </c>
      <c r="W30" s="1458">
        <f t="shared" si="14"/>
        <v>100</v>
      </c>
      <c r="X30" s="1451"/>
      <c r="Y30" s="4091"/>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091"/>
      <c r="Q31" s="1456">
        <f t="shared" si="11"/>
        <v>111</v>
      </c>
      <c r="R31" s="1457" t="s">
        <v>11</v>
      </c>
      <c r="S31" s="1458">
        <f t="shared" si="12"/>
        <v>100</v>
      </c>
      <c r="T31" s="1457" t="s">
        <v>11</v>
      </c>
      <c r="U31" s="1458">
        <f t="shared" si="13"/>
        <v>100</v>
      </c>
      <c r="V31" s="1457" t="s">
        <v>11</v>
      </c>
      <c r="W31" s="1458">
        <f t="shared" si="14"/>
        <v>100</v>
      </c>
      <c r="X31" s="1451"/>
      <c r="Y31" s="4091"/>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092" t="s">
        <v>528</v>
      </c>
      <c r="Q32" s="1456" t="str">
        <f t="shared" si="11"/>
        <v>建筑类型</v>
      </c>
      <c r="R32" s="1457" t="s">
        <v>11</v>
      </c>
      <c r="S32" s="1458">
        <f t="shared" si="12"/>
        <v>100</v>
      </c>
      <c r="T32" s="1457" t="s">
        <v>11</v>
      </c>
      <c r="U32" s="1458">
        <f t="shared" si="13"/>
        <v>100</v>
      </c>
      <c r="V32" s="1457" t="s">
        <v>11</v>
      </c>
      <c r="W32" s="1458">
        <f t="shared" si="14"/>
        <v>100</v>
      </c>
      <c r="X32" s="1451"/>
      <c r="Y32" s="4093"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093"/>
      <c r="Q33" s="1485" t="str">
        <f t="shared" si="11"/>
        <v>项目建筑规模</v>
      </c>
      <c r="R33" s="1461" t="s">
        <v>11</v>
      </c>
      <c r="S33" s="1462" t="e">
        <f t="shared" si="12"/>
        <v>#N/A</v>
      </c>
      <c r="T33" s="1461" t="s">
        <v>11</v>
      </c>
      <c r="U33" s="1462" t="e">
        <f t="shared" si="13"/>
        <v>#N/A</v>
      </c>
      <c r="V33" s="1461" t="s">
        <v>11</v>
      </c>
      <c r="W33" s="1462" t="e">
        <f t="shared" si="14"/>
        <v>#N/A</v>
      </c>
      <c r="X33" s="1463"/>
      <c r="Y33" s="4093"/>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093"/>
      <c r="Q34" s="1456" t="str">
        <f t="shared" si="11"/>
        <v>建筑结构</v>
      </c>
      <c r="R34" s="1457" t="s">
        <v>11</v>
      </c>
      <c r="S34" s="1458">
        <f t="shared" si="12"/>
        <v>100</v>
      </c>
      <c r="T34" s="1457" t="s">
        <v>11</v>
      </c>
      <c r="U34" s="1458">
        <f t="shared" si="13"/>
        <v>100</v>
      </c>
      <c r="V34" s="1457" t="s">
        <v>11</v>
      </c>
      <c r="W34" s="1458">
        <f t="shared" si="14"/>
        <v>100</v>
      </c>
      <c r="X34" s="1451"/>
      <c r="Y34" s="4093"/>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093"/>
      <c r="Q35" s="1456" t="str">
        <f t="shared" si="11"/>
        <v>建筑品质</v>
      </c>
      <c r="R35" s="1457" t="s">
        <v>11</v>
      </c>
      <c r="S35" s="1458">
        <f t="shared" si="12"/>
        <v>100</v>
      </c>
      <c r="T35" s="1457" t="s">
        <v>11</v>
      </c>
      <c r="U35" s="1458">
        <f t="shared" si="13"/>
        <v>100</v>
      </c>
      <c r="V35" s="1457" t="s">
        <v>11</v>
      </c>
      <c r="W35" s="1458">
        <f t="shared" si="14"/>
        <v>100</v>
      </c>
      <c r="X35" s="1451"/>
      <c r="Y35" s="4093"/>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093"/>
      <c r="Q36" s="1456" t="str">
        <f t="shared" si="11"/>
        <v>公共部分装修</v>
      </c>
      <c r="R36" s="1457" t="s">
        <v>11</v>
      </c>
      <c r="S36" s="1458">
        <f t="shared" si="12"/>
        <v>100</v>
      </c>
      <c r="T36" s="1457" t="s">
        <v>11</v>
      </c>
      <c r="U36" s="1458">
        <f t="shared" si="13"/>
        <v>100</v>
      </c>
      <c r="V36" s="1457" t="s">
        <v>11</v>
      </c>
      <c r="W36" s="1458">
        <f t="shared" si="14"/>
        <v>100</v>
      </c>
      <c r="X36" s="1451"/>
      <c r="Y36" s="4093"/>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093"/>
      <c r="Q37" s="1093" t="str">
        <f t="shared" si="11"/>
        <v>成新度</v>
      </c>
      <c r="R37" s="1452" t="s">
        <v>11</v>
      </c>
      <c r="S37" s="1453" t="e">
        <f t="shared" si="12"/>
        <v>#N/A</v>
      </c>
      <c r="T37" s="1452" t="s">
        <v>11</v>
      </c>
      <c r="U37" s="1453" t="e">
        <f t="shared" si="13"/>
        <v>#N/A</v>
      </c>
      <c r="V37" s="1452" t="s">
        <v>11</v>
      </c>
      <c r="W37" s="1453" t="e">
        <f t="shared" si="14"/>
        <v>#N/A</v>
      </c>
      <c r="X37" s="1454"/>
      <c r="Y37" s="4093"/>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093" t="s">
        <v>528</v>
      </c>
      <c r="Q38" s="1456" t="str">
        <f t="shared" si="11"/>
        <v>物业管理</v>
      </c>
      <c r="R38" s="1457" t="s">
        <v>11</v>
      </c>
      <c r="S38" s="1458">
        <f t="shared" si="12"/>
        <v>100</v>
      </c>
      <c r="T38" s="1457" t="s">
        <v>11</v>
      </c>
      <c r="U38" s="1458">
        <f t="shared" si="13"/>
        <v>100</v>
      </c>
      <c r="V38" s="1457" t="s">
        <v>11</v>
      </c>
      <c r="W38" s="1458">
        <f t="shared" si="14"/>
        <v>100</v>
      </c>
      <c r="X38" s="1451"/>
      <c r="Y38" s="4093"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093"/>
      <c r="Q39" s="1456" t="str">
        <f t="shared" si="11"/>
        <v>市政基础设施</v>
      </c>
      <c r="R39" s="1457" t="s">
        <v>11</v>
      </c>
      <c r="S39" s="1458">
        <f t="shared" si="12"/>
        <v>100</v>
      </c>
      <c r="T39" s="1457" t="s">
        <v>11</v>
      </c>
      <c r="U39" s="1458">
        <f t="shared" si="13"/>
        <v>100</v>
      </c>
      <c r="V39" s="1457" t="s">
        <v>11</v>
      </c>
      <c r="W39" s="1458">
        <f t="shared" si="14"/>
        <v>100</v>
      </c>
      <c r="X39" s="1451"/>
      <c r="Y39" s="4093"/>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093"/>
      <c r="Q40" s="1456" t="str">
        <f t="shared" si="11"/>
        <v>房型</v>
      </c>
      <c r="R40" s="1457" t="s">
        <v>11</v>
      </c>
      <c r="S40" s="1458">
        <f t="shared" si="12"/>
        <v>100</v>
      </c>
      <c r="T40" s="1457" t="s">
        <v>11</v>
      </c>
      <c r="U40" s="1458">
        <f t="shared" si="13"/>
        <v>100</v>
      </c>
      <c r="V40" s="1457" t="s">
        <v>11</v>
      </c>
      <c r="W40" s="1458">
        <f t="shared" si="14"/>
        <v>100</v>
      </c>
      <c r="X40" s="1451"/>
      <c r="Y40" s="4093"/>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093"/>
      <c r="Q41" s="1485" t="str">
        <f t="shared" si="11"/>
        <v>单套/主力户型建筑面积</v>
      </c>
      <c r="R41" s="1461" t="s">
        <v>11</v>
      </c>
      <c r="S41" s="1462">
        <f t="shared" si="12"/>
        <v>100</v>
      </c>
      <c r="T41" s="1461" t="s">
        <v>11</v>
      </c>
      <c r="U41" s="1462">
        <f t="shared" si="13"/>
        <v>100</v>
      </c>
      <c r="V41" s="1461" t="s">
        <v>11</v>
      </c>
      <c r="W41" s="1462">
        <f t="shared" si="14"/>
        <v>100</v>
      </c>
      <c r="X41" s="1463"/>
      <c r="Y41" s="4093"/>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093"/>
      <c r="Q42" s="1456" t="str">
        <f t="shared" si="11"/>
        <v>内部装修</v>
      </c>
      <c r="R42" s="1457" t="s">
        <v>11</v>
      </c>
      <c r="S42" s="1458">
        <f t="shared" si="12"/>
        <v>100</v>
      </c>
      <c r="T42" s="1457" t="s">
        <v>11</v>
      </c>
      <c r="U42" s="1458">
        <f t="shared" si="13"/>
        <v>100</v>
      </c>
      <c r="V42" s="1457" t="s">
        <v>11</v>
      </c>
      <c r="W42" s="1458">
        <f t="shared" si="14"/>
        <v>100</v>
      </c>
      <c r="X42" s="1451"/>
      <c r="Y42" s="4093"/>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093"/>
      <c r="Q43" s="1456" t="str">
        <f t="shared" si="11"/>
        <v>内部装修维护情况</v>
      </c>
      <c r="R43" s="1457" t="s">
        <v>11</v>
      </c>
      <c r="S43" s="1458">
        <f t="shared" si="12"/>
        <v>100</v>
      </c>
      <c r="T43" s="1457" t="s">
        <v>11</v>
      </c>
      <c r="U43" s="1458">
        <f t="shared" si="13"/>
        <v>100</v>
      </c>
      <c r="V43" s="1457" t="s">
        <v>11</v>
      </c>
      <c r="W43" s="1458">
        <f t="shared" si="14"/>
        <v>100</v>
      </c>
      <c r="X43" s="1451"/>
      <c r="Y43" s="4093"/>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093"/>
      <c r="Q44" s="1093">
        <f t="shared" si="11"/>
        <v>111</v>
      </c>
      <c r="R44" s="1452" t="s">
        <v>11</v>
      </c>
      <c r="S44" s="1453">
        <f t="shared" si="12"/>
        <v>100</v>
      </c>
      <c r="T44" s="1452" t="s">
        <v>11</v>
      </c>
      <c r="U44" s="1453">
        <f t="shared" si="13"/>
        <v>100</v>
      </c>
      <c r="V44" s="1452" t="s">
        <v>11</v>
      </c>
      <c r="W44" s="1453">
        <f t="shared" si="14"/>
        <v>100</v>
      </c>
      <c r="X44" s="1454"/>
      <c r="Y44" s="4093"/>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093"/>
      <c r="Q45" s="1456">
        <f t="shared" si="11"/>
        <v>111</v>
      </c>
      <c r="R45" s="1457" t="s">
        <v>11</v>
      </c>
      <c r="S45" s="1458">
        <f t="shared" si="12"/>
        <v>100</v>
      </c>
      <c r="T45" s="1457" t="s">
        <v>11</v>
      </c>
      <c r="U45" s="1458">
        <f t="shared" si="13"/>
        <v>100</v>
      </c>
      <c r="V45" s="1457" t="s">
        <v>11</v>
      </c>
      <c r="W45" s="1458">
        <f t="shared" si="14"/>
        <v>100</v>
      </c>
      <c r="X45" s="1451"/>
      <c r="Y45" s="4093"/>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196"/>
      <c r="Q46" s="1456">
        <f t="shared" si="11"/>
        <v>111</v>
      </c>
      <c r="R46" s="1457" t="s">
        <v>10</v>
      </c>
      <c r="S46" s="1458">
        <f t="shared" si="12"/>
        <v>100</v>
      </c>
      <c r="T46" s="1457" t="s">
        <v>10</v>
      </c>
      <c r="U46" s="1458">
        <f t="shared" si="13"/>
        <v>100</v>
      </c>
      <c r="V46" s="1457" t="s">
        <v>10</v>
      </c>
      <c r="W46" s="1458">
        <f t="shared" si="14"/>
        <v>100</v>
      </c>
      <c r="X46" s="1451"/>
      <c r="Y46" s="4196"/>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057" t="str">
        <f>A47</f>
        <v>成交单价（元/平方米）</v>
      </c>
      <c r="Q47" s="4057"/>
      <c r="R47" s="4195">
        <f>E47</f>
        <v>0</v>
      </c>
      <c r="S47" s="4195"/>
      <c r="T47" s="4195">
        <f>G47</f>
        <v>0</v>
      </c>
      <c r="U47" s="4195"/>
      <c r="V47" s="4195">
        <f>I47</f>
        <v>0</v>
      </c>
      <c r="W47" s="4195"/>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64"/>
      <c r="O48" s="1964"/>
      <c r="P48" s="4057" t="str">
        <f>A48</f>
        <v>比较价格（元/平方米）</v>
      </c>
      <c r="Q48" s="4057"/>
      <c r="R48" s="4195" t="e">
        <f>IF(F1="售价",ROUND(PRODUCT(R47,AA7:AA46),0),ROUND(PRODUCT(R47,AA7:AA46),1))</f>
        <v>#DIV/0!</v>
      </c>
      <c r="S48" s="4195"/>
      <c r="T48" s="4195" t="e">
        <f>IF(F1="售价",ROUND(PRODUCT(T47,AB7:AB46),0),ROUND(PRODUCT(T47,AB7:AB46),1))</f>
        <v>#DIV/0!</v>
      </c>
      <c r="U48" s="4195"/>
      <c r="V48" s="4195" t="e">
        <f>IF(F1="售价",ROUND(PRODUCT(V47,AC7:AC46),0),ROUND(PRODUCT(V47,AC7:AC46),1))</f>
        <v>#DIV/0!</v>
      </c>
      <c r="W48" s="4195"/>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87"/>
      <c r="L49" s="1963"/>
      <c r="M49" s="1964"/>
      <c r="N49" s="1964"/>
      <c r="O49" s="1964"/>
      <c r="P49" s="4094" t="str">
        <f>A49</f>
        <v>估价对象XX用房的比较价格（楼面单价，元/平方米）</v>
      </c>
      <c r="Q49" s="4095"/>
      <c r="R49" s="4194" t="e">
        <f>IF(F1="售价",ROUND(IF(D48="简单平均",AVERAGE(R48:V48),R48*F48+T48*H48+V48*J48),0),ROUND(IF(D48="简单平均",AVERAGE(R48:V48),R48*F48+T48*H48+V48*J48),1))</f>
        <v>#DIV/0!</v>
      </c>
      <c r="S49" s="4194"/>
      <c r="T49" s="4194"/>
      <c r="U49" s="4194"/>
      <c r="V49" s="4194"/>
      <c r="W49" s="4194"/>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063" t="s">
        <v>500</v>
      </c>
      <c r="D4" s="4064"/>
      <c r="E4" s="4197" t="s">
        <v>501</v>
      </c>
      <c r="F4" s="4198"/>
      <c r="G4" s="4063" t="s">
        <v>502</v>
      </c>
      <c r="H4" s="4064"/>
      <c r="I4" s="4063" t="s">
        <v>503</v>
      </c>
      <c r="J4" s="4064"/>
      <c r="K4" s="489" t="s">
        <v>504</v>
      </c>
      <c r="L4" s="1952"/>
      <c r="M4" s="1953"/>
      <c r="N4" s="1953"/>
      <c r="O4" s="1953"/>
      <c r="P4" s="4065" t="s">
        <v>505</v>
      </c>
      <c r="Q4" s="4066"/>
      <c r="R4" s="4071" t="s">
        <v>501</v>
      </c>
      <c r="S4" s="4072"/>
      <c r="T4" s="4071" t="s">
        <v>502</v>
      </c>
      <c r="U4" s="4072"/>
      <c r="V4" s="4058" t="s">
        <v>503</v>
      </c>
      <c r="W4" s="4058"/>
      <c r="X4" s="1451"/>
      <c r="Y4" s="4071" t="s">
        <v>505</v>
      </c>
      <c r="Z4" s="4072"/>
      <c r="AA4" s="4060" t="s">
        <v>501</v>
      </c>
      <c r="AB4" s="4058" t="s">
        <v>502</v>
      </c>
      <c r="AC4" s="4060" t="s">
        <v>503</v>
      </c>
    </row>
    <row r="5" spans="1:29" ht="15">
      <c r="A5" s="490"/>
      <c r="B5" s="491"/>
      <c r="C5" s="4079" t="s">
        <v>2678</v>
      </c>
      <c r="D5" s="4080"/>
      <c r="E5" s="4201" t="s">
        <v>2679</v>
      </c>
      <c r="F5" s="4202"/>
      <c r="G5" s="4079" t="s">
        <v>2680</v>
      </c>
      <c r="H5" s="4080"/>
      <c r="I5" s="4079" t="s">
        <v>2681</v>
      </c>
      <c r="J5" s="4080"/>
      <c r="K5" s="489"/>
      <c r="L5" s="1952"/>
      <c r="M5" s="1953"/>
      <c r="N5" s="1953"/>
      <c r="O5" s="1953"/>
      <c r="P5" s="4067"/>
      <c r="Q5" s="4068"/>
      <c r="R5" s="4073"/>
      <c r="S5" s="4074"/>
      <c r="T5" s="4073"/>
      <c r="U5" s="4074"/>
      <c r="V5" s="4058"/>
      <c r="W5" s="4058"/>
      <c r="X5" s="1451"/>
      <c r="Y5" s="4073"/>
      <c r="Z5" s="4074"/>
      <c r="AA5" s="4061"/>
      <c r="AB5" s="4058"/>
      <c r="AC5" s="4061"/>
    </row>
    <row r="6" spans="1:29" ht="15.75" thickBot="1">
      <c r="A6" s="492"/>
      <c r="B6" s="493"/>
      <c r="C6" s="4077" t="s">
        <v>2682</v>
      </c>
      <c r="D6" s="4078"/>
      <c r="E6" s="4199" t="s">
        <v>2682</v>
      </c>
      <c r="F6" s="4200"/>
      <c r="G6" s="4077" t="s">
        <v>2682</v>
      </c>
      <c r="H6" s="4078"/>
      <c r="I6" s="4077" t="s">
        <v>2682</v>
      </c>
      <c r="J6" s="4078"/>
      <c r="K6" s="489" t="s">
        <v>506</v>
      </c>
      <c r="L6" s="1952"/>
      <c r="M6" s="1953"/>
      <c r="N6" s="1953"/>
      <c r="O6" s="1953"/>
      <c r="P6" s="4069"/>
      <c r="Q6" s="4070"/>
      <c r="R6" s="4073"/>
      <c r="S6" s="4074"/>
      <c r="T6" s="4075"/>
      <c r="U6" s="4076"/>
      <c r="V6" s="4058"/>
      <c r="W6" s="4058"/>
      <c r="X6" s="1451"/>
      <c r="Y6" s="4075"/>
      <c r="Z6" s="4076"/>
      <c r="AA6" s="4062"/>
      <c r="AB6" s="4058"/>
      <c r="AC6" s="4062"/>
    </row>
    <row r="7" spans="1:29" s="1162" customFormat="1" ht="15.75" thickBot="1">
      <c r="A7" s="2558"/>
      <c r="B7" s="2565" t="s">
        <v>507</v>
      </c>
      <c r="C7" s="494">
        <f>'数据-取费表'!B2</f>
        <v>44867</v>
      </c>
      <c r="D7" s="495">
        <v>100</v>
      </c>
      <c r="E7" s="496"/>
      <c r="F7" s="497">
        <f>SUMIF(58:58,YEAR(E7)&amp;"-"&amp;MONTH(E7),59:59)</f>
        <v>0</v>
      </c>
      <c r="G7" s="496"/>
      <c r="H7" s="495">
        <f>SUMIF(58:58,YEAR(G7)&amp;"-"&amp;MONTH(G7),59:59)</f>
        <v>0</v>
      </c>
      <c r="I7" s="496"/>
      <c r="J7" s="495">
        <f>SUMIF(58:58,YEAR(I7)&amp;"-"&amp;MONTH(I7),59:59)</f>
        <v>0</v>
      </c>
      <c r="K7" s="499"/>
      <c r="L7" s="1954"/>
      <c r="M7" s="1955"/>
      <c r="N7" s="1955"/>
      <c r="O7" s="1955"/>
      <c r="P7" s="4087" t="s">
        <v>508</v>
      </c>
      <c r="Q7" s="4089"/>
      <c r="R7" s="1452" t="s">
        <v>8</v>
      </c>
      <c r="S7" s="1453">
        <f t="shared" ref="S7:S15" si="0">F7</f>
        <v>0</v>
      </c>
      <c r="T7" s="1452" t="s">
        <v>8</v>
      </c>
      <c r="U7" s="1453">
        <f t="shared" ref="U7:U15" si="1">H7</f>
        <v>0</v>
      </c>
      <c r="V7" s="1452" t="s">
        <v>8</v>
      </c>
      <c r="W7" s="1453">
        <f t="shared" ref="W7:W15" si="2">J7</f>
        <v>0</v>
      </c>
      <c r="X7" s="1454"/>
      <c r="Y7" s="4087" t="s">
        <v>508</v>
      </c>
      <c r="Z7" s="4088"/>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087" t="s">
        <v>511</v>
      </c>
      <c r="Q8" s="4088"/>
      <c r="R8" s="1452" t="s">
        <v>8</v>
      </c>
      <c r="S8" s="1453">
        <f t="shared" si="0"/>
        <v>0</v>
      </c>
      <c r="T8" s="1452" t="s">
        <v>8</v>
      </c>
      <c r="U8" s="1453">
        <f t="shared" si="1"/>
        <v>0</v>
      </c>
      <c r="V8" s="1452" t="s">
        <v>8</v>
      </c>
      <c r="W8" s="1453">
        <f t="shared" si="2"/>
        <v>0</v>
      </c>
      <c r="X8" s="1454"/>
      <c r="Y8" s="4087" t="s">
        <v>511</v>
      </c>
      <c r="Z8" s="4088"/>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057" t="s">
        <v>513</v>
      </c>
      <c r="Q9" s="1093" t="str">
        <f t="shared" ref="Q9:Q15" si="6">B9</f>
        <v>用途</v>
      </c>
      <c r="R9" s="1452" t="s">
        <v>8</v>
      </c>
      <c r="S9" s="1453">
        <f t="shared" si="0"/>
        <v>100</v>
      </c>
      <c r="T9" s="1452" t="s">
        <v>8</v>
      </c>
      <c r="U9" s="1453">
        <f t="shared" si="1"/>
        <v>100</v>
      </c>
      <c r="V9" s="1452" t="s">
        <v>8</v>
      </c>
      <c r="W9" s="1453">
        <f t="shared" si="2"/>
        <v>100</v>
      </c>
      <c r="X9" s="1454"/>
      <c r="Y9" s="3945"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057"/>
      <c r="Q10" s="1093" t="str">
        <f t="shared" si="6"/>
        <v>土地使用年限（年）</v>
      </c>
      <c r="R10" s="1452" t="s">
        <v>8</v>
      </c>
      <c r="S10" s="1453">
        <f t="shared" si="0"/>
        <v>100</v>
      </c>
      <c r="T10" s="1452" t="s">
        <v>8</v>
      </c>
      <c r="U10" s="1453">
        <f t="shared" si="1"/>
        <v>100</v>
      </c>
      <c r="V10" s="1452" t="s">
        <v>8</v>
      </c>
      <c r="W10" s="1453">
        <f t="shared" si="2"/>
        <v>100</v>
      </c>
      <c r="X10" s="1454"/>
      <c r="Y10" s="3945"/>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057"/>
      <c r="Q11" s="1093" t="str">
        <f t="shared" si="6"/>
        <v>容积率</v>
      </c>
      <c r="R11" s="1452" t="s">
        <v>8</v>
      </c>
      <c r="S11" s="1453" t="e">
        <f t="shared" si="0"/>
        <v>#N/A</v>
      </c>
      <c r="T11" s="1452" t="s">
        <v>8</v>
      </c>
      <c r="U11" s="1453" t="e">
        <f t="shared" si="1"/>
        <v>#N/A</v>
      </c>
      <c r="V11" s="1452" t="s">
        <v>8</v>
      </c>
      <c r="W11" s="1453" t="e">
        <f t="shared" si="2"/>
        <v>#N/A</v>
      </c>
      <c r="X11" s="1454"/>
      <c r="Y11" s="3945"/>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057"/>
      <c r="Q12" s="1093">
        <f t="shared" si="6"/>
        <v>111</v>
      </c>
      <c r="R12" s="1452" t="s">
        <v>8</v>
      </c>
      <c r="S12" s="1453">
        <f t="shared" si="0"/>
        <v>100</v>
      </c>
      <c r="T12" s="1452" t="s">
        <v>8</v>
      </c>
      <c r="U12" s="1453">
        <f t="shared" si="1"/>
        <v>100</v>
      </c>
      <c r="V12" s="1452" t="s">
        <v>8</v>
      </c>
      <c r="W12" s="1453">
        <f t="shared" si="2"/>
        <v>100</v>
      </c>
      <c r="X12" s="1454"/>
      <c r="Y12" s="3945"/>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057"/>
      <c r="Q13" s="1093">
        <f t="shared" si="6"/>
        <v>111</v>
      </c>
      <c r="R13" s="1452" t="s">
        <v>8</v>
      </c>
      <c r="S13" s="1453">
        <f t="shared" si="0"/>
        <v>100</v>
      </c>
      <c r="T13" s="1452" t="s">
        <v>8</v>
      </c>
      <c r="U13" s="1453">
        <f t="shared" si="1"/>
        <v>100</v>
      </c>
      <c r="V13" s="1452" t="s">
        <v>8</v>
      </c>
      <c r="W13" s="1453">
        <f t="shared" si="2"/>
        <v>100</v>
      </c>
      <c r="X13" s="1454"/>
      <c r="Y13" s="3945"/>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057"/>
      <c r="Q14" s="1093">
        <f t="shared" si="6"/>
        <v>111</v>
      </c>
      <c r="R14" s="1452" t="s">
        <v>8</v>
      </c>
      <c r="S14" s="1453">
        <f t="shared" si="0"/>
        <v>100</v>
      </c>
      <c r="T14" s="1452" t="s">
        <v>8</v>
      </c>
      <c r="U14" s="1453">
        <f t="shared" si="1"/>
        <v>100</v>
      </c>
      <c r="V14" s="1452" t="s">
        <v>8</v>
      </c>
      <c r="W14" s="1453">
        <f t="shared" si="2"/>
        <v>100</v>
      </c>
      <c r="X14" s="1454"/>
      <c r="Y14" s="3945"/>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090" t="s">
        <v>518</v>
      </c>
      <c r="Q15" s="1456" t="str">
        <f t="shared" si="6"/>
        <v>商业繁华度</v>
      </c>
      <c r="R15" s="1457" t="s">
        <v>8</v>
      </c>
      <c r="S15" s="1458">
        <f t="shared" si="0"/>
        <v>100</v>
      </c>
      <c r="T15" s="1457" t="s">
        <v>8</v>
      </c>
      <c r="U15" s="1458">
        <f t="shared" si="1"/>
        <v>100</v>
      </c>
      <c r="V15" s="1457" t="s">
        <v>8</v>
      </c>
      <c r="W15" s="1458">
        <f t="shared" si="2"/>
        <v>100</v>
      </c>
      <c r="X15" s="1451"/>
      <c r="Y15" s="4090"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91"/>
      <c r="Q16" s="1456"/>
      <c r="R16" s="1457"/>
      <c r="S16" s="1458"/>
      <c r="T16" s="1457"/>
      <c r="U16" s="1458"/>
      <c r="V16" s="1457"/>
      <c r="W16" s="1458"/>
      <c r="X16" s="1451"/>
      <c r="Y16" s="4091"/>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091"/>
      <c r="Q17" s="1456" t="str">
        <f>B17</f>
        <v>交通便捷度</v>
      </c>
      <c r="R17" s="1457" t="s">
        <v>8</v>
      </c>
      <c r="S17" s="1458">
        <f>F17</f>
        <v>100</v>
      </c>
      <c r="T17" s="1457" t="s">
        <v>8</v>
      </c>
      <c r="U17" s="1458">
        <f>H17</f>
        <v>100</v>
      </c>
      <c r="V17" s="1457" t="s">
        <v>8</v>
      </c>
      <c r="W17" s="1458">
        <f>J17</f>
        <v>100</v>
      </c>
      <c r="X17" s="1451"/>
      <c r="Y17" s="4091"/>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91"/>
      <c r="Q18" s="1456"/>
      <c r="R18" s="1457"/>
      <c r="S18" s="1458"/>
      <c r="T18" s="1457"/>
      <c r="U18" s="1458"/>
      <c r="V18" s="1457"/>
      <c r="W18" s="1458"/>
      <c r="X18" s="1451"/>
      <c r="Y18" s="4091"/>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091"/>
      <c r="Q19" s="1456" t="str">
        <f>B19</f>
        <v>公共配套设施</v>
      </c>
      <c r="R19" s="1457" t="s">
        <v>8</v>
      </c>
      <c r="S19" s="1458">
        <f>F19</f>
        <v>100</v>
      </c>
      <c r="T19" s="1457" t="s">
        <v>8</v>
      </c>
      <c r="U19" s="1458">
        <f>H19</f>
        <v>100</v>
      </c>
      <c r="V19" s="1457" t="s">
        <v>8</v>
      </c>
      <c r="W19" s="1458">
        <f>J19</f>
        <v>100</v>
      </c>
      <c r="X19" s="1451"/>
      <c r="Y19" s="4091"/>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091"/>
      <c r="Q20" s="1456"/>
      <c r="R20" s="1457"/>
      <c r="S20" s="1458"/>
      <c r="T20" s="1457"/>
      <c r="U20" s="1458"/>
      <c r="V20" s="1457"/>
      <c r="W20" s="1458"/>
      <c r="X20" s="1451"/>
      <c r="Y20" s="4091"/>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091"/>
      <c r="Q21" s="2363" t="str">
        <f>B21</f>
        <v>基础设施水平</v>
      </c>
      <c r="R21" s="1457" t="s">
        <v>8</v>
      </c>
      <c r="S21" s="1458">
        <f>F21</f>
        <v>100</v>
      </c>
      <c r="T21" s="1457" t="s">
        <v>8</v>
      </c>
      <c r="U21" s="1458">
        <f>H21</f>
        <v>100</v>
      </c>
      <c r="V21" s="1457" t="s">
        <v>8</v>
      </c>
      <c r="W21" s="1458">
        <f>J21</f>
        <v>100</v>
      </c>
      <c r="X21" s="2365"/>
      <c r="Y21" s="4091"/>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091"/>
      <c r="Q22" s="2363"/>
      <c r="R22" s="1457"/>
      <c r="S22" s="1458"/>
      <c r="T22" s="1457"/>
      <c r="U22" s="1458"/>
      <c r="V22" s="1457"/>
      <c r="W22" s="1458"/>
      <c r="X22" s="2365"/>
      <c r="Y22" s="4091"/>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091"/>
      <c r="Q23" s="1456" t="str">
        <f>B23</f>
        <v>自然及人文环境</v>
      </c>
      <c r="R23" s="1457" t="s">
        <v>8</v>
      </c>
      <c r="S23" s="1458">
        <f>F23</f>
        <v>100</v>
      </c>
      <c r="T23" s="1457" t="s">
        <v>8</v>
      </c>
      <c r="U23" s="1458">
        <f>H23</f>
        <v>100</v>
      </c>
      <c r="V23" s="1457" t="s">
        <v>8</v>
      </c>
      <c r="W23" s="1458">
        <f>J23</f>
        <v>100</v>
      </c>
      <c r="X23" s="1451"/>
      <c r="Y23" s="4091"/>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091"/>
      <c r="Q24" s="1456"/>
      <c r="R24" s="1457"/>
      <c r="S24" s="1458"/>
      <c r="T24" s="1457"/>
      <c r="U24" s="1458"/>
      <c r="V24" s="1457"/>
      <c r="W24" s="1458"/>
      <c r="X24" s="1451"/>
      <c r="Y24" s="4091"/>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091"/>
      <c r="Q25" s="1456" t="str">
        <f t="shared" ref="Q25:Q46" si="11">B25</f>
        <v>临街状况</v>
      </c>
      <c r="R25" s="1457" t="s">
        <v>8</v>
      </c>
      <c r="S25" s="1458">
        <f>F25</f>
        <v>100</v>
      </c>
      <c r="T25" s="1457" t="s">
        <v>8</v>
      </c>
      <c r="U25" s="1458">
        <f>H25</f>
        <v>100</v>
      </c>
      <c r="V25" s="1457" t="s">
        <v>8</v>
      </c>
      <c r="W25" s="1458">
        <f>J25</f>
        <v>100</v>
      </c>
      <c r="X25" s="1451"/>
      <c r="Y25" s="4091"/>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091"/>
      <c r="Q26" s="1456" t="str">
        <f t="shared" si="11"/>
        <v>平面位置/可视性</v>
      </c>
      <c r="R26" s="1457" t="s">
        <v>8</v>
      </c>
      <c r="S26" s="1458">
        <f>F26</f>
        <v>100</v>
      </c>
      <c r="T26" s="1457" t="s">
        <v>8</v>
      </c>
      <c r="U26" s="1458">
        <f>H26</f>
        <v>100</v>
      </c>
      <c r="V26" s="1457" t="s">
        <v>8</v>
      </c>
      <c r="W26" s="1458">
        <f>J26</f>
        <v>100</v>
      </c>
      <c r="X26" s="1451"/>
      <c r="Y26" s="4091"/>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091"/>
      <c r="Q27" s="1093" t="str">
        <f t="shared" si="11"/>
        <v>人流量</v>
      </c>
      <c r="R27" s="1452" t="s">
        <v>8</v>
      </c>
      <c r="S27" s="1453">
        <f>F27</f>
        <v>100</v>
      </c>
      <c r="T27" s="1452" t="s">
        <v>8</v>
      </c>
      <c r="U27" s="1453">
        <f>H27</f>
        <v>100</v>
      </c>
      <c r="V27" s="1452" t="s">
        <v>8</v>
      </c>
      <c r="W27" s="1453">
        <f>J27</f>
        <v>100</v>
      </c>
      <c r="X27" s="1454"/>
      <c r="Y27" s="4091"/>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091"/>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091"/>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091"/>
      <c r="Q29" s="1456">
        <f t="shared" si="11"/>
        <v>111</v>
      </c>
      <c r="R29" s="1457" t="s">
        <v>8</v>
      </c>
      <c r="S29" s="1458">
        <f t="shared" si="12"/>
        <v>100</v>
      </c>
      <c r="T29" s="1457" t="s">
        <v>8</v>
      </c>
      <c r="U29" s="1458">
        <f t="shared" si="13"/>
        <v>100</v>
      </c>
      <c r="V29" s="1457" t="s">
        <v>8</v>
      </c>
      <c r="W29" s="1458">
        <f t="shared" si="14"/>
        <v>100</v>
      </c>
      <c r="X29" s="1451"/>
      <c r="Y29" s="4091"/>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091"/>
      <c r="Q30" s="1456">
        <f t="shared" si="11"/>
        <v>111</v>
      </c>
      <c r="R30" s="1457" t="s">
        <v>8</v>
      </c>
      <c r="S30" s="1458">
        <f t="shared" si="12"/>
        <v>100</v>
      </c>
      <c r="T30" s="1457" t="s">
        <v>8</v>
      </c>
      <c r="U30" s="1458">
        <f t="shared" si="13"/>
        <v>100</v>
      </c>
      <c r="V30" s="1457" t="s">
        <v>8</v>
      </c>
      <c r="W30" s="1458">
        <f t="shared" si="14"/>
        <v>100</v>
      </c>
      <c r="X30" s="1451"/>
      <c r="Y30" s="4091"/>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091"/>
      <c r="Q31" s="1456">
        <f t="shared" si="11"/>
        <v>111</v>
      </c>
      <c r="R31" s="1457" t="s">
        <v>8</v>
      </c>
      <c r="S31" s="1458">
        <f t="shared" si="12"/>
        <v>100</v>
      </c>
      <c r="T31" s="1457" t="s">
        <v>8</v>
      </c>
      <c r="U31" s="1458">
        <f t="shared" si="13"/>
        <v>100</v>
      </c>
      <c r="V31" s="1457" t="s">
        <v>8</v>
      </c>
      <c r="W31" s="1458">
        <f t="shared" si="14"/>
        <v>100</v>
      </c>
      <c r="X31" s="1451"/>
      <c r="Y31" s="4091"/>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092" t="s">
        <v>528</v>
      </c>
      <c r="Q32" s="1456" t="str">
        <f t="shared" si="11"/>
        <v>商业类型</v>
      </c>
      <c r="R32" s="1457" t="s">
        <v>8</v>
      </c>
      <c r="S32" s="1458">
        <f t="shared" si="12"/>
        <v>100</v>
      </c>
      <c r="T32" s="1457" t="s">
        <v>8</v>
      </c>
      <c r="U32" s="1458">
        <f t="shared" si="13"/>
        <v>100</v>
      </c>
      <c r="V32" s="1457" t="s">
        <v>8</v>
      </c>
      <c r="W32" s="1458">
        <f t="shared" si="14"/>
        <v>100</v>
      </c>
      <c r="X32" s="1451"/>
      <c r="Y32" s="4093"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093"/>
      <c r="Q33" s="1485" t="str">
        <f t="shared" si="11"/>
        <v>项目建筑规模</v>
      </c>
      <c r="R33" s="1461" t="s">
        <v>8</v>
      </c>
      <c r="S33" s="1462" t="e">
        <f t="shared" si="12"/>
        <v>#N/A</v>
      </c>
      <c r="T33" s="1461" t="s">
        <v>8</v>
      </c>
      <c r="U33" s="1462" t="e">
        <f t="shared" si="13"/>
        <v>#N/A</v>
      </c>
      <c r="V33" s="1461" t="s">
        <v>8</v>
      </c>
      <c r="W33" s="1462" t="e">
        <f t="shared" si="14"/>
        <v>#N/A</v>
      </c>
      <c r="X33" s="1463"/>
      <c r="Y33" s="4093"/>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093"/>
      <c r="Q34" s="1456" t="str">
        <f t="shared" si="11"/>
        <v>建筑结构</v>
      </c>
      <c r="R34" s="1457" t="s">
        <v>8</v>
      </c>
      <c r="S34" s="1458">
        <f t="shared" si="12"/>
        <v>100</v>
      </c>
      <c r="T34" s="1457" t="s">
        <v>8</v>
      </c>
      <c r="U34" s="1458">
        <f t="shared" si="13"/>
        <v>100</v>
      </c>
      <c r="V34" s="1457" t="s">
        <v>8</v>
      </c>
      <c r="W34" s="1458">
        <f t="shared" si="14"/>
        <v>100</v>
      </c>
      <c r="X34" s="1451"/>
      <c r="Y34" s="4093"/>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093"/>
      <c r="Q35" s="1456" t="str">
        <f t="shared" si="11"/>
        <v>公共部分装修</v>
      </c>
      <c r="R35" s="1457" t="s">
        <v>8</v>
      </c>
      <c r="S35" s="1458">
        <f t="shared" si="12"/>
        <v>100</v>
      </c>
      <c r="T35" s="1457" t="s">
        <v>8</v>
      </c>
      <c r="U35" s="1458">
        <f t="shared" si="13"/>
        <v>100</v>
      </c>
      <c r="V35" s="1457" t="s">
        <v>8</v>
      </c>
      <c r="W35" s="1458">
        <f t="shared" si="14"/>
        <v>100</v>
      </c>
      <c r="X35" s="1451"/>
      <c r="Y35" s="4093"/>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093"/>
      <c r="Q36" s="1456" t="str">
        <f t="shared" si="11"/>
        <v>成新度</v>
      </c>
      <c r="R36" s="1457" t="s">
        <v>8</v>
      </c>
      <c r="S36" s="1458" t="e">
        <f t="shared" si="12"/>
        <v>#N/A</v>
      </c>
      <c r="T36" s="1457" t="s">
        <v>8</v>
      </c>
      <c r="U36" s="1458" t="e">
        <f t="shared" si="13"/>
        <v>#N/A</v>
      </c>
      <c r="V36" s="1457" t="s">
        <v>8</v>
      </c>
      <c r="W36" s="1458" t="e">
        <f t="shared" si="14"/>
        <v>#N/A</v>
      </c>
      <c r="X36" s="1451"/>
      <c r="Y36" s="4093"/>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093"/>
      <c r="Q37" s="1093" t="str">
        <f t="shared" si="11"/>
        <v>市政基础设施</v>
      </c>
      <c r="R37" s="1452" t="s">
        <v>8</v>
      </c>
      <c r="S37" s="1453">
        <f t="shared" si="12"/>
        <v>100</v>
      </c>
      <c r="T37" s="1452" t="s">
        <v>8</v>
      </c>
      <c r="U37" s="1453">
        <f t="shared" si="13"/>
        <v>100</v>
      </c>
      <c r="V37" s="1452" t="s">
        <v>8</v>
      </c>
      <c r="W37" s="1453">
        <f t="shared" si="14"/>
        <v>100</v>
      </c>
      <c r="X37" s="1454"/>
      <c r="Y37" s="4093"/>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093" t="s">
        <v>739</v>
      </c>
      <c r="Q38" s="1456" t="str">
        <f t="shared" si="11"/>
        <v>业态</v>
      </c>
      <c r="R38" s="1457" t="s">
        <v>8</v>
      </c>
      <c r="S38" s="1458">
        <f t="shared" si="12"/>
        <v>100</v>
      </c>
      <c r="T38" s="1457" t="s">
        <v>8</v>
      </c>
      <c r="U38" s="1458">
        <f t="shared" si="13"/>
        <v>100</v>
      </c>
      <c r="V38" s="1457" t="s">
        <v>8</v>
      </c>
      <c r="W38" s="1458">
        <f t="shared" si="14"/>
        <v>100</v>
      </c>
      <c r="X38" s="1451"/>
      <c r="Y38" s="4093"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093"/>
      <c r="Q39" s="1456" t="str">
        <f t="shared" si="11"/>
        <v>层高</v>
      </c>
      <c r="R39" s="1457" t="s">
        <v>8</v>
      </c>
      <c r="S39" s="1458">
        <f t="shared" si="12"/>
        <v>100</v>
      </c>
      <c r="T39" s="1457" t="s">
        <v>8</v>
      </c>
      <c r="U39" s="1458">
        <f t="shared" si="13"/>
        <v>100</v>
      </c>
      <c r="V39" s="1457" t="s">
        <v>8</v>
      </c>
      <c r="W39" s="1458">
        <f t="shared" si="14"/>
        <v>100</v>
      </c>
      <c r="X39" s="1451"/>
      <c r="Y39" s="4093"/>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093"/>
      <c r="Q40" s="1456" t="str">
        <f t="shared" si="11"/>
        <v>单套建筑面积</v>
      </c>
      <c r="R40" s="1457" t="s">
        <v>8</v>
      </c>
      <c r="S40" s="1458">
        <f t="shared" si="12"/>
        <v>100</v>
      </c>
      <c r="T40" s="1457" t="s">
        <v>8</v>
      </c>
      <c r="U40" s="1458">
        <f t="shared" si="13"/>
        <v>100</v>
      </c>
      <c r="V40" s="1457" t="s">
        <v>8</v>
      </c>
      <c r="W40" s="1458">
        <f t="shared" si="14"/>
        <v>100</v>
      </c>
      <c r="X40" s="1451"/>
      <c r="Y40" s="4093"/>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093"/>
      <c r="Q41" s="1485" t="str">
        <f t="shared" si="11"/>
        <v>进深比</v>
      </c>
      <c r="R41" s="1461" t="s">
        <v>8</v>
      </c>
      <c r="S41" s="1462">
        <f t="shared" si="12"/>
        <v>100</v>
      </c>
      <c r="T41" s="1461" t="s">
        <v>8</v>
      </c>
      <c r="U41" s="1462">
        <f t="shared" si="13"/>
        <v>100</v>
      </c>
      <c r="V41" s="1461" t="s">
        <v>8</v>
      </c>
      <c r="W41" s="1462">
        <f t="shared" si="14"/>
        <v>100</v>
      </c>
      <c r="X41" s="1463"/>
      <c r="Y41" s="4093"/>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093"/>
      <c r="Q42" s="1456" t="str">
        <f t="shared" si="11"/>
        <v>内部装修</v>
      </c>
      <c r="R42" s="1457" t="s">
        <v>8</v>
      </c>
      <c r="S42" s="1458">
        <f t="shared" si="12"/>
        <v>100</v>
      </c>
      <c r="T42" s="1457" t="s">
        <v>8</v>
      </c>
      <c r="U42" s="1458">
        <f t="shared" si="13"/>
        <v>100</v>
      </c>
      <c r="V42" s="1457" t="s">
        <v>8</v>
      </c>
      <c r="W42" s="1458">
        <f t="shared" si="14"/>
        <v>100</v>
      </c>
      <c r="X42" s="1451"/>
      <c r="Y42" s="4093"/>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093"/>
      <c r="Q43" s="1456" t="str">
        <f t="shared" si="11"/>
        <v>内部装修维护情况</v>
      </c>
      <c r="R43" s="1457" t="s">
        <v>8</v>
      </c>
      <c r="S43" s="1458">
        <f t="shared" si="12"/>
        <v>100</v>
      </c>
      <c r="T43" s="1457" t="s">
        <v>8</v>
      </c>
      <c r="U43" s="1458">
        <f t="shared" si="13"/>
        <v>100</v>
      </c>
      <c r="V43" s="1457" t="s">
        <v>8</v>
      </c>
      <c r="W43" s="1458">
        <f t="shared" si="14"/>
        <v>100</v>
      </c>
      <c r="X43" s="1451"/>
      <c r="Y43" s="4093"/>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093"/>
      <c r="Q44" s="1093">
        <f t="shared" si="11"/>
        <v>111</v>
      </c>
      <c r="R44" s="1452" t="s">
        <v>8</v>
      </c>
      <c r="S44" s="1453">
        <f t="shared" si="12"/>
        <v>100</v>
      </c>
      <c r="T44" s="1452" t="s">
        <v>8</v>
      </c>
      <c r="U44" s="1453">
        <f t="shared" si="13"/>
        <v>100</v>
      </c>
      <c r="V44" s="1452" t="s">
        <v>8</v>
      </c>
      <c r="W44" s="1453">
        <f t="shared" si="14"/>
        <v>100</v>
      </c>
      <c r="X44" s="1454"/>
      <c r="Y44" s="4093"/>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093"/>
      <c r="Q45" s="1456">
        <f t="shared" si="11"/>
        <v>111</v>
      </c>
      <c r="R45" s="1457" t="s">
        <v>8</v>
      </c>
      <c r="S45" s="1458">
        <f t="shared" si="12"/>
        <v>100</v>
      </c>
      <c r="T45" s="1457" t="s">
        <v>8</v>
      </c>
      <c r="U45" s="1458">
        <f t="shared" si="13"/>
        <v>100</v>
      </c>
      <c r="V45" s="1457" t="s">
        <v>8</v>
      </c>
      <c r="W45" s="1458">
        <f t="shared" si="14"/>
        <v>100</v>
      </c>
      <c r="X45" s="1451"/>
      <c r="Y45" s="4093"/>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196"/>
      <c r="Q46" s="1456">
        <f t="shared" si="11"/>
        <v>111</v>
      </c>
      <c r="R46" s="1457" t="s">
        <v>8</v>
      </c>
      <c r="S46" s="1458">
        <f t="shared" si="12"/>
        <v>100</v>
      </c>
      <c r="T46" s="1457" t="s">
        <v>8</v>
      </c>
      <c r="U46" s="1458">
        <f t="shared" si="13"/>
        <v>100</v>
      </c>
      <c r="V46" s="1457" t="s">
        <v>8</v>
      </c>
      <c r="W46" s="1458">
        <f t="shared" si="14"/>
        <v>100</v>
      </c>
      <c r="X46" s="1451"/>
      <c r="Y46" s="4196"/>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057" t="str">
        <f>A47</f>
        <v>成交单价（元/平方米）</v>
      </c>
      <c r="Q47" s="4057"/>
      <c r="R47" s="4195">
        <f>E47</f>
        <v>0</v>
      </c>
      <c r="S47" s="4195"/>
      <c r="T47" s="4195">
        <f>G47</f>
        <v>0</v>
      </c>
      <c r="U47" s="4195"/>
      <c r="V47" s="4195">
        <f>I47</f>
        <v>0</v>
      </c>
      <c r="W47" s="4195"/>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53"/>
      <c r="O48" s="1964"/>
      <c r="P48" s="4057" t="str">
        <f>A48</f>
        <v>比较价格（元/平方米）</v>
      </c>
      <c r="Q48" s="4057"/>
      <c r="R48" s="4195" t="e">
        <f>IF(F1="售价",ROUND(PRODUCT(R47,AA7:AA46),0),ROUND(PRODUCT(R47,AA7:AA46),1))</f>
        <v>#DIV/0!</v>
      </c>
      <c r="S48" s="4195"/>
      <c r="T48" s="4195" t="e">
        <f>IF(F1="售价",ROUND(PRODUCT(T47,AB7:AB46),0),ROUND(PRODUCT(T47,AB7:AB46),1))</f>
        <v>#DIV/0!</v>
      </c>
      <c r="U48" s="4195"/>
      <c r="V48" s="4195" t="e">
        <f>IF(F1="售价",ROUND(PRODUCT(V47,AC7:AC46),0),ROUND(PRODUCT(V47,AC7:AC46),1))</f>
        <v>#DIV/0!</v>
      </c>
      <c r="W48" s="4195"/>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91"/>
      <c r="L49" s="1963"/>
      <c r="M49" s="1964"/>
      <c r="N49" s="1953"/>
      <c r="O49" s="1964"/>
      <c r="P49" s="4094" t="str">
        <f>A49</f>
        <v>估价对象XX用房的比较价格（楼面单价，元/平方米）</v>
      </c>
      <c r="Q49" s="4095"/>
      <c r="R49" s="4194" t="e">
        <f>IF(F1="售价",ROUND(IF(D48="简单平均",AVERAGE(R48:V48),R48*F48+T48*H48+V48*J48),0),ROUND(IF(D48="简单平均",AVERAGE(R48:V48),R48*F48+T48*H48+V48*J48),1))</f>
        <v>#DIV/0!</v>
      </c>
      <c r="S49" s="4194"/>
      <c r="T49" s="4194"/>
      <c r="U49" s="4194"/>
      <c r="V49" s="4194"/>
      <c r="W49" s="4194"/>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93.75">
      <c r="A26" s="16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4"/>
      <c r="M1" s="3125"/>
      <c r="N1" s="3125"/>
      <c r="O1" s="3125"/>
      <c r="P1" s="3182"/>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2"/>
      <c r="Q2" s="1951"/>
      <c r="R2" s="1951"/>
      <c r="S2" s="1951"/>
      <c r="T2" s="1951"/>
      <c r="U2" s="1951"/>
      <c r="V2" s="1951"/>
      <c r="W2" s="1951"/>
      <c r="X2" s="1951"/>
      <c r="Y2" s="1951"/>
      <c r="Z2" s="1951"/>
      <c r="AA2" s="1951"/>
      <c r="AB2" s="1951"/>
      <c r="AC2" s="3126"/>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2"/>
      <c r="Q3" s="1951"/>
      <c r="R3" s="1951"/>
      <c r="S3" s="1951"/>
      <c r="T3" s="1951"/>
      <c r="U3" s="1951"/>
      <c r="V3" s="1951"/>
      <c r="W3" s="1951"/>
      <c r="X3" s="1951"/>
      <c r="Y3" s="1951"/>
      <c r="Z3" s="1951"/>
      <c r="AA3" s="1951"/>
      <c r="AB3" s="1951"/>
      <c r="AC3" s="3126"/>
    </row>
    <row r="4" spans="1:29" ht="15">
      <c r="A4" s="487" t="s">
        <v>499</v>
      </c>
      <c r="B4" s="488"/>
      <c r="C4" s="4063" t="s">
        <v>500</v>
      </c>
      <c r="D4" s="4064"/>
      <c r="E4" s="4197" t="s">
        <v>501</v>
      </c>
      <c r="F4" s="4198"/>
      <c r="G4" s="4063" t="s">
        <v>502</v>
      </c>
      <c r="H4" s="4064"/>
      <c r="I4" s="4063" t="s">
        <v>503</v>
      </c>
      <c r="J4" s="4064"/>
      <c r="K4" s="489" t="s">
        <v>504</v>
      </c>
      <c r="L4" s="1952"/>
      <c r="M4" s="1953"/>
      <c r="N4" s="1953"/>
      <c r="O4" s="1953"/>
      <c r="P4" s="4204" t="s">
        <v>505</v>
      </c>
      <c r="Q4" s="4066"/>
      <c r="R4" s="4071" t="s">
        <v>501</v>
      </c>
      <c r="S4" s="4072"/>
      <c r="T4" s="4071" t="s">
        <v>502</v>
      </c>
      <c r="U4" s="4072"/>
      <c r="V4" s="4058" t="s">
        <v>503</v>
      </c>
      <c r="W4" s="4058"/>
      <c r="X4" s="1451"/>
      <c r="Y4" s="4071" t="s">
        <v>505</v>
      </c>
      <c r="Z4" s="4072"/>
      <c r="AA4" s="4060" t="s">
        <v>501</v>
      </c>
      <c r="AB4" s="4060" t="s">
        <v>502</v>
      </c>
      <c r="AC4" s="4060" t="s">
        <v>503</v>
      </c>
    </row>
    <row r="5" spans="1:29" ht="15">
      <c r="A5" s="490"/>
      <c r="B5" s="491"/>
      <c r="C5" s="4079" t="s">
        <v>2678</v>
      </c>
      <c r="D5" s="4080"/>
      <c r="E5" s="4201" t="s">
        <v>2679</v>
      </c>
      <c r="F5" s="4202"/>
      <c r="G5" s="4079" t="s">
        <v>2680</v>
      </c>
      <c r="H5" s="4080"/>
      <c r="I5" s="4079" t="s">
        <v>2681</v>
      </c>
      <c r="J5" s="4080"/>
      <c r="K5" s="489"/>
      <c r="L5" s="1952"/>
      <c r="M5" s="1953"/>
      <c r="N5" s="1953"/>
      <c r="O5" s="1953"/>
      <c r="P5" s="4205"/>
      <c r="Q5" s="4068"/>
      <c r="R5" s="4073"/>
      <c r="S5" s="4074"/>
      <c r="T5" s="4073"/>
      <c r="U5" s="4074"/>
      <c r="V5" s="4058"/>
      <c r="W5" s="4058"/>
      <c r="X5" s="1451"/>
      <c r="Y5" s="4073"/>
      <c r="Z5" s="4074"/>
      <c r="AA5" s="4061"/>
      <c r="AB5" s="4061"/>
      <c r="AC5" s="4061"/>
    </row>
    <row r="6" spans="1:29" ht="15.75" thickBot="1">
      <c r="A6" s="492"/>
      <c r="B6" s="493"/>
      <c r="C6" s="4077" t="s">
        <v>2682</v>
      </c>
      <c r="D6" s="4078"/>
      <c r="E6" s="4199" t="s">
        <v>2682</v>
      </c>
      <c r="F6" s="4200"/>
      <c r="G6" s="4077" t="s">
        <v>2682</v>
      </c>
      <c r="H6" s="4078"/>
      <c r="I6" s="4077" t="s">
        <v>2682</v>
      </c>
      <c r="J6" s="4078"/>
      <c r="K6" s="489" t="s">
        <v>506</v>
      </c>
      <c r="L6" s="1952"/>
      <c r="M6" s="1953"/>
      <c r="N6" s="1953"/>
      <c r="O6" s="1953"/>
      <c r="P6" s="4206"/>
      <c r="Q6" s="4070"/>
      <c r="R6" s="4073"/>
      <c r="S6" s="4074"/>
      <c r="T6" s="4075"/>
      <c r="U6" s="4076"/>
      <c r="V6" s="4058"/>
      <c r="W6" s="4058"/>
      <c r="X6" s="1451"/>
      <c r="Y6" s="4075"/>
      <c r="Z6" s="4076"/>
      <c r="AA6" s="4062"/>
      <c r="AB6" s="4062"/>
      <c r="AC6" s="4062"/>
    </row>
    <row r="7" spans="1:29" s="1162" customFormat="1" ht="15.75" thickBot="1">
      <c r="A7" s="2558"/>
      <c r="B7" s="2565" t="s">
        <v>507</v>
      </c>
      <c r="C7" s="494">
        <f>'数据-取费表'!B2</f>
        <v>44867</v>
      </c>
      <c r="D7" s="495">
        <v>100</v>
      </c>
      <c r="E7" s="496"/>
      <c r="F7" s="497">
        <f>SUMIF(59:59,YEAR(E7)&amp;"-"&amp;MONTH(E7),60:60)</f>
        <v>0</v>
      </c>
      <c r="G7" s="496"/>
      <c r="H7" s="495">
        <f>SUMIF(59:59,YEAR(G7)&amp;"-"&amp;MONTH(G7),60:60)</f>
        <v>0</v>
      </c>
      <c r="I7" s="496"/>
      <c r="J7" s="495">
        <f>SUMIF(59:59,YEAR(I7)&amp;"-"&amp;MONTH(I7),60:60)</f>
        <v>0</v>
      </c>
      <c r="K7" s="499"/>
      <c r="L7" s="1954"/>
      <c r="M7" s="1955"/>
      <c r="N7" s="1955"/>
      <c r="O7" s="1955"/>
      <c r="P7" s="4089" t="s">
        <v>508</v>
      </c>
      <c r="Q7" s="4089"/>
      <c r="R7" s="1452" t="s">
        <v>8</v>
      </c>
      <c r="S7" s="1453">
        <f t="shared" ref="S7:S15" si="0">F7</f>
        <v>0</v>
      </c>
      <c r="T7" s="1452" t="s">
        <v>8</v>
      </c>
      <c r="U7" s="1453">
        <f t="shared" ref="U7:U15" si="1">H7</f>
        <v>0</v>
      </c>
      <c r="V7" s="1452" t="s">
        <v>8</v>
      </c>
      <c r="W7" s="1453">
        <f t="shared" ref="W7:W15" si="2">J7</f>
        <v>0</v>
      </c>
      <c r="X7" s="1454"/>
      <c r="Y7" s="4087" t="s">
        <v>508</v>
      </c>
      <c r="Z7" s="4088"/>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089" t="s">
        <v>511</v>
      </c>
      <c r="Q8" s="4088"/>
      <c r="R8" s="1452" t="s">
        <v>8</v>
      </c>
      <c r="S8" s="1453">
        <f t="shared" si="0"/>
        <v>0</v>
      </c>
      <c r="T8" s="1452" t="s">
        <v>8</v>
      </c>
      <c r="U8" s="1453">
        <f t="shared" si="1"/>
        <v>0</v>
      </c>
      <c r="V8" s="1452" t="s">
        <v>8</v>
      </c>
      <c r="W8" s="1453">
        <f t="shared" si="2"/>
        <v>0</v>
      </c>
      <c r="X8" s="1454"/>
      <c r="Y8" s="4087" t="s">
        <v>511</v>
      </c>
      <c r="Z8" s="4088"/>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057" t="s">
        <v>513</v>
      </c>
      <c r="Q9" s="1093" t="str">
        <f t="shared" ref="Q9:Q15" si="6">B9</f>
        <v>用途</v>
      </c>
      <c r="R9" s="1452" t="s">
        <v>8</v>
      </c>
      <c r="S9" s="1453">
        <f t="shared" si="0"/>
        <v>100</v>
      </c>
      <c r="T9" s="1452" t="s">
        <v>8</v>
      </c>
      <c r="U9" s="1453">
        <f t="shared" si="1"/>
        <v>100</v>
      </c>
      <c r="V9" s="1452" t="s">
        <v>8</v>
      </c>
      <c r="W9" s="1453">
        <f t="shared" si="2"/>
        <v>100</v>
      </c>
      <c r="X9" s="1454"/>
      <c r="Y9" s="3945"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057"/>
      <c r="Q10" s="1093" t="str">
        <f t="shared" si="6"/>
        <v>土地使用年限（年）</v>
      </c>
      <c r="R10" s="1452" t="s">
        <v>8</v>
      </c>
      <c r="S10" s="1453">
        <f t="shared" si="0"/>
        <v>100</v>
      </c>
      <c r="T10" s="1452" t="s">
        <v>8</v>
      </c>
      <c r="U10" s="1453">
        <f t="shared" si="1"/>
        <v>100</v>
      </c>
      <c r="V10" s="1452" t="s">
        <v>8</v>
      </c>
      <c r="W10" s="1453">
        <f t="shared" si="2"/>
        <v>100</v>
      </c>
      <c r="X10" s="1454"/>
      <c r="Y10" s="3945"/>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057"/>
      <c r="Q11" s="1093" t="str">
        <f t="shared" si="6"/>
        <v>容积率</v>
      </c>
      <c r="R11" s="1452" t="s">
        <v>8</v>
      </c>
      <c r="S11" s="1453" t="e">
        <f t="shared" si="0"/>
        <v>#N/A</v>
      </c>
      <c r="T11" s="1452" t="s">
        <v>8</v>
      </c>
      <c r="U11" s="1453" t="e">
        <f t="shared" si="1"/>
        <v>#N/A</v>
      </c>
      <c r="V11" s="1452" t="s">
        <v>8</v>
      </c>
      <c r="W11" s="1453" t="e">
        <f t="shared" si="2"/>
        <v>#N/A</v>
      </c>
      <c r="X11" s="1454"/>
      <c r="Y11" s="3945"/>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057"/>
      <c r="Q12" s="1093">
        <f t="shared" si="6"/>
        <v>111</v>
      </c>
      <c r="R12" s="1452" t="s">
        <v>8</v>
      </c>
      <c r="S12" s="1453">
        <f t="shared" si="0"/>
        <v>100</v>
      </c>
      <c r="T12" s="1452" t="s">
        <v>8</v>
      </c>
      <c r="U12" s="1453">
        <f t="shared" si="1"/>
        <v>100</v>
      </c>
      <c r="V12" s="1452" t="s">
        <v>8</v>
      </c>
      <c r="W12" s="1453">
        <f t="shared" si="2"/>
        <v>100</v>
      </c>
      <c r="X12" s="1454"/>
      <c r="Y12" s="3945"/>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057"/>
      <c r="Q13" s="1093">
        <f t="shared" si="6"/>
        <v>111</v>
      </c>
      <c r="R13" s="1452" t="s">
        <v>8</v>
      </c>
      <c r="S13" s="1453">
        <f t="shared" si="0"/>
        <v>100</v>
      </c>
      <c r="T13" s="1452" t="s">
        <v>8</v>
      </c>
      <c r="U13" s="1453">
        <f t="shared" si="1"/>
        <v>100</v>
      </c>
      <c r="V13" s="1452" t="s">
        <v>8</v>
      </c>
      <c r="W13" s="1453">
        <f t="shared" si="2"/>
        <v>100</v>
      </c>
      <c r="X13" s="1454"/>
      <c r="Y13" s="3945"/>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057"/>
      <c r="Q14" s="1093">
        <f t="shared" si="6"/>
        <v>111</v>
      </c>
      <c r="R14" s="1452" t="s">
        <v>8</v>
      </c>
      <c r="S14" s="1453">
        <f t="shared" si="0"/>
        <v>100</v>
      </c>
      <c r="T14" s="1452" t="s">
        <v>8</v>
      </c>
      <c r="U14" s="1453">
        <f t="shared" si="1"/>
        <v>100</v>
      </c>
      <c r="V14" s="1452" t="s">
        <v>8</v>
      </c>
      <c r="W14" s="1453">
        <f t="shared" si="2"/>
        <v>100</v>
      </c>
      <c r="X14" s="1454"/>
      <c r="Y14" s="3945"/>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090" t="s">
        <v>518</v>
      </c>
      <c r="Q15" s="1456" t="str">
        <f t="shared" si="6"/>
        <v>办公集聚程度</v>
      </c>
      <c r="R15" s="1457" t="s">
        <v>8</v>
      </c>
      <c r="S15" s="1458">
        <f t="shared" si="0"/>
        <v>100</v>
      </c>
      <c r="T15" s="1457" t="s">
        <v>8</v>
      </c>
      <c r="U15" s="1458">
        <f t="shared" si="1"/>
        <v>100</v>
      </c>
      <c r="V15" s="1457" t="s">
        <v>8</v>
      </c>
      <c r="W15" s="1458">
        <f t="shared" si="2"/>
        <v>100</v>
      </c>
      <c r="X15" s="1451"/>
      <c r="Y15" s="4090"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091"/>
      <c r="Q16" s="1456"/>
      <c r="R16" s="1457"/>
      <c r="S16" s="1458"/>
      <c r="T16" s="1457"/>
      <c r="U16" s="1458"/>
      <c r="V16" s="1457"/>
      <c r="W16" s="1458"/>
      <c r="X16" s="1451"/>
      <c r="Y16" s="4091"/>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091"/>
      <c r="Q17" s="1456" t="str">
        <f>B17</f>
        <v>交通便捷度</v>
      </c>
      <c r="R17" s="1457" t="s">
        <v>8</v>
      </c>
      <c r="S17" s="1458">
        <f>F17</f>
        <v>100</v>
      </c>
      <c r="T17" s="1457" t="s">
        <v>8</v>
      </c>
      <c r="U17" s="1458">
        <f>H17</f>
        <v>100</v>
      </c>
      <c r="V17" s="1457" t="s">
        <v>8</v>
      </c>
      <c r="W17" s="1458">
        <f>J17</f>
        <v>100</v>
      </c>
      <c r="X17" s="1451"/>
      <c r="Y17" s="4091"/>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091"/>
      <c r="Q18" s="1456"/>
      <c r="R18" s="1457"/>
      <c r="S18" s="1458"/>
      <c r="T18" s="1457"/>
      <c r="U18" s="1458"/>
      <c r="V18" s="1457"/>
      <c r="W18" s="1458"/>
      <c r="X18" s="1451"/>
      <c r="Y18" s="4091"/>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091"/>
      <c r="Q19" s="1456" t="str">
        <f>B19</f>
        <v>公共配套设施</v>
      </c>
      <c r="R19" s="1457" t="s">
        <v>8</v>
      </c>
      <c r="S19" s="1458">
        <f>F19</f>
        <v>100</v>
      </c>
      <c r="T19" s="1457" t="s">
        <v>8</v>
      </c>
      <c r="U19" s="1458">
        <f>H19</f>
        <v>100</v>
      </c>
      <c r="V19" s="1457" t="s">
        <v>8</v>
      </c>
      <c r="W19" s="1458">
        <f>J19</f>
        <v>100</v>
      </c>
      <c r="X19" s="1451"/>
      <c r="Y19" s="4091"/>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091"/>
      <c r="Q20" s="1456"/>
      <c r="R20" s="1457"/>
      <c r="S20" s="1458"/>
      <c r="T20" s="1457"/>
      <c r="U20" s="1458"/>
      <c r="V20" s="1457"/>
      <c r="W20" s="1458"/>
      <c r="X20" s="1451"/>
      <c r="Y20" s="4091"/>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091"/>
      <c r="Q21" s="2363" t="str">
        <f>B21</f>
        <v>基础设施水平</v>
      </c>
      <c r="R21" s="1457" t="s">
        <v>8</v>
      </c>
      <c r="S21" s="1458">
        <f>F21</f>
        <v>100</v>
      </c>
      <c r="T21" s="1457" t="s">
        <v>8</v>
      </c>
      <c r="U21" s="1458">
        <f>H21</f>
        <v>100</v>
      </c>
      <c r="V21" s="1457" t="s">
        <v>8</v>
      </c>
      <c r="W21" s="1458">
        <f>J21</f>
        <v>100</v>
      </c>
      <c r="X21" s="2365"/>
      <c r="Y21" s="4091"/>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091"/>
      <c r="Q22" s="2363"/>
      <c r="R22" s="1457"/>
      <c r="S22" s="1458"/>
      <c r="T22" s="1457"/>
      <c r="U22" s="1458"/>
      <c r="V22" s="1457"/>
      <c r="W22" s="1458"/>
      <c r="X22" s="2365"/>
      <c r="Y22" s="4091"/>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091"/>
      <c r="Q23" s="1456" t="str">
        <f>B23</f>
        <v>环境质量</v>
      </c>
      <c r="R23" s="1457" t="s">
        <v>8</v>
      </c>
      <c r="S23" s="1458">
        <f>F23</f>
        <v>100</v>
      </c>
      <c r="T23" s="1457" t="s">
        <v>8</v>
      </c>
      <c r="U23" s="1458">
        <f>H23</f>
        <v>100</v>
      </c>
      <c r="V23" s="1457" t="s">
        <v>8</v>
      </c>
      <c r="W23" s="1458">
        <f>J23</f>
        <v>100</v>
      </c>
      <c r="X23" s="1451"/>
      <c r="Y23" s="4091"/>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091"/>
      <c r="Q24" s="1456"/>
      <c r="R24" s="1457"/>
      <c r="S24" s="1458"/>
      <c r="T24" s="1457"/>
      <c r="U24" s="1458"/>
      <c r="V24" s="1457"/>
      <c r="W24" s="1458"/>
      <c r="X24" s="1451"/>
      <c r="Y24" s="4091"/>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091"/>
      <c r="Q25" s="1456" t="str">
        <f>B25</f>
        <v>毗邻道路的类型与等级</v>
      </c>
      <c r="R25" s="1457" t="s">
        <v>8</v>
      </c>
      <c r="S25" s="1458">
        <f>F25</f>
        <v>100</v>
      </c>
      <c r="T25" s="1457" t="s">
        <v>8</v>
      </c>
      <c r="U25" s="1458">
        <f>H25</f>
        <v>100</v>
      </c>
      <c r="V25" s="1457" t="s">
        <v>8</v>
      </c>
      <c r="W25" s="1458">
        <f>J25</f>
        <v>100</v>
      </c>
      <c r="X25" s="1451"/>
      <c r="Y25" s="4091"/>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091"/>
      <c r="Q26" s="1456"/>
      <c r="R26" s="1457"/>
      <c r="S26" s="1458"/>
      <c r="T26" s="1457"/>
      <c r="U26" s="1458"/>
      <c r="V26" s="1457"/>
      <c r="W26" s="1458"/>
      <c r="X26" s="1451"/>
      <c r="Y26" s="4091"/>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091"/>
      <c r="Q27" s="1456" t="str">
        <f t="shared" ref="Q27:Q47" si="11">B27</f>
        <v>楼层</v>
      </c>
      <c r="R27" s="1457" t="s">
        <v>8</v>
      </c>
      <c r="S27" s="1458">
        <f>F27</f>
        <v>100</v>
      </c>
      <c r="T27" s="1457" t="s">
        <v>8</v>
      </c>
      <c r="U27" s="1458">
        <f>H27</f>
        <v>100</v>
      </c>
      <c r="V27" s="1457" t="s">
        <v>8</v>
      </c>
      <c r="W27" s="1458">
        <f>J27</f>
        <v>100</v>
      </c>
      <c r="X27" s="1451"/>
      <c r="Y27" s="4091"/>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091"/>
      <c r="Q28" s="1093" t="str">
        <f t="shared" si="11"/>
        <v>朝向</v>
      </c>
      <c r="R28" s="1452" t="s">
        <v>8</v>
      </c>
      <c r="S28" s="1453">
        <f>F28</f>
        <v>100</v>
      </c>
      <c r="T28" s="1452" t="s">
        <v>8</v>
      </c>
      <c r="U28" s="1453">
        <f>H28</f>
        <v>100</v>
      </c>
      <c r="V28" s="1452" t="s">
        <v>8</v>
      </c>
      <c r="W28" s="1453">
        <f>J28</f>
        <v>100</v>
      </c>
      <c r="X28" s="1454"/>
      <c r="Y28" s="4091"/>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091"/>
      <c r="Q29" s="1456">
        <f t="shared" si="11"/>
        <v>111</v>
      </c>
      <c r="R29" s="1457" t="s">
        <v>8</v>
      </c>
      <c r="S29" s="1458">
        <f t="shared" ref="S29:S47" si="12">F29</f>
        <v>100</v>
      </c>
      <c r="T29" s="1457" t="s">
        <v>8</v>
      </c>
      <c r="U29" s="1458">
        <f t="shared" ref="U29:U47" si="13">H29</f>
        <v>100</v>
      </c>
      <c r="V29" s="1457" t="s">
        <v>8</v>
      </c>
      <c r="W29" s="1458">
        <f t="shared" ref="W29:W47" si="14">J29</f>
        <v>100</v>
      </c>
      <c r="X29" s="1451"/>
      <c r="Y29" s="4091"/>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091"/>
      <c r="Q30" s="1456">
        <f t="shared" si="11"/>
        <v>111</v>
      </c>
      <c r="R30" s="1457" t="s">
        <v>8</v>
      </c>
      <c r="S30" s="1458">
        <f t="shared" si="12"/>
        <v>100</v>
      </c>
      <c r="T30" s="1457" t="s">
        <v>8</v>
      </c>
      <c r="U30" s="1458">
        <f t="shared" si="13"/>
        <v>100</v>
      </c>
      <c r="V30" s="1457" t="s">
        <v>8</v>
      </c>
      <c r="W30" s="1458">
        <f t="shared" si="14"/>
        <v>100</v>
      </c>
      <c r="X30" s="1451"/>
      <c r="Y30" s="4091"/>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091"/>
      <c r="Q31" s="1456">
        <f t="shared" si="11"/>
        <v>111</v>
      </c>
      <c r="R31" s="1457" t="s">
        <v>8</v>
      </c>
      <c r="S31" s="1458">
        <f t="shared" si="12"/>
        <v>100</v>
      </c>
      <c r="T31" s="1457" t="s">
        <v>8</v>
      </c>
      <c r="U31" s="1458">
        <f t="shared" si="13"/>
        <v>100</v>
      </c>
      <c r="V31" s="1457" t="s">
        <v>8</v>
      </c>
      <c r="W31" s="1458">
        <f t="shared" si="14"/>
        <v>100</v>
      </c>
      <c r="X31" s="1451"/>
      <c r="Y31" s="4091"/>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091"/>
      <c r="Q32" s="1456">
        <f t="shared" si="11"/>
        <v>111</v>
      </c>
      <c r="R32" s="1457" t="s">
        <v>8</v>
      </c>
      <c r="S32" s="1458">
        <f t="shared" si="12"/>
        <v>100</v>
      </c>
      <c r="T32" s="1457" t="s">
        <v>8</v>
      </c>
      <c r="U32" s="1458">
        <f t="shared" si="13"/>
        <v>100</v>
      </c>
      <c r="V32" s="1457" t="s">
        <v>8</v>
      </c>
      <c r="W32" s="1458">
        <f t="shared" si="14"/>
        <v>100</v>
      </c>
      <c r="X32" s="1451"/>
      <c r="Y32" s="4091"/>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092" t="s">
        <v>528</v>
      </c>
      <c r="Q33" s="1456" t="str">
        <f t="shared" si="11"/>
        <v>建筑类型</v>
      </c>
      <c r="R33" s="1457" t="s">
        <v>8</v>
      </c>
      <c r="S33" s="1458">
        <f t="shared" si="12"/>
        <v>100</v>
      </c>
      <c r="T33" s="1457" t="s">
        <v>8</v>
      </c>
      <c r="U33" s="1458">
        <f t="shared" si="13"/>
        <v>100</v>
      </c>
      <c r="V33" s="1457" t="s">
        <v>8</v>
      </c>
      <c r="W33" s="1458">
        <f t="shared" si="14"/>
        <v>100</v>
      </c>
      <c r="X33" s="1451"/>
      <c r="Y33" s="4093"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093"/>
      <c r="Q34" s="1485" t="str">
        <f t="shared" si="11"/>
        <v>项目建筑规模</v>
      </c>
      <c r="R34" s="1461" t="s">
        <v>8</v>
      </c>
      <c r="S34" s="1462" t="e">
        <f t="shared" si="12"/>
        <v>#N/A</v>
      </c>
      <c r="T34" s="1461" t="s">
        <v>8</v>
      </c>
      <c r="U34" s="1462" t="e">
        <f t="shared" si="13"/>
        <v>#N/A</v>
      </c>
      <c r="V34" s="1461" t="s">
        <v>8</v>
      </c>
      <c r="W34" s="1462" t="e">
        <f t="shared" si="14"/>
        <v>#N/A</v>
      </c>
      <c r="X34" s="1463"/>
      <c r="Y34" s="4093"/>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093"/>
      <c r="Q35" s="1456" t="str">
        <f t="shared" si="11"/>
        <v>建筑结构</v>
      </c>
      <c r="R35" s="1457" t="s">
        <v>8</v>
      </c>
      <c r="S35" s="1458">
        <f t="shared" si="12"/>
        <v>100</v>
      </c>
      <c r="T35" s="1457" t="s">
        <v>8</v>
      </c>
      <c r="U35" s="1458">
        <f t="shared" si="13"/>
        <v>100</v>
      </c>
      <c r="V35" s="1457" t="s">
        <v>8</v>
      </c>
      <c r="W35" s="1458">
        <f t="shared" si="14"/>
        <v>100</v>
      </c>
      <c r="X35" s="1451"/>
      <c r="Y35" s="4093"/>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093"/>
      <c r="Q36" s="1456" t="str">
        <f t="shared" si="11"/>
        <v>公共部分装修</v>
      </c>
      <c r="R36" s="1457" t="s">
        <v>8</v>
      </c>
      <c r="S36" s="1458">
        <f t="shared" si="12"/>
        <v>100</v>
      </c>
      <c r="T36" s="1457" t="s">
        <v>8</v>
      </c>
      <c r="U36" s="1458">
        <f t="shared" si="13"/>
        <v>100</v>
      </c>
      <c r="V36" s="1457" t="s">
        <v>8</v>
      </c>
      <c r="W36" s="1458">
        <f t="shared" si="14"/>
        <v>100</v>
      </c>
      <c r="X36" s="1451"/>
      <c r="Y36" s="4093"/>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093"/>
      <c r="Q37" s="1456" t="str">
        <f t="shared" si="11"/>
        <v>成新度</v>
      </c>
      <c r="R37" s="1457" t="s">
        <v>8</v>
      </c>
      <c r="S37" s="1458" t="e">
        <f t="shared" si="12"/>
        <v>#N/A</v>
      </c>
      <c r="T37" s="1457" t="s">
        <v>8</v>
      </c>
      <c r="U37" s="1458" t="e">
        <f t="shared" si="13"/>
        <v>#N/A</v>
      </c>
      <c r="V37" s="1457" t="s">
        <v>8</v>
      </c>
      <c r="W37" s="1458" t="e">
        <f t="shared" si="14"/>
        <v>#N/A</v>
      </c>
      <c r="X37" s="1451"/>
      <c r="Y37" s="4093"/>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093"/>
      <c r="Q38" s="1093" t="str">
        <f t="shared" si="11"/>
        <v>写字楼等级</v>
      </c>
      <c r="R38" s="1452" t="s">
        <v>8</v>
      </c>
      <c r="S38" s="1453">
        <f t="shared" si="12"/>
        <v>100</v>
      </c>
      <c r="T38" s="1452" t="s">
        <v>8</v>
      </c>
      <c r="U38" s="1453">
        <f t="shared" si="13"/>
        <v>100</v>
      </c>
      <c r="V38" s="1452" t="s">
        <v>8</v>
      </c>
      <c r="W38" s="1453">
        <f t="shared" si="14"/>
        <v>100</v>
      </c>
      <c r="X38" s="1454"/>
      <c r="Y38" s="4093"/>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093" t="s">
        <v>528</v>
      </c>
      <c r="Q39" s="1456" t="str">
        <f t="shared" si="11"/>
        <v>物业管理</v>
      </c>
      <c r="R39" s="1457" t="s">
        <v>8</v>
      </c>
      <c r="S39" s="1458">
        <f t="shared" si="12"/>
        <v>100</v>
      </c>
      <c r="T39" s="1457" t="s">
        <v>8</v>
      </c>
      <c r="U39" s="1458">
        <f t="shared" si="13"/>
        <v>100</v>
      </c>
      <c r="V39" s="1457" t="s">
        <v>8</v>
      </c>
      <c r="W39" s="1458">
        <f t="shared" si="14"/>
        <v>100</v>
      </c>
      <c r="X39" s="1451"/>
      <c r="Y39" s="4093"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093"/>
      <c r="Q40" s="1456" t="str">
        <f t="shared" si="11"/>
        <v>市政基础设施</v>
      </c>
      <c r="R40" s="1457" t="s">
        <v>8</v>
      </c>
      <c r="S40" s="1458">
        <f t="shared" si="12"/>
        <v>100</v>
      </c>
      <c r="T40" s="1457" t="s">
        <v>8</v>
      </c>
      <c r="U40" s="1458">
        <f t="shared" si="13"/>
        <v>100</v>
      </c>
      <c r="V40" s="1457" t="s">
        <v>8</v>
      </c>
      <c r="W40" s="1458">
        <f t="shared" si="14"/>
        <v>100</v>
      </c>
      <c r="X40" s="1451"/>
      <c r="Y40" s="4093"/>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093"/>
      <c r="Q41" s="1456" t="str">
        <f t="shared" si="11"/>
        <v>层高</v>
      </c>
      <c r="R41" s="1457" t="s">
        <v>8</v>
      </c>
      <c r="S41" s="1458">
        <f t="shared" si="12"/>
        <v>100</v>
      </c>
      <c r="T41" s="1457" t="s">
        <v>8</v>
      </c>
      <c r="U41" s="1458">
        <f t="shared" si="13"/>
        <v>100</v>
      </c>
      <c r="V41" s="1457" t="s">
        <v>8</v>
      </c>
      <c r="W41" s="1458">
        <f t="shared" si="14"/>
        <v>100</v>
      </c>
      <c r="X41" s="1451"/>
      <c r="Y41" s="4093"/>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093"/>
      <c r="Q42" s="1485" t="str">
        <f t="shared" si="11"/>
        <v>单套建筑面积</v>
      </c>
      <c r="R42" s="1461" t="s">
        <v>8</v>
      </c>
      <c r="S42" s="1462">
        <f t="shared" si="12"/>
        <v>100</v>
      </c>
      <c r="T42" s="1461" t="s">
        <v>8</v>
      </c>
      <c r="U42" s="1462">
        <f t="shared" si="13"/>
        <v>100</v>
      </c>
      <c r="V42" s="1461" t="s">
        <v>8</v>
      </c>
      <c r="W42" s="1462">
        <f t="shared" si="14"/>
        <v>100</v>
      </c>
      <c r="X42" s="1463"/>
      <c r="Y42" s="4093"/>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093"/>
      <c r="Q43" s="1456" t="str">
        <f t="shared" si="11"/>
        <v>内部装修</v>
      </c>
      <c r="R43" s="1457" t="s">
        <v>8</v>
      </c>
      <c r="S43" s="1458">
        <f t="shared" si="12"/>
        <v>100</v>
      </c>
      <c r="T43" s="1457" t="s">
        <v>8</v>
      </c>
      <c r="U43" s="1458">
        <f t="shared" si="13"/>
        <v>100</v>
      </c>
      <c r="V43" s="1457" t="s">
        <v>8</v>
      </c>
      <c r="W43" s="1458">
        <f t="shared" si="14"/>
        <v>100</v>
      </c>
      <c r="X43" s="1451"/>
      <c r="Y43" s="4093"/>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093"/>
      <c r="Q44" s="1456" t="str">
        <f t="shared" si="11"/>
        <v>内部装修维护情况</v>
      </c>
      <c r="R44" s="1457" t="s">
        <v>8</v>
      </c>
      <c r="S44" s="1458">
        <f t="shared" si="12"/>
        <v>100</v>
      </c>
      <c r="T44" s="1457" t="s">
        <v>8</v>
      </c>
      <c r="U44" s="1458">
        <f t="shared" si="13"/>
        <v>100</v>
      </c>
      <c r="V44" s="1457" t="s">
        <v>8</v>
      </c>
      <c r="W44" s="1458">
        <f t="shared" si="14"/>
        <v>100</v>
      </c>
      <c r="X44" s="1451"/>
      <c r="Y44" s="4093"/>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093"/>
      <c r="Q45" s="1093">
        <f t="shared" si="11"/>
        <v>111</v>
      </c>
      <c r="R45" s="1452" t="s">
        <v>8</v>
      </c>
      <c r="S45" s="1453">
        <f t="shared" si="12"/>
        <v>100</v>
      </c>
      <c r="T45" s="1452" t="s">
        <v>8</v>
      </c>
      <c r="U45" s="1453">
        <f t="shared" si="13"/>
        <v>100</v>
      </c>
      <c r="V45" s="1452" t="s">
        <v>8</v>
      </c>
      <c r="W45" s="1453">
        <f t="shared" si="14"/>
        <v>100</v>
      </c>
      <c r="X45" s="1454"/>
      <c r="Y45" s="4093"/>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093"/>
      <c r="Q46" s="1456">
        <f t="shared" si="11"/>
        <v>111</v>
      </c>
      <c r="R46" s="1457" t="s">
        <v>8</v>
      </c>
      <c r="S46" s="1458">
        <f t="shared" si="12"/>
        <v>100</v>
      </c>
      <c r="T46" s="1457" t="s">
        <v>8</v>
      </c>
      <c r="U46" s="1458">
        <f t="shared" si="13"/>
        <v>100</v>
      </c>
      <c r="V46" s="1457" t="s">
        <v>8</v>
      </c>
      <c r="W46" s="1458">
        <f t="shared" si="14"/>
        <v>100</v>
      </c>
      <c r="X46" s="1451"/>
      <c r="Y46" s="4093"/>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196"/>
      <c r="Q47" s="1456">
        <f t="shared" si="11"/>
        <v>111</v>
      </c>
      <c r="R47" s="1457" t="s">
        <v>8</v>
      </c>
      <c r="S47" s="1458">
        <f t="shared" si="12"/>
        <v>100</v>
      </c>
      <c r="T47" s="1457" t="s">
        <v>8</v>
      </c>
      <c r="U47" s="1458">
        <f t="shared" si="13"/>
        <v>100</v>
      </c>
      <c r="V47" s="1457" t="s">
        <v>8</v>
      </c>
      <c r="W47" s="1458">
        <f t="shared" si="14"/>
        <v>100</v>
      </c>
      <c r="X47" s="1451"/>
      <c r="Y47" s="4196"/>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095" t="str">
        <f>A48</f>
        <v>成交单价（元/平方米）</v>
      </c>
      <c r="Q48" s="4057"/>
      <c r="R48" s="4195">
        <f>E48</f>
        <v>0</v>
      </c>
      <c r="S48" s="4195"/>
      <c r="T48" s="4195">
        <f>G48</f>
        <v>0</v>
      </c>
      <c r="U48" s="4195"/>
      <c r="V48" s="4195">
        <f>I48</f>
        <v>0</v>
      </c>
      <c r="W48" s="4195"/>
      <c r="X48" s="1446"/>
      <c r="Y48" s="1465"/>
      <c r="Z48" s="1446"/>
      <c r="AA48" s="1446"/>
      <c r="AB48" s="1446"/>
      <c r="AC48" s="1446"/>
    </row>
    <row r="49" spans="1:29" ht="15.75" thickBot="1">
      <c r="A49" s="590" t="s">
        <v>2526</v>
      </c>
      <c r="B49" s="856"/>
      <c r="C49" s="2407" t="e">
        <f>R50</f>
        <v>#DIV/0!</v>
      </c>
      <c r="D49" s="2931" t="s">
        <v>2747</v>
      </c>
      <c r="E49" s="2408" t="e">
        <f>R49</f>
        <v>#DIV/0!</v>
      </c>
      <c r="F49" s="2932"/>
      <c r="G49" s="2407" t="e">
        <f>T49</f>
        <v>#DIV/0!</v>
      </c>
      <c r="H49" s="2932"/>
      <c r="I49" s="2408" t="e">
        <f>V49</f>
        <v>#DIV/0!</v>
      </c>
      <c r="J49" s="2932"/>
      <c r="K49" s="2940">
        <f>F49+H49+J49</f>
        <v>0</v>
      </c>
      <c r="L49" s="1963"/>
      <c r="M49" s="1953"/>
      <c r="N49" s="1953"/>
      <c r="O49" s="1953"/>
      <c r="P49" s="4095" t="str">
        <f>A49</f>
        <v>比较价格（元/平方米）</v>
      </c>
      <c r="Q49" s="4057"/>
      <c r="R49" s="4195" t="e">
        <f>IF(F1="售价",ROUND(PRODUCT(R48,AA7:AA47),0),ROUND(PRODUCT(R48,AA7:AA47),1))</f>
        <v>#DIV/0!</v>
      </c>
      <c r="S49" s="4195"/>
      <c r="T49" s="4195" t="e">
        <f>IF(F1="售价",ROUND(PRODUCT(T48,AB7:AB47),0),ROUND(PRODUCT(T48,AB7:AB47),1))</f>
        <v>#DIV/0!</v>
      </c>
      <c r="U49" s="4195"/>
      <c r="V49" s="4195" t="e">
        <f>IF(F1="售价",ROUND(PRODUCT(V48,AC7:AC47),0),ROUND(PRODUCT(V48,AC7:AC47),1))</f>
        <v>#DIV/0!</v>
      </c>
      <c r="W49" s="4195"/>
      <c r="X49" s="1446"/>
      <c r="Y49" s="1446"/>
      <c r="Z49" s="1446"/>
      <c r="AA49" s="1446"/>
      <c r="AB49" s="1446"/>
      <c r="AC49" s="1446"/>
    </row>
    <row r="50" spans="1:29" ht="15.75" thickBot="1">
      <c r="A50" s="594" t="s">
        <v>2684</v>
      </c>
      <c r="B50" s="595"/>
      <c r="C50" s="2409" t="e">
        <f>R50</f>
        <v>#DIV/0!</v>
      </c>
      <c r="D50" s="2409"/>
      <c r="E50" s="2409"/>
      <c r="F50" s="2409"/>
      <c r="G50" s="2409"/>
      <c r="H50" s="2409"/>
      <c r="I50" s="2409"/>
      <c r="J50" s="2409"/>
      <c r="K50" s="1491"/>
      <c r="L50" s="1963"/>
      <c r="M50" s="1953"/>
      <c r="N50" s="1953"/>
      <c r="O50" s="1953"/>
      <c r="P50" s="4203" t="str">
        <f>A50</f>
        <v>估价对象XX用房的比较价格（楼面单价，元/平方米）</v>
      </c>
      <c r="Q50" s="4095"/>
      <c r="R50" s="4194" t="e">
        <f>IF(F1="售价",ROUND(IF(D49="简单平均",AVERAGE(R49:V49),R49*F49+T49*H49+V49*J49),0),ROUND(IF(D49="简单平均",AVERAGE(R49:V49),R49*F49+T49*H49+V49*J49),1))</f>
        <v>#DIV/0!</v>
      </c>
      <c r="S50" s="4194"/>
      <c r="T50" s="4194"/>
      <c r="U50" s="4194"/>
      <c r="V50" s="4194"/>
      <c r="W50" s="4194"/>
      <c r="X50" s="1446"/>
      <c r="Y50" s="1446"/>
      <c r="Z50" s="1446"/>
      <c r="AA50" s="1446"/>
      <c r="AB50" s="1446"/>
      <c r="AC50" s="1446"/>
    </row>
    <row r="51" spans="1:29">
      <c r="A51" s="3128"/>
      <c r="B51" s="3128"/>
      <c r="C51" s="3128"/>
      <c r="D51" s="3128"/>
      <c r="E51" s="3128"/>
      <c r="F51" s="3128"/>
      <c r="G51" s="3130"/>
      <c r="H51" s="3128"/>
      <c r="I51" s="3128"/>
      <c r="J51" s="3128"/>
      <c r="K51" s="3131"/>
      <c r="L51" s="1968"/>
      <c r="M51" s="1964"/>
      <c r="N51" s="1964"/>
      <c r="O51" s="1964"/>
      <c r="P51" s="2025"/>
      <c r="Q51" s="1964"/>
      <c r="R51" s="1964"/>
      <c r="S51" s="1964"/>
      <c r="T51" s="1964"/>
      <c r="U51" s="1964"/>
      <c r="V51" s="1964"/>
      <c r="W51" s="1964"/>
      <c r="X51" s="1964"/>
      <c r="Y51" s="1964"/>
      <c r="Z51" s="1964"/>
      <c r="AA51" s="1964"/>
      <c r="AB51" s="1964"/>
      <c r="AC51" s="1964"/>
    </row>
    <row r="52" spans="1:29">
      <c r="A52" s="3128"/>
      <c r="B52" s="3128"/>
      <c r="C52" s="3128"/>
      <c r="D52" s="3128"/>
      <c r="E52" s="3128"/>
      <c r="F52" s="3128"/>
      <c r="G52" s="3128"/>
      <c r="H52" s="3128"/>
      <c r="I52" s="3128"/>
      <c r="J52" s="3128"/>
      <c r="K52" s="3131"/>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2022-11</v>
      </c>
      <c r="D59" s="2450">
        <f>EDATE(C59,-1)</f>
        <v>44835</v>
      </c>
      <c r="E59" s="2450">
        <f t="shared" ref="E59:O59" si="16">EDATE(D59,-1)</f>
        <v>44805</v>
      </c>
      <c r="F59" s="2450">
        <f t="shared" si="16"/>
        <v>44774</v>
      </c>
      <c r="G59" s="2450">
        <f t="shared" si="16"/>
        <v>44743</v>
      </c>
      <c r="H59" s="2450">
        <f t="shared" si="16"/>
        <v>44713</v>
      </c>
      <c r="I59" s="2450">
        <f t="shared" si="16"/>
        <v>44682</v>
      </c>
      <c r="J59" s="2450">
        <f t="shared" si="16"/>
        <v>44652</v>
      </c>
      <c r="K59" s="2450">
        <f t="shared" si="16"/>
        <v>44621</v>
      </c>
      <c r="L59" s="2450">
        <f t="shared" si="16"/>
        <v>44593</v>
      </c>
      <c r="M59" s="2450">
        <f t="shared" si="16"/>
        <v>44562</v>
      </c>
      <c r="N59" s="2450">
        <f t="shared" si="16"/>
        <v>44531</v>
      </c>
      <c r="O59" s="2450">
        <f t="shared" si="16"/>
        <v>44501</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499</v>
      </c>
      <c r="B4" s="488"/>
      <c r="C4" s="4063" t="s">
        <v>500</v>
      </c>
      <c r="D4" s="4064"/>
      <c r="E4" s="4197" t="s">
        <v>501</v>
      </c>
      <c r="F4" s="4198"/>
      <c r="G4" s="4063" t="s">
        <v>502</v>
      </c>
      <c r="H4" s="4064"/>
      <c r="I4" s="4063" t="s">
        <v>503</v>
      </c>
      <c r="J4" s="4064"/>
      <c r="K4" s="489" t="s">
        <v>504</v>
      </c>
      <c r="L4" s="1952"/>
      <c r="M4" s="1953"/>
      <c r="N4" s="1953"/>
      <c r="O4" s="1953"/>
      <c r="P4" s="4065" t="s">
        <v>505</v>
      </c>
      <c r="Q4" s="4066"/>
      <c r="R4" s="4071" t="s">
        <v>501</v>
      </c>
      <c r="S4" s="4072"/>
      <c r="T4" s="4071" t="s">
        <v>502</v>
      </c>
      <c r="U4" s="4072"/>
      <c r="V4" s="4058" t="s">
        <v>503</v>
      </c>
      <c r="W4" s="4058"/>
      <c r="X4" s="1451"/>
      <c r="Y4" s="4071" t="s">
        <v>505</v>
      </c>
      <c r="Z4" s="4072"/>
      <c r="AA4" s="4060" t="s">
        <v>501</v>
      </c>
      <c r="AB4" s="4061" t="s">
        <v>502</v>
      </c>
      <c r="AC4" s="4060" t="s">
        <v>503</v>
      </c>
    </row>
    <row r="5" spans="1:29" ht="15">
      <c r="A5" s="490"/>
      <c r="B5" s="491"/>
      <c r="C5" s="4079" t="s">
        <v>2678</v>
      </c>
      <c r="D5" s="4080"/>
      <c r="E5" s="4201" t="s">
        <v>2679</v>
      </c>
      <c r="F5" s="4202"/>
      <c r="G5" s="4079" t="s">
        <v>2680</v>
      </c>
      <c r="H5" s="4080"/>
      <c r="I5" s="4079" t="s">
        <v>2681</v>
      </c>
      <c r="J5" s="4080"/>
      <c r="K5" s="489"/>
      <c r="L5" s="1952"/>
      <c r="M5" s="1953"/>
      <c r="N5" s="1953"/>
      <c r="O5" s="1953"/>
      <c r="P5" s="4067"/>
      <c r="Q5" s="4068"/>
      <c r="R5" s="4073"/>
      <c r="S5" s="4074"/>
      <c r="T5" s="4073"/>
      <c r="U5" s="4074"/>
      <c r="V5" s="4058"/>
      <c r="W5" s="4058"/>
      <c r="X5" s="1451"/>
      <c r="Y5" s="4073"/>
      <c r="Z5" s="4074"/>
      <c r="AA5" s="4061"/>
      <c r="AB5" s="4061"/>
      <c r="AC5" s="4061"/>
    </row>
    <row r="6" spans="1:29" ht="15.75" thickBot="1">
      <c r="A6" s="492"/>
      <c r="B6" s="493"/>
      <c r="C6" s="4077" t="s">
        <v>2682</v>
      </c>
      <c r="D6" s="4078"/>
      <c r="E6" s="4199" t="s">
        <v>2682</v>
      </c>
      <c r="F6" s="4200"/>
      <c r="G6" s="4077" t="s">
        <v>2682</v>
      </c>
      <c r="H6" s="4078"/>
      <c r="I6" s="4077" t="s">
        <v>2682</v>
      </c>
      <c r="J6" s="4078"/>
      <c r="K6" s="489" t="s">
        <v>506</v>
      </c>
      <c r="L6" s="1952"/>
      <c r="M6" s="1953"/>
      <c r="N6" s="1953"/>
      <c r="O6" s="1953"/>
      <c r="P6" s="4069"/>
      <c r="Q6" s="4070"/>
      <c r="R6" s="4073"/>
      <c r="S6" s="4074"/>
      <c r="T6" s="4075"/>
      <c r="U6" s="4076"/>
      <c r="V6" s="4058"/>
      <c r="W6" s="4058"/>
      <c r="X6" s="1451"/>
      <c r="Y6" s="4075"/>
      <c r="Z6" s="4076"/>
      <c r="AA6" s="4062"/>
      <c r="AB6" s="4062"/>
      <c r="AC6" s="4062"/>
    </row>
    <row r="7" spans="1:29" s="1162" customFormat="1" ht="15.75" thickBot="1">
      <c r="A7" s="2558"/>
      <c r="B7" s="2565" t="s">
        <v>507</v>
      </c>
      <c r="C7" s="494">
        <f>'数据-取费表'!B2</f>
        <v>44867</v>
      </c>
      <c r="D7" s="495">
        <v>100</v>
      </c>
      <c r="E7" s="496"/>
      <c r="F7" s="497">
        <f>SUMIF(52:52,YEAR(E7)&amp;"-"&amp;MONTH(E7),53:53)</f>
        <v>0</v>
      </c>
      <c r="G7" s="496"/>
      <c r="H7" s="495">
        <f>SUMIF(52:52,YEAR(G7)&amp;"-"&amp;MONTH(G7),53:53)</f>
        <v>0</v>
      </c>
      <c r="I7" s="496"/>
      <c r="J7" s="495">
        <f>SUMIF(52:52,YEAR(I7)&amp;"-"&amp;MONTH(I7),53:53)</f>
        <v>0</v>
      </c>
      <c r="K7" s="499"/>
      <c r="L7" s="1954"/>
      <c r="M7" s="1955"/>
      <c r="N7" s="1955"/>
      <c r="O7" s="1955"/>
      <c r="P7" s="4087" t="s">
        <v>508</v>
      </c>
      <c r="Q7" s="4089"/>
      <c r="R7" s="1452" t="s">
        <v>8</v>
      </c>
      <c r="S7" s="1453">
        <f t="shared" ref="S7:S15" si="0">F7</f>
        <v>0</v>
      </c>
      <c r="T7" s="1452" t="s">
        <v>8</v>
      </c>
      <c r="U7" s="1453">
        <f t="shared" ref="U7:U15" si="1">H7</f>
        <v>0</v>
      </c>
      <c r="V7" s="1452" t="s">
        <v>8</v>
      </c>
      <c r="W7" s="1453">
        <f t="shared" ref="W7:W15" si="2">J7</f>
        <v>0</v>
      </c>
      <c r="X7" s="1454"/>
      <c r="Y7" s="4087" t="s">
        <v>508</v>
      </c>
      <c r="Z7" s="4088"/>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087" t="s">
        <v>511</v>
      </c>
      <c r="Q8" s="4088"/>
      <c r="R8" s="1452" t="s">
        <v>8</v>
      </c>
      <c r="S8" s="1453">
        <f t="shared" si="0"/>
        <v>0</v>
      </c>
      <c r="T8" s="1452" t="s">
        <v>8</v>
      </c>
      <c r="U8" s="1453">
        <f t="shared" si="1"/>
        <v>0</v>
      </c>
      <c r="V8" s="1452" t="s">
        <v>8</v>
      </c>
      <c r="W8" s="1453">
        <f t="shared" si="2"/>
        <v>0</v>
      </c>
      <c r="X8" s="1454"/>
      <c r="Y8" s="4087" t="s">
        <v>511</v>
      </c>
      <c r="Z8" s="4088"/>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057" t="s">
        <v>513</v>
      </c>
      <c r="Q9" s="1093" t="str">
        <f t="shared" ref="Q9:Q15" si="6">B9</f>
        <v>用途</v>
      </c>
      <c r="R9" s="1452" t="s">
        <v>8</v>
      </c>
      <c r="S9" s="1453">
        <f t="shared" si="0"/>
        <v>100</v>
      </c>
      <c r="T9" s="1452" t="s">
        <v>8</v>
      </c>
      <c r="U9" s="1453">
        <f t="shared" si="1"/>
        <v>100</v>
      </c>
      <c r="V9" s="1452" t="s">
        <v>8</v>
      </c>
      <c r="W9" s="1453">
        <f t="shared" si="2"/>
        <v>100</v>
      </c>
      <c r="X9" s="1454"/>
      <c r="Y9" s="3945"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057"/>
      <c r="Q10" s="1093" t="str">
        <f t="shared" si="6"/>
        <v>土地使用年限（年）</v>
      </c>
      <c r="R10" s="1452" t="s">
        <v>8</v>
      </c>
      <c r="S10" s="1453">
        <f t="shared" si="0"/>
        <v>100</v>
      </c>
      <c r="T10" s="1452" t="s">
        <v>8</v>
      </c>
      <c r="U10" s="1453">
        <f t="shared" si="1"/>
        <v>100</v>
      </c>
      <c r="V10" s="1452" t="s">
        <v>8</v>
      </c>
      <c r="W10" s="1453">
        <f t="shared" si="2"/>
        <v>100</v>
      </c>
      <c r="X10" s="1454"/>
      <c r="Y10" s="3945"/>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057"/>
      <c r="Q11" s="1093" t="str">
        <f t="shared" si="6"/>
        <v>容积率</v>
      </c>
      <c r="R11" s="1452" t="s">
        <v>8</v>
      </c>
      <c r="S11" s="1453" t="e">
        <f t="shared" si="0"/>
        <v>#N/A</v>
      </c>
      <c r="T11" s="1452" t="s">
        <v>8</v>
      </c>
      <c r="U11" s="1453" t="e">
        <f t="shared" si="1"/>
        <v>#N/A</v>
      </c>
      <c r="V11" s="1452" t="s">
        <v>8</v>
      </c>
      <c r="W11" s="1453" t="e">
        <f t="shared" si="2"/>
        <v>#N/A</v>
      </c>
      <c r="X11" s="1454"/>
      <c r="Y11" s="3945"/>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057"/>
      <c r="Q12" s="1093">
        <f t="shared" si="6"/>
        <v>111</v>
      </c>
      <c r="R12" s="1452" t="s">
        <v>8</v>
      </c>
      <c r="S12" s="1453">
        <f t="shared" si="0"/>
        <v>100</v>
      </c>
      <c r="T12" s="1452" t="s">
        <v>8</v>
      </c>
      <c r="U12" s="1453">
        <f t="shared" si="1"/>
        <v>100</v>
      </c>
      <c r="V12" s="1452" t="s">
        <v>8</v>
      </c>
      <c r="W12" s="1453">
        <f t="shared" si="2"/>
        <v>100</v>
      </c>
      <c r="X12" s="1454"/>
      <c r="Y12" s="3945"/>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057"/>
      <c r="Q13" s="1093">
        <f t="shared" si="6"/>
        <v>111</v>
      </c>
      <c r="R13" s="1452" t="s">
        <v>8</v>
      </c>
      <c r="S13" s="1453">
        <f t="shared" si="0"/>
        <v>100</v>
      </c>
      <c r="T13" s="1452" t="s">
        <v>8</v>
      </c>
      <c r="U13" s="1453">
        <f t="shared" si="1"/>
        <v>100</v>
      </c>
      <c r="V13" s="1452" t="s">
        <v>8</v>
      </c>
      <c r="W13" s="1453">
        <f t="shared" si="2"/>
        <v>100</v>
      </c>
      <c r="X13" s="1454"/>
      <c r="Y13" s="3945"/>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057"/>
      <c r="Q14" s="1093">
        <f t="shared" si="6"/>
        <v>111</v>
      </c>
      <c r="R14" s="1452" t="s">
        <v>8</v>
      </c>
      <c r="S14" s="1453">
        <f t="shared" si="0"/>
        <v>100</v>
      </c>
      <c r="T14" s="1452" t="s">
        <v>8</v>
      </c>
      <c r="U14" s="1453">
        <f t="shared" si="1"/>
        <v>100</v>
      </c>
      <c r="V14" s="1452" t="s">
        <v>8</v>
      </c>
      <c r="W14" s="1453">
        <f t="shared" si="2"/>
        <v>100</v>
      </c>
      <c r="X14" s="1454"/>
      <c r="Y14" s="3945"/>
      <c r="Z14" s="1092">
        <f t="shared" si="7"/>
        <v>111</v>
      </c>
      <c r="AA14" s="1455">
        <f t="shared" si="3"/>
        <v>1</v>
      </c>
      <c r="AB14" s="1455">
        <f t="shared" si="4"/>
        <v>1</v>
      </c>
      <c r="AC14" s="1455">
        <f t="shared" si="5"/>
        <v>1</v>
      </c>
    </row>
    <row r="15" spans="1:29" ht="171">
      <c r="A15" s="2556" t="s">
        <v>2520</v>
      </c>
      <c r="B15" s="164" t="s">
        <v>762</v>
      </c>
      <c r="C15" s="889" t="str">
        <f>估价对象房地状况!G3</f>
        <v>估价对象现状周边以产业用地为主，邻近周边有乐铁设备(北京)有限公司、综合信兴物流(南法信卫生院东北)、安博北京首都机场第二物流中心等，物流企业较多，产业集聚程度较好。</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090" t="s">
        <v>518</v>
      </c>
      <c r="Q15" s="1456" t="str">
        <f t="shared" si="6"/>
        <v>产业集聚程度</v>
      </c>
      <c r="R15" s="1457" t="s">
        <v>8</v>
      </c>
      <c r="S15" s="1458">
        <f t="shared" si="0"/>
        <v>100</v>
      </c>
      <c r="T15" s="1457" t="s">
        <v>8</v>
      </c>
      <c r="U15" s="1458">
        <f t="shared" si="1"/>
        <v>100</v>
      </c>
      <c r="V15" s="1457" t="s">
        <v>8</v>
      </c>
      <c r="W15" s="1458">
        <f t="shared" si="2"/>
        <v>100</v>
      </c>
      <c r="X15" s="1451"/>
      <c r="Y15" s="4090"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91"/>
      <c r="Q16" s="1456"/>
      <c r="R16" s="1457"/>
      <c r="S16" s="1458"/>
      <c r="T16" s="1457"/>
      <c r="U16" s="1458"/>
      <c r="V16" s="1457"/>
      <c r="W16" s="1458"/>
      <c r="X16" s="1451"/>
      <c r="Y16" s="4091"/>
      <c r="Z16" s="1459"/>
      <c r="AA16" s="1460">
        <v>1</v>
      </c>
      <c r="AB16" s="1460">
        <v>1</v>
      </c>
      <c r="AC16" s="1460">
        <v>1</v>
      </c>
    </row>
    <row r="17" spans="1:29" ht="156.75">
      <c r="A17" s="507"/>
      <c r="B17" s="839" t="s">
        <v>296</v>
      </c>
      <c r="C17" s="840" t="str">
        <f>估价对象房地状况!G4</f>
        <v>估价对象周边有顺2路、顺27路、顺28路、顺38路、顺43路、顺59路、顺60路等多条公交线路，距地铁15号线（南法信站）约500米，综合评价交通便捷度较好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091"/>
      <c r="Q17" s="1456" t="str">
        <f>B17</f>
        <v>交通便捷度</v>
      </c>
      <c r="R17" s="1457" t="s">
        <v>8</v>
      </c>
      <c r="S17" s="1458">
        <f>F17</f>
        <v>100</v>
      </c>
      <c r="T17" s="1457" t="s">
        <v>8</v>
      </c>
      <c r="U17" s="1458">
        <f>H17</f>
        <v>100</v>
      </c>
      <c r="V17" s="1457" t="s">
        <v>8</v>
      </c>
      <c r="W17" s="1458">
        <f>J17</f>
        <v>100</v>
      </c>
      <c r="X17" s="1451"/>
      <c r="Y17" s="4091"/>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91"/>
      <c r="Q18" s="1456"/>
      <c r="R18" s="1457"/>
      <c r="S18" s="1458"/>
      <c r="T18" s="1457"/>
      <c r="U18" s="1458"/>
      <c r="V18" s="1457"/>
      <c r="W18" s="1458"/>
      <c r="X18" s="1451"/>
      <c r="Y18" s="4091"/>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091"/>
      <c r="Q19" s="1456" t="str">
        <f>B19</f>
        <v>公共配套设施</v>
      </c>
      <c r="R19" s="1457" t="s">
        <v>8</v>
      </c>
      <c r="S19" s="1458">
        <f>F19</f>
        <v>100</v>
      </c>
      <c r="T19" s="1457" t="s">
        <v>8</v>
      </c>
      <c r="U19" s="1458">
        <f>H19</f>
        <v>100</v>
      </c>
      <c r="V19" s="1457" t="s">
        <v>8</v>
      </c>
      <c r="W19" s="1458">
        <f>J19</f>
        <v>100</v>
      </c>
      <c r="X19" s="1451"/>
      <c r="Y19" s="4091"/>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091"/>
      <c r="Q20" s="1456"/>
      <c r="R20" s="1457"/>
      <c r="S20" s="1458"/>
      <c r="T20" s="1457"/>
      <c r="U20" s="1458"/>
      <c r="V20" s="1457"/>
      <c r="W20" s="1458"/>
      <c r="X20" s="1451"/>
      <c r="Y20" s="4091"/>
      <c r="Z20" s="1459"/>
      <c r="AA20" s="1460">
        <v>1</v>
      </c>
      <c r="AB20" s="1460">
        <v>1</v>
      </c>
      <c r="AC20" s="1460">
        <v>1</v>
      </c>
    </row>
    <row r="21" spans="1:29" ht="142.5">
      <c r="A21" s="507"/>
      <c r="B21" s="2369" t="s">
        <v>2326</v>
      </c>
      <c r="C21" s="840" t="str">
        <f>估价对象房地状况!G6</f>
        <v>估价对象所在区域内基础设施配套条件达到“五通”（包括通路、通电、通讯、通上水、通下水），基本能够保证工作、生产需要，基础设施配套完善度一般。</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091"/>
      <c r="Q21" s="2363" t="str">
        <f>B21</f>
        <v>基础设施水平</v>
      </c>
      <c r="R21" s="1457" t="s">
        <v>8</v>
      </c>
      <c r="S21" s="1458">
        <f>F21</f>
        <v>100</v>
      </c>
      <c r="T21" s="1457" t="s">
        <v>8</v>
      </c>
      <c r="U21" s="1458">
        <f>H21</f>
        <v>100</v>
      </c>
      <c r="V21" s="1457" t="s">
        <v>8</v>
      </c>
      <c r="W21" s="1458">
        <f>J21</f>
        <v>100</v>
      </c>
      <c r="X21" s="2365"/>
      <c r="Y21" s="4091"/>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091"/>
      <c r="Q22" s="2363"/>
      <c r="R22" s="1457"/>
      <c r="S22" s="1458"/>
      <c r="T22" s="1457"/>
      <c r="U22" s="1458"/>
      <c r="V22" s="1457"/>
      <c r="W22" s="1458"/>
      <c r="X22" s="2365"/>
      <c r="Y22" s="4091"/>
      <c r="Z22" s="2364"/>
      <c r="AA22" s="1460">
        <v>1</v>
      </c>
      <c r="AB22" s="1460">
        <v>1</v>
      </c>
      <c r="AC22" s="1460">
        <v>1</v>
      </c>
    </row>
    <row r="23" spans="1:29" ht="85.5">
      <c r="A23" s="507"/>
      <c r="B23" s="839" t="s">
        <v>751</v>
      </c>
      <c r="C23" s="840" t="str">
        <f>估价对象房地状况!G7</f>
        <v>区域自然环境：小中河；人文环境：国家新闻出版广电总局研修学院；综合评价环境状况一般</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091"/>
      <c r="Q23" s="1456" t="str">
        <f>B23</f>
        <v>环境质量</v>
      </c>
      <c r="R23" s="1457" t="s">
        <v>8</v>
      </c>
      <c r="S23" s="1458">
        <f>F23</f>
        <v>100</v>
      </c>
      <c r="T23" s="1457" t="s">
        <v>8</v>
      </c>
      <c r="U23" s="1458">
        <f>H23</f>
        <v>100</v>
      </c>
      <c r="V23" s="1457" t="s">
        <v>8</v>
      </c>
      <c r="W23" s="1458">
        <f>J23</f>
        <v>100</v>
      </c>
      <c r="X23" s="1451"/>
      <c r="Y23" s="4091"/>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091"/>
      <c r="Q24" s="1456"/>
      <c r="R24" s="1457"/>
      <c r="S24" s="1458"/>
      <c r="T24" s="1457"/>
      <c r="U24" s="1458"/>
      <c r="V24" s="1457"/>
      <c r="W24" s="1458"/>
      <c r="X24" s="1451"/>
      <c r="Y24" s="4091"/>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091"/>
      <c r="Q25" s="1456">
        <f>B25</f>
        <v>111</v>
      </c>
      <c r="R25" s="1457" t="s">
        <v>8</v>
      </c>
      <c r="S25" s="1458">
        <f>F25</f>
        <v>100</v>
      </c>
      <c r="T25" s="1457" t="s">
        <v>8</v>
      </c>
      <c r="U25" s="1458">
        <f>H25</f>
        <v>100</v>
      </c>
      <c r="V25" s="1457" t="s">
        <v>8</v>
      </c>
      <c r="W25" s="1458">
        <f>J25</f>
        <v>100</v>
      </c>
      <c r="X25" s="1451"/>
      <c r="Y25" s="4091"/>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091"/>
      <c r="Q26" s="1456">
        <f t="shared" ref="Q26:Q40" si="11">B26</f>
        <v>111</v>
      </c>
      <c r="R26" s="1457" t="s">
        <v>8</v>
      </c>
      <c r="S26" s="1458">
        <f>F26</f>
        <v>100</v>
      </c>
      <c r="T26" s="1457" t="s">
        <v>8</v>
      </c>
      <c r="U26" s="1458">
        <f>H26</f>
        <v>100</v>
      </c>
      <c r="V26" s="1457" t="s">
        <v>8</v>
      </c>
      <c r="W26" s="1458">
        <f>J26</f>
        <v>100</v>
      </c>
      <c r="X26" s="1451"/>
      <c r="Y26" s="4091"/>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091"/>
      <c r="Q27" s="1093">
        <f t="shared" si="11"/>
        <v>111</v>
      </c>
      <c r="R27" s="1452" t="s">
        <v>8</v>
      </c>
      <c r="S27" s="1453">
        <f>F27</f>
        <v>100</v>
      </c>
      <c r="T27" s="1452" t="s">
        <v>8</v>
      </c>
      <c r="U27" s="1453">
        <f>H27</f>
        <v>100</v>
      </c>
      <c r="V27" s="1452" t="s">
        <v>8</v>
      </c>
      <c r="W27" s="1453">
        <f>J27</f>
        <v>100</v>
      </c>
      <c r="X27" s="1454"/>
      <c r="Y27" s="4091"/>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091"/>
      <c r="Q28" s="1456">
        <f t="shared" si="11"/>
        <v>111</v>
      </c>
      <c r="R28" s="1457" t="s">
        <v>8</v>
      </c>
      <c r="S28" s="1458">
        <f t="shared" ref="S28:S40" si="12">F28</f>
        <v>100</v>
      </c>
      <c r="T28" s="1457" t="s">
        <v>8</v>
      </c>
      <c r="U28" s="1458">
        <f t="shared" ref="U28:U40" si="13">H28</f>
        <v>100</v>
      </c>
      <c r="V28" s="1457" t="s">
        <v>8</v>
      </c>
      <c r="W28" s="1458">
        <f t="shared" ref="W28:W40" si="14">J28</f>
        <v>100</v>
      </c>
      <c r="X28" s="1451"/>
      <c r="Y28" s="4091"/>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092" t="s">
        <v>528</v>
      </c>
      <c r="Q29" s="1456" t="str">
        <f t="shared" si="11"/>
        <v>建筑类型</v>
      </c>
      <c r="R29" s="1457" t="s">
        <v>8</v>
      </c>
      <c r="S29" s="1458">
        <f t="shared" si="12"/>
        <v>100</v>
      </c>
      <c r="T29" s="1457" t="s">
        <v>8</v>
      </c>
      <c r="U29" s="1458">
        <f t="shared" si="13"/>
        <v>100</v>
      </c>
      <c r="V29" s="1457" t="s">
        <v>8</v>
      </c>
      <c r="W29" s="1458">
        <f t="shared" si="14"/>
        <v>100</v>
      </c>
      <c r="X29" s="1451"/>
      <c r="Y29" s="4093"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093"/>
      <c r="Q30" s="1485" t="str">
        <f t="shared" si="11"/>
        <v>项目建筑规模</v>
      </c>
      <c r="R30" s="1461" t="s">
        <v>8</v>
      </c>
      <c r="S30" s="1462" t="e">
        <f t="shared" si="12"/>
        <v>#N/A</v>
      </c>
      <c r="T30" s="1461" t="s">
        <v>8</v>
      </c>
      <c r="U30" s="1462" t="e">
        <f t="shared" si="13"/>
        <v>#N/A</v>
      </c>
      <c r="V30" s="1461" t="s">
        <v>8</v>
      </c>
      <c r="W30" s="1462" t="e">
        <f t="shared" si="14"/>
        <v>#N/A</v>
      </c>
      <c r="X30" s="1463"/>
      <c r="Y30" s="4093"/>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093"/>
      <c r="Q31" s="1456" t="str">
        <f t="shared" si="11"/>
        <v>建筑结构</v>
      </c>
      <c r="R31" s="1457" t="s">
        <v>8</v>
      </c>
      <c r="S31" s="1458">
        <f t="shared" si="12"/>
        <v>100</v>
      </c>
      <c r="T31" s="1457" t="s">
        <v>8</v>
      </c>
      <c r="U31" s="1458">
        <f t="shared" si="13"/>
        <v>100</v>
      </c>
      <c r="V31" s="1457" t="s">
        <v>8</v>
      </c>
      <c r="W31" s="1458">
        <f t="shared" si="14"/>
        <v>100</v>
      </c>
      <c r="X31" s="1451"/>
      <c r="Y31" s="4093"/>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093"/>
      <c r="Q32" s="1456" t="str">
        <f t="shared" si="11"/>
        <v>公共部分装修</v>
      </c>
      <c r="R32" s="1457" t="s">
        <v>8</v>
      </c>
      <c r="S32" s="1458">
        <f t="shared" si="12"/>
        <v>100</v>
      </c>
      <c r="T32" s="1457" t="s">
        <v>8</v>
      </c>
      <c r="U32" s="1458">
        <f t="shared" si="13"/>
        <v>100</v>
      </c>
      <c r="V32" s="1457" t="s">
        <v>8</v>
      </c>
      <c r="W32" s="1458">
        <f t="shared" si="14"/>
        <v>100</v>
      </c>
      <c r="X32" s="1451"/>
      <c r="Y32" s="4093"/>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093"/>
      <c r="Q33" s="1456" t="str">
        <f t="shared" si="11"/>
        <v>成新度</v>
      </c>
      <c r="R33" s="1457" t="s">
        <v>8</v>
      </c>
      <c r="S33" s="1458" t="e">
        <f t="shared" si="12"/>
        <v>#N/A</v>
      </c>
      <c r="T33" s="1457" t="s">
        <v>8</v>
      </c>
      <c r="U33" s="1458" t="e">
        <f t="shared" si="13"/>
        <v>#N/A</v>
      </c>
      <c r="V33" s="1457" t="s">
        <v>8</v>
      </c>
      <c r="W33" s="1458" t="e">
        <f t="shared" si="14"/>
        <v>#N/A</v>
      </c>
      <c r="X33" s="1451"/>
      <c r="Y33" s="4093"/>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093"/>
      <c r="Q34" s="1093" t="str">
        <f t="shared" si="11"/>
        <v>物业管理</v>
      </c>
      <c r="R34" s="1452" t="s">
        <v>8</v>
      </c>
      <c r="S34" s="1453">
        <f t="shared" si="12"/>
        <v>100</v>
      </c>
      <c r="T34" s="1452" t="s">
        <v>8</v>
      </c>
      <c r="U34" s="1453">
        <f t="shared" si="13"/>
        <v>100</v>
      </c>
      <c r="V34" s="1452" t="s">
        <v>8</v>
      </c>
      <c r="W34" s="1453">
        <f t="shared" si="14"/>
        <v>100</v>
      </c>
      <c r="X34" s="1454"/>
      <c r="Y34" s="4093"/>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093" t="s">
        <v>528</v>
      </c>
      <c r="Q35" s="1456" t="str">
        <f t="shared" si="11"/>
        <v>市政基础设施</v>
      </c>
      <c r="R35" s="1457" t="s">
        <v>8</v>
      </c>
      <c r="S35" s="1458">
        <f t="shared" si="12"/>
        <v>100</v>
      </c>
      <c r="T35" s="1457" t="s">
        <v>8</v>
      </c>
      <c r="U35" s="1458">
        <f t="shared" si="13"/>
        <v>100</v>
      </c>
      <c r="V35" s="1457" t="s">
        <v>8</v>
      </c>
      <c r="W35" s="1458">
        <f t="shared" si="14"/>
        <v>100</v>
      </c>
      <c r="X35" s="1451"/>
      <c r="Y35" s="4093"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093"/>
      <c r="Q36" s="1456" t="str">
        <f t="shared" si="11"/>
        <v>内部装修</v>
      </c>
      <c r="R36" s="1457" t="s">
        <v>8</v>
      </c>
      <c r="S36" s="1458">
        <f t="shared" si="12"/>
        <v>100</v>
      </c>
      <c r="T36" s="1457" t="s">
        <v>8</v>
      </c>
      <c r="U36" s="1458">
        <f t="shared" si="13"/>
        <v>100</v>
      </c>
      <c r="V36" s="1457" t="s">
        <v>8</v>
      </c>
      <c r="W36" s="1458">
        <f t="shared" si="14"/>
        <v>100</v>
      </c>
      <c r="X36" s="1451"/>
      <c r="Y36" s="4093"/>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093"/>
      <c r="Q37" s="1456" t="str">
        <f t="shared" si="11"/>
        <v>内部装修状况</v>
      </c>
      <c r="R37" s="1457" t="s">
        <v>8</v>
      </c>
      <c r="S37" s="1458">
        <f t="shared" si="12"/>
        <v>100</v>
      </c>
      <c r="T37" s="1457" t="s">
        <v>8</v>
      </c>
      <c r="U37" s="1458">
        <f t="shared" si="13"/>
        <v>100</v>
      </c>
      <c r="V37" s="1457" t="s">
        <v>8</v>
      </c>
      <c r="W37" s="1458">
        <f t="shared" si="14"/>
        <v>100</v>
      </c>
      <c r="X37" s="1451"/>
      <c r="Y37" s="4093"/>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093"/>
      <c r="Q38" s="1485">
        <f t="shared" si="11"/>
        <v>111</v>
      </c>
      <c r="R38" s="1461" t="s">
        <v>8</v>
      </c>
      <c r="S38" s="1462">
        <f t="shared" si="12"/>
        <v>100</v>
      </c>
      <c r="T38" s="1461" t="s">
        <v>8</v>
      </c>
      <c r="U38" s="1462">
        <f t="shared" si="13"/>
        <v>100</v>
      </c>
      <c r="V38" s="1461" t="s">
        <v>8</v>
      </c>
      <c r="W38" s="1462">
        <f t="shared" si="14"/>
        <v>100</v>
      </c>
      <c r="X38" s="1463"/>
      <c r="Y38" s="4093"/>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093"/>
      <c r="Q39" s="1456">
        <f t="shared" si="11"/>
        <v>111</v>
      </c>
      <c r="R39" s="1457" t="s">
        <v>8</v>
      </c>
      <c r="S39" s="1458">
        <f t="shared" si="12"/>
        <v>100</v>
      </c>
      <c r="T39" s="1457" t="s">
        <v>8</v>
      </c>
      <c r="U39" s="1458">
        <f t="shared" si="13"/>
        <v>100</v>
      </c>
      <c r="V39" s="1457" t="s">
        <v>8</v>
      </c>
      <c r="W39" s="1458">
        <f t="shared" si="14"/>
        <v>100</v>
      </c>
      <c r="X39" s="1451"/>
      <c r="Y39" s="4093"/>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196"/>
      <c r="Q40" s="1456">
        <f t="shared" si="11"/>
        <v>111</v>
      </c>
      <c r="R40" s="1457" t="s">
        <v>8</v>
      </c>
      <c r="S40" s="1458">
        <f t="shared" si="12"/>
        <v>100</v>
      </c>
      <c r="T40" s="1457" t="s">
        <v>8</v>
      </c>
      <c r="U40" s="1458">
        <f t="shared" si="13"/>
        <v>100</v>
      </c>
      <c r="V40" s="1457" t="s">
        <v>8</v>
      </c>
      <c r="W40" s="1458">
        <f t="shared" si="14"/>
        <v>100</v>
      </c>
      <c r="X40" s="1451"/>
      <c r="Y40" s="4196"/>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057" t="str">
        <f>A41</f>
        <v>成交单价（元/平方米）</v>
      </c>
      <c r="Q41" s="4057"/>
      <c r="R41" s="4195">
        <f>E41</f>
        <v>0</v>
      </c>
      <c r="S41" s="4195"/>
      <c r="T41" s="4195">
        <f>G41</f>
        <v>0</v>
      </c>
      <c r="U41" s="4195"/>
      <c r="V41" s="4195">
        <f>I41</f>
        <v>0</v>
      </c>
      <c r="W41" s="4195"/>
      <c r="X41" s="1446"/>
      <c r="Y41" s="1465"/>
      <c r="Z41" s="1446"/>
      <c r="AA41" s="1446"/>
      <c r="AB41" s="1446"/>
      <c r="AC41" s="1446"/>
    </row>
    <row r="42" spans="1:29" ht="15.75" thickBot="1">
      <c r="A42" s="590" t="s">
        <v>2526</v>
      </c>
      <c r="B42" s="856"/>
      <c r="C42" s="2407" t="e">
        <f>R43</f>
        <v>#DIV/0!</v>
      </c>
      <c r="D42" s="2931" t="s">
        <v>2747</v>
      </c>
      <c r="E42" s="2408" t="e">
        <f>R42</f>
        <v>#DIV/0!</v>
      </c>
      <c r="F42" s="2932"/>
      <c r="G42" s="2407" t="e">
        <f>T42</f>
        <v>#DIV/0!</v>
      </c>
      <c r="H42" s="2932"/>
      <c r="I42" s="2408" t="e">
        <f>V42</f>
        <v>#DIV/0!</v>
      </c>
      <c r="J42" s="2932"/>
      <c r="K42" s="2940">
        <f>F42+H42+J42</f>
        <v>0</v>
      </c>
      <c r="L42" s="1963"/>
      <c r="M42" s="1964"/>
      <c r="N42" s="1953"/>
      <c r="O42" s="1964"/>
      <c r="P42" s="4057" t="str">
        <f>A42</f>
        <v>比较价格（元/平方米）</v>
      </c>
      <c r="Q42" s="4057"/>
      <c r="R42" s="4195" t="e">
        <f>IF(F1="售价",ROUND(PRODUCT(R41,AA7:AA40),0),ROUND(PRODUCT(R41,AA7:AA40),1))</f>
        <v>#DIV/0!</v>
      </c>
      <c r="S42" s="4195"/>
      <c r="T42" s="4195" t="e">
        <f>IF(F1="售价",ROUND(PRODUCT(T41,AB7:AB40),0),ROUND(PRODUCT(T41,AB7:AB40),1))</f>
        <v>#DIV/0!</v>
      </c>
      <c r="U42" s="4195"/>
      <c r="V42" s="4195" t="e">
        <f>IF(F1="售价",ROUND(PRODUCT(V41,AC7:AC40),0),ROUND(PRODUCT(V41,AC7:AC40),1))</f>
        <v>#DIV/0!</v>
      </c>
      <c r="W42" s="4195"/>
      <c r="X42" s="1446"/>
      <c r="Y42" s="1446"/>
      <c r="Z42" s="1446"/>
      <c r="AA42" s="1446"/>
      <c r="AB42" s="1446"/>
      <c r="AC42" s="1446"/>
    </row>
    <row r="43" spans="1:29" ht="15.75" thickBot="1">
      <c r="A43" s="594" t="s">
        <v>2684</v>
      </c>
      <c r="B43" s="595"/>
      <c r="C43" s="2409" t="e">
        <f>R43</f>
        <v>#DIV/0!</v>
      </c>
      <c r="D43" s="2409"/>
      <c r="E43" s="2409"/>
      <c r="F43" s="2409"/>
      <c r="G43" s="2409"/>
      <c r="H43" s="2409"/>
      <c r="I43" s="2409"/>
      <c r="J43" s="2409"/>
      <c r="K43" s="1491"/>
      <c r="L43" s="1963"/>
      <c r="M43" s="1964"/>
      <c r="N43" s="1964"/>
      <c r="O43" s="1964"/>
      <c r="P43" s="4094" t="str">
        <f>A43</f>
        <v>估价对象XX用房的比较价格（楼面单价，元/平方米）</v>
      </c>
      <c r="Q43" s="4095"/>
      <c r="R43" s="4194" t="e">
        <f>IF(F1="售价",ROUND(IF(D42="简单平均",AVERAGE(R42:V42),R42*F42+T42*H42+V42*J42),0),ROUND(IF(D42="简单平均",AVERAGE(R42:V42),R42*F42+T42*H42+V42*J42),1))</f>
        <v>#DIV/0!</v>
      </c>
      <c r="S43" s="4194"/>
      <c r="T43" s="4194"/>
      <c r="U43" s="4194"/>
      <c r="V43" s="4194"/>
      <c r="W43" s="4194"/>
      <c r="X43" s="1446"/>
      <c r="Y43" s="1446"/>
      <c r="Z43" s="1446"/>
      <c r="AA43" s="1446"/>
      <c r="AB43" s="1446"/>
      <c r="AC43" s="1446"/>
    </row>
    <row r="44" spans="1:29">
      <c r="A44" s="3128"/>
      <c r="B44" s="3128"/>
      <c r="C44" s="3128"/>
      <c r="D44" s="3128"/>
      <c r="E44" s="3128"/>
      <c r="F44" s="3128"/>
      <c r="G44" s="3130"/>
      <c r="H44" s="3128"/>
      <c r="I44" s="3128"/>
      <c r="J44" s="3128"/>
      <c r="K44" s="3131"/>
      <c r="L44" s="1968"/>
      <c r="M44" s="1964"/>
      <c r="N44" s="1964"/>
      <c r="O44" s="1964"/>
      <c r="P44" s="1964"/>
      <c r="Q44" s="1964"/>
      <c r="R44" s="1964"/>
      <c r="S44" s="1964"/>
      <c r="T44" s="1964"/>
      <c r="U44" s="1964"/>
      <c r="V44" s="1964"/>
      <c r="W44" s="1964"/>
      <c r="X44" s="1964"/>
      <c r="Y44" s="1964"/>
      <c r="Z44" s="1964"/>
      <c r="AA44" s="1964"/>
      <c r="AB44" s="1964"/>
      <c r="AC44" s="1964"/>
    </row>
    <row r="45" spans="1:29">
      <c r="A45" s="3128"/>
      <c r="B45" s="3128"/>
      <c r="C45" s="3128"/>
      <c r="D45" s="3128"/>
      <c r="E45" s="3128"/>
      <c r="F45" s="3128"/>
      <c r="G45" s="3128"/>
      <c r="H45" s="3128"/>
      <c r="I45" s="3128"/>
      <c r="J45" s="3128"/>
      <c r="K45" s="3131"/>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28"/>
      <c r="B46" s="3128"/>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1"/>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28"/>
      <c r="B47" s="3128"/>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1"/>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29"/>
      <c r="B48" s="3129"/>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2"/>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2022-11</v>
      </c>
      <c r="D52" s="2450">
        <f>EDATE(C52,-1)</f>
        <v>44835</v>
      </c>
      <c r="E52" s="2450">
        <f t="shared" ref="E52:O52" si="16">EDATE(D52,-1)</f>
        <v>44805</v>
      </c>
      <c r="F52" s="2450">
        <f t="shared" si="16"/>
        <v>44774</v>
      </c>
      <c r="G52" s="2450">
        <f t="shared" si="16"/>
        <v>44743</v>
      </c>
      <c r="H52" s="2450">
        <f t="shared" si="16"/>
        <v>44713</v>
      </c>
      <c r="I52" s="2450">
        <f t="shared" si="16"/>
        <v>44682</v>
      </c>
      <c r="J52" s="2450">
        <f t="shared" si="16"/>
        <v>44652</v>
      </c>
      <c r="K52" s="2450">
        <f t="shared" si="16"/>
        <v>44621</v>
      </c>
      <c r="L52" s="2450">
        <f t="shared" si="16"/>
        <v>44593</v>
      </c>
      <c r="M52" s="2450">
        <f t="shared" si="16"/>
        <v>44562</v>
      </c>
      <c r="N52" s="2450">
        <f t="shared" si="16"/>
        <v>44531</v>
      </c>
      <c r="O52" s="2450">
        <f t="shared" si="16"/>
        <v>44501</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63" t="s">
        <v>771</v>
      </c>
      <c r="D4" s="4064"/>
      <c r="E4" s="4063" t="s">
        <v>772</v>
      </c>
      <c r="F4" s="4064"/>
      <c r="G4" s="4063" t="s">
        <v>773</v>
      </c>
      <c r="H4" s="4064"/>
      <c r="I4" s="4063" t="s">
        <v>774</v>
      </c>
      <c r="J4" s="4064"/>
      <c r="K4" s="489" t="s">
        <v>775</v>
      </c>
      <c r="L4" s="1952"/>
      <c r="M4" s="1953"/>
      <c r="N4" s="1953"/>
      <c r="O4" s="1953"/>
      <c r="P4" s="4065" t="s">
        <v>776</v>
      </c>
      <c r="Q4" s="4066"/>
      <c r="R4" s="4071" t="s">
        <v>772</v>
      </c>
      <c r="S4" s="4072"/>
      <c r="T4" s="4071" t="s">
        <v>773</v>
      </c>
      <c r="U4" s="4072"/>
      <c r="V4" s="4058" t="s">
        <v>774</v>
      </c>
      <c r="W4" s="4058"/>
      <c r="X4" s="1451"/>
      <c r="Y4" s="4071" t="s">
        <v>776</v>
      </c>
      <c r="Z4" s="4072"/>
      <c r="AA4" s="4060" t="s">
        <v>772</v>
      </c>
      <c r="AB4" s="4061" t="s">
        <v>773</v>
      </c>
      <c r="AC4" s="4060" t="s">
        <v>774</v>
      </c>
    </row>
    <row r="5" spans="1:29" ht="15">
      <c r="A5" s="490"/>
      <c r="B5" s="491"/>
      <c r="C5" s="4079" t="s">
        <v>2678</v>
      </c>
      <c r="D5" s="4080"/>
      <c r="E5" s="4079" t="s">
        <v>2679</v>
      </c>
      <c r="F5" s="4080"/>
      <c r="G5" s="4079" t="s">
        <v>2680</v>
      </c>
      <c r="H5" s="4080"/>
      <c r="I5" s="4079" t="s">
        <v>2681</v>
      </c>
      <c r="J5" s="4080"/>
      <c r="K5" s="489"/>
      <c r="L5" s="1952"/>
      <c r="M5" s="1953"/>
      <c r="N5" s="1953"/>
      <c r="O5" s="1953"/>
      <c r="P5" s="4067"/>
      <c r="Q5" s="4068"/>
      <c r="R5" s="4073"/>
      <c r="S5" s="4074"/>
      <c r="T5" s="4073"/>
      <c r="U5" s="4074"/>
      <c r="V5" s="4058"/>
      <c r="W5" s="4058"/>
      <c r="X5" s="1451"/>
      <c r="Y5" s="4073"/>
      <c r="Z5" s="4074"/>
      <c r="AA5" s="4061"/>
      <c r="AB5" s="4061"/>
      <c r="AC5" s="4061"/>
    </row>
    <row r="6" spans="1:29" ht="15.75" thickBot="1">
      <c r="A6" s="492"/>
      <c r="B6" s="493"/>
      <c r="C6" s="4077" t="s">
        <v>2682</v>
      </c>
      <c r="D6" s="4078"/>
      <c r="E6" s="4081" t="s">
        <v>2682</v>
      </c>
      <c r="F6" s="4082"/>
      <c r="G6" s="4077" t="s">
        <v>2682</v>
      </c>
      <c r="H6" s="4078"/>
      <c r="I6" s="4077" t="s">
        <v>2682</v>
      </c>
      <c r="J6" s="4078"/>
      <c r="K6" s="489" t="s">
        <v>506</v>
      </c>
      <c r="L6" s="1952"/>
      <c r="M6" s="1953"/>
      <c r="N6" s="1953"/>
      <c r="O6" s="1953"/>
      <c r="P6" s="4069"/>
      <c r="Q6" s="4070"/>
      <c r="R6" s="4073"/>
      <c r="S6" s="4074"/>
      <c r="T6" s="4075"/>
      <c r="U6" s="4076"/>
      <c r="V6" s="4058"/>
      <c r="W6" s="4058"/>
      <c r="X6" s="1451"/>
      <c r="Y6" s="4075"/>
      <c r="Z6" s="4076"/>
      <c r="AA6" s="4062"/>
      <c r="AB6" s="4062"/>
      <c r="AC6" s="4062"/>
    </row>
    <row r="7" spans="1:29" s="1162" customFormat="1" ht="15.75" thickBot="1">
      <c r="A7" s="2558"/>
      <c r="B7" s="2565" t="s">
        <v>507</v>
      </c>
      <c r="C7" s="494">
        <f>'数据-取费表'!B2</f>
        <v>44867</v>
      </c>
      <c r="D7" s="495">
        <v>100</v>
      </c>
      <c r="E7" s="496"/>
      <c r="F7" s="497">
        <f>SUMIF(48:48,YEAR(E7)&amp;"-"&amp;MONTH(E7),49:49)</f>
        <v>0</v>
      </c>
      <c r="G7" s="498"/>
      <c r="H7" s="495">
        <f>SUMIF(48:48,YEAR(G7)&amp;"-"&amp;MONTH(G7),49:49)</f>
        <v>0</v>
      </c>
      <c r="I7" s="498"/>
      <c r="J7" s="495">
        <f>SUMIF(48:48,YEAR(I7)&amp;"-"&amp;MONTH(I7),49:49)</f>
        <v>0</v>
      </c>
      <c r="K7" s="499"/>
      <c r="L7" s="1954"/>
      <c r="M7" s="1955"/>
      <c r="N7" s="1955"/>
      <c r="O7" s="1955"/>
      <c r="P7" s="4087" t="s">
        <v>508</v>
      </c>
      <c r="Q7" s="4089"/>
      <c r="R7" s="1452" t="s">
        <v>8</v>
      </c>
      <c r="S7" s="1453">
        <f t="shared" ref="S7:S14" si="0">F7</f>
        <v>0</v>
      </c>
      <c r="T7" s="1452" t="s">
        <v>8</v>
      </c>
      <c r="U7" s="1453">
        <f t="shared" ref="U7:U14" si="1">H7</f>
        <v>0</v>
      </c>
      <c r="V7" s="1452" t="s">
        <v>8</v>
      </c>
      <c r="W7" s="1453">
        <f t="shared" ref="W7:W14" si="2">J7</f>
        <v>0</v>
      </c>
      <c r="X7" s="1454"/>
      <c r="Y7" s="4087" t="s">
        <v>508</v>
      </c>
      <c r="Z7" s="4088"/>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087" t="s">
        <v>511</v>
      </c>
      <c r="Q8" s="4088"/>
      <c r="R8" s="1452" t="s">
        <v>8</v>
      </c>
      <c r="S8" s="1453">
        <f t="shared" si="0"/>
        <v>0</v>
      </c>
      <c r="T8" s="1452" t="s">
        <v>8</v>
      </c>
      <c r="U8" s="1453">
        <f t="shared" si="1"/>
        <v>0</v>
      </c>
      <c r="V8" s="1452" t="s">
        <v>8</v>
      </c>
      <c r="W8" s="1453">
        <f t="shared" si="2"/>
        <v>0</v>
      </c>
      <c r="X8" s="1454"/>
      <c r="Y8" s="4087" t="s">
        <v>511</v>
      </c>
      <c r="Z8" s="4088"/>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057" t="s">
        <v>513</v>
      </c>
      <c r="Q9" s="1093" t="str">
        <f t="shared" ref="Q9:Q14" si="6">B9</f>
        <v>用途</v>
      </c>
      <c r="R9" s="1452" t="s">
        <v>8</v>
      </c>
      <c r="S9" s="1453">
        <f t="shared" si="0"/>
        <v>100</v>
      </c>
      <c r="T9" s="1452" t="s">
        <v>8</v>
      </c>
      <c r="U9" s="1453">
        <f t="shared" si="1"/>
        <v>100</v>
      </c>
      <c r="V9" s="1452" t="s">
        <v>8</v>
      </c>
      <c r="W9" s="1453">
        <f t="shared" si="2"/>
        <v>100</v>
      </c>
      <c r="X9" s="1454"/>
      <c r="Y9" s="3945"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057"/>
      <c r="Q10" s="1093" t="str">
        <f t="shared" si="6"/>
        <v>土地使用年限（年）</v>
      </c>
      <c r="R10" s="1452" t="s">
        <v>8</v>
      </c>
      <c r="S10" s="1453">
        <f t="shared" si="0"/>
        <v>100</v>
      </c>
      <c r="T10" s="1452" t="s">
        <v>8</v>
      </c>
      <c r="U10" s="1453">
        <f t="shared" si="1"/>
        <v>100</v>
      </c>
      <c r="V10" s="1452" t="s">
        <v>8</v>
      </c>
      <c r="W10" s="1453">
        <f t="shared" si="2"/>
        <v>100</v>
      </c>
      <c r="X10" s="1454"/>
      <c r="Y10" s="3945"/>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057"/>
      <c r="Q11" s="1093">
        <f t="shared" si="6"/>
        <v>111</v>
      </c>
      <c r="R11" s="1452" t="s">
        <v>8</v>
      </c>
      <c r="S11" s="1453">
        <f t="shared" si="0"/>
        <v>100</v>
      </c>
      <c r="T11" s="1452" t="s">
        <v>8</v>
      </c>
      <c r="U11" s="1453">
        <f t="shared" si="1"/>
        <v>100</v>
      </c>
      <c r="V11" s="1452" t="s">
        <v>8</v>
      </c>
      <c r="W11" s="1453">
        <f t="shared" si="2"/>
        <v>100</v>
      </c>
      <c r="X11" s="1454"/>
      <c r="Y11" s="3945"/>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057"/>
      <c r="Q12" s="1093">
        <f t="shared" si="6"/>
        <v>111</v>
      </c>
      <c r="R12" s="1452" t="s">
        <v>8</v>
      </c>
      <c r="S12" s="1453">
        <f t="shared" si="0"/>
        <v>100</v>
      </c>
      <c r="T12" s="1452" t="s">
        <v>8</v>
      </c>
      <c r="U12" s="1453">
        <f t="shared" si="1"/>
        <v>100</v>
      </c>
      <c r="V12" s="1452" t="s">
        <v>8</v>
      </c>
      <c r="W12" s="1453">
        <f t="shared" si="2"/>
        <v>100</v>
      </c>
      <c r="X12" s="1454"/>
      <c r="Y12" s="3945"/>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057"/>
      <c r="Q13" s="1093">
        <f t="shared" si="6"/>
        <v>111</v>
      </c>
      <c r="R13" s="1452" t="s">
        <v>8</v>
      </c>
      <c r="S13" s="1453">
        <f t="shared" si="0"/>
        <v>100</v>
      </c>
      <c r="T13" s="1452" t="s">
        <v>8</v>
      </c>
      <c r="U13" s="1453">
        <f t="shared" si="1"/>
        <v>100</v>
      </c>
      <c r="V13" s="1452" t="s">
        <v>8</v>
      </c>
      <c r="W13" s="1453">
        <f t="shared" si="2"/>
        <v>100</v>
      </c>
      <c r="X13" s="1454"/>
      <c r="Y13" s="3945"/>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090" t="s">
        <v>518</v>
      </c>
      <c r="Q14" s="1456" t="str">
        <f t="shared" si="6"/>
        <v>交通便捷度</v>
      </c>
      <c r="R14" s="1457" t="s">
        <v>8</v>
      </c>
      <c r="S14" s="1458">
        <f t="shared" si="0"/>
        <v>100</v>
      </c>
      <c r="T14" s="1457" t="s">
        <v>8</v>
      </c>
      <c r="U14" s="1458">
        <f t="shared" si="1"/>
        <v>100</v>
      </c>
      <c r="V14" s="1457" t="s">
        <v>8</v>
      </c>
      <c r="W14" s="1458">
        <f t="shared" si="2"/>
        <v>100</v>
      </c>
      <c r="X14" s="1451"/>
      <c r="Y14" s="4090"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091"/>
      <c r="Q15" s="1456"/>
      <c r="R15" s="1457"/>
      <c r="S15" s="1458"/>
      <c r="T15" s="1457"/>
      <c r="U15" s="1458"/>
      <c r="V15" s="1457"/>
      <c r="W15" s="1458"/>
      <c r="X15" s="1451"/>
      <c r="Y15" s="4091"/>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091"/>
      <c r="Q16" s="1456" t="str">
        <f>B16</f>
        <v>公共配套设施</v>
      </c>
      <c r="R16" s="1457" t="s">
        <v>8</v>
      </c>
      <c r="S16" s="1458">
        <f>F16</f>
        <v>100</v>
      </c>
      <c r="T16" s="1457" t="s">
        <v>8</v>
      </c>
      <c r="U16" s="1458">
        <f>H16</f>
        <v>100</v>
      </c>
      <c r="V16" s="1457" t="s">
        <v>8</v>
      </c>
      <c r="W16" s="1458">
        <f>J16</f>
        <v>100</v>
      </c>
      <c r="X16" s="1451"/>
      <c r="Y16" s="4091"/>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091"/>
      <c r="Q17" s="1456"/>
      <c r="R17" s="1457"/>
      <c r="S17" s="1458"/>
      <c r="T17" s="1457"/>
      <c r="U17" s="1458"/>
      <c r="V17" s="1457"/>
      <c r="W17" s="1458"/>
      <c r="X17" s="1451"/>
      <c r="Y17" s="4091"/>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091"/>
      <c r="Q18" s="2363" t="str">
        <f>B18</f>
        <v>基础设施水平</v>
      </c>
      <c r="R18" s="1457" t="s">
        <v>8</v>
      </c>
      <c r="S18" s="1458">
        <f>F18</f>
        <v>100</v>
      </c>
      <c r="T18" s="1457" t="s">
        <v>8</v>
      </c>
      <c r="U18" s="1458">
        <f>H18</f>
        <v>100</v>
      </c>
      <c r="V18" s="1457" t="s">
        <v>8</v>
      </c>
      <c r="W18" s="1458">
        <f>J18</f>
        <v>100</v>
      </c>
      <c r="X18" s="2365"/>
      <c r="Y18" s="4091"/>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091"/>
      <c r="Q19" s="2363"/>
      <c r="R19" s="1457"/>
      <c r="S19" s="1458"/>
      <c r="T19" s="1457"/>
      <c r="U19" s="1458"/>
      <c r="V19" s="1457"/>
      <c r="W19" s="1458"/>
      <c r="X19" s="2365"/>
      <c r="Y19" s="4091"/>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091"/>
      <c r="Q20" s="1456" t="str">
        <f>B20</f>
        <v>自然及人文环境</v>
      </c>
      <c r="R20" s="1457" t="s">
        <v>8</v>
      </c>
      <c r="S20" s="1458">
        <f>F20</f>
        <v>100</v>
      </c>
      <c r="T20" s="1457" t="s">
        <v>8</v>
      </c>
      <c r="U20" s="1458">
        <f>H20</f>
        <v>100</v>
      </c>
      <c r="V20" s="1457" t="s">
        <v>8</v>
      </c>
      <c r="W20" s="1458">
        <f>J20</f>
        <v>100</v>
      </c>
      <c r="X20" s="1451"/>
      <c r="Y20" s="4091"/>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091"/>
      <c r="Q21" s="1456"/>
      <c r="R21" s="1457"/>
      <c r="S21" s="1458"/>
      <c r="T21" s="1457"/>
      <c r="U21" s="1458"/>
      <c r="V21" s="1457"/>
      <c r="W21" s="1458"/>
      <c r="X21" s="1451"/>
      <c r="Y21" s="4091"/>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091"/>
      <c r="Q22" s="1456" t="str">
        <f>B22</f>
        <v>楼层</v>
      </c>
      <c r="R22" s="1457" t="s">
        <v>8</v>
      </c>
      <c r="S22" s="1458">
        <f>F22</f>
        <v>100</v>
      </c>
      <c r="T22" s="1457" t="s">
        <v>8</v>
      </c>
      <c r="U22" s="1458">
        <f>H22</f>
        <v>100</v>
      </c>
      <c r="V22" s="1457" t="s">
        <v>8</v>
      </c>
      <c r="W22" s="1458">
        <f>J22</f>
        <v>100</v>
      </c>
      <c r="X22" s="1451"/>
      <c r="Y22" s="4091"/>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091"/>
      <c r="Q23" s="1456">
        <f>B23</f>
        <v>111</v>
      </c>
      <c r="R23" s="1457" t="s">
        <v>8</v>
      </c>
      <c r="S23" s="1458">
        <f>F23</f>
        <v>100</v>
      </c>
      <c r="T23" s="1457" t="s">
        <v>8</v>
      </c>
      <c r="U23" s="1458">
        <f>H23</f>
        <v>100</v>
      </c>
      <c r="V23" s="1457" t="s">
        <v>8</v>
      </c>
      <c r="W23" s="1458">
        <f>J23</f>
        <v>100</v>
      </c>
      <c r="X23" s="1451"/>
      <c r="Y23" s="4091"/>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091"/>
      <c r="Q24" s="1456">
        <f t="shared" ref="Q24:Q36" si="11">B24</f>
        <v>111</v>
      </c>
      <c r="R24" s="1457" t="s">
        <v>8</v>
      </c>
      <c r="S24" s="1458">
        <f>F24</f>
        <v>100</v>
      </c>
      <c r="T24" s="1457" t="s">
        <v>8</v>
      </c>
      <c r="U24" s="1458">
        <f>H24</f>
        <v>100</v>
      </c>
      <c r="V24" s="1457" t="s">
        <v>8</v>
      </c>
      <c r="W24" s="1458">
        <f>J24</f>
        <v>100</v>
      </c>
      <c r="X24" s="1451"/>
      <c r="Y24" s="4091"/>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091"/>
      <c r="Q25" s="1093">
        <f t="shared" si="11"/>
        <v>111</v>
      </c>
      <c r="R25" s="1452" t="s">
        <v>8</v>
      </c>
      <c r="S25" s="1453">
        <f>F25</f>
        <v>100</v>
      </c>
      <c r="T25" s="1452" t="s">
        <v>8</v>
      </c>
      <c r="U25" s="1453">
        <f>H25</f>
        <v>100</v>
      </c>
      <c r="V25" s="1452" t="s">
        <v>8</v>
      </c>
      <c r="W25" s="1453">
        <f>J25</f>
        <v>100</v>
      </c>
      <c r="X25" s="1454"/>
      <c r="Y25" s="4091"/>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092"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093"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093"/>
      <c r="Q27" s="1485" t="str">
        <f t="shared" si="11"/>
        <v>项目停车位配比</v>
      </c>
      <c r="R27" s="1461" t="s">
        <v>8</v>
      </c>
      <c r="S27" s="1462">
        <f t="shared" si="12"/>
        <v>100</v>
      </c>
      <c r="T27" s="1461" t="s">
        <v>8</v>
      </c>
      <c r="U27" s="1462">
        <f t="shared" si="13"/>
        <v>100</v>
      </c>
      <c r="V27" s="1461" t="s">
        <v>8</v>
      </c>
      <c r="W27" s="1462">
        <f t="shared" si="14"/>
        <v>100</v>
      </c>
      <c r="X27" s="1463"/>
      <c r="Y27" s="4093"/>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093"/>
      <c r="Q28" s="1456" t="str">
        <f t="shared" si="11"/>
        <v>公共部分装修</v>
      </c>
      <c r="R28" s="1457" t="s">
        <v>8</v>
      </c>
      <c r="S28" s="1458">
        <f t="shared" si="12"/>
        <v>100</v>
      </c>
      <c r="T28" s="1457" t="s">
        <v>8</v>
      </c>
      <c r="U28" s="1458">
        <f t="shared" si="13"/>
        <v>100</v>
      </c>
      <c r="V28" s="1457" t="s">
        <v>8</v>
      </c>
      <c r="W28" s="1458">
        <f t="shared" si="14"/>
        <v>100</v>
      </c>
      <c r="X28" s="1451"/>
      <c r="Y28" s="4093"/>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093"/>
      <c r="Q29" s="1456" t="str">
        <f t="shared" si="11"/>
        <v>成新率</v>
      </c>
      <c r="R29" s="1457" t="s">
        <v>8</v>
      </c>
      <c r="S29" s="1458" t="e">
        <f t="shared" si="12"/>
        <v>#N/A</v>
      </c>
      <c r="T29" s="1457" t="s">
        <v>8</v>
      </c>
      <c r="U29" s="1458" t="e">
        <f t="shared" si="13"/>
        <v>#N/A</v>
      </c>
      <c r="V29" s="1457" t="s">
        <v>8</v>
      </c>
      <c r="W29" s="1458" t="e">
        <f t="shared" si="14"/>
        <v>#N/A</v>
      </c>
      <c r="X29" s="1451"/>
      <c r="Y29" s="4093"/>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093"/>
      <c r="Q30" s="1456" t="str">
        <f t="shared" si="11"/>
        <v>物业等级</v>
      </c>
      <c r="R30" s="1457" t="s">
        <v>8</v>
      </c>
      <c r="S30" s="1458">
        <f t="shared" si="12"/>
        <v>100</v>
      </c>
      <c r="T30" s="1457" t="s">
        <v>8</v>
      </c>
      <c r="U30" s="1458">
        <f t="shared" si="13"/>
        <v>100</v>
      </c>
      <c r="V30" s="1457" t="s">
        <v>8</v>
      </c>
      <c r="W30" s="1458">
        <f t="shared" si="14"/>
        <v>100</v>
      </c>
      <c r="X30" s="1451"/>
      <c r="Y30" s="4093"/>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093"/>
      <c r="Q31" s="1093" t="str">
        <f t="shared" si="11"/>
        <v>停车位面积</v>
      </c>
      <c r="R31" s="1452" t="s">
        <v>8</v>
      </c>
      <c r="S31" s="1453" t="e">
        <f t="shared" si="12"/>
        <v>#N/A</v>
      </c>
      <c r="T31" s="1452" t="s">
        <v>8</v>
      </c>
      <c r="U31" s="1453" t="e">
        <f t="shared" si="13"/>
        <v>#N/A</v>
      </c>
      <c r="V31" s="1452" t="s">
        <v>8</v>
      </c>
      <c r="W31" s="1453" t="e">
        <f t="shared" si="14"/>
        <v>#N/A</v>
      </c>
      <c r="X31" s="1454"/>
      <c r="Y31" s="4093"/>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093" t="s">
        <v>528</v>
      </c>
      <c r="Q32" s="1456" t="str">
        <f t="shared" si="11"/>
        <v>车位类型</v>
      </c>
      <c r="R32" s="1457" t="s">
        <v>8</v>
      </c>
      <c r="S32" s="1458">
        <f t="shared" si="12"/>
        <v>100</v>
      </c>
      <c r="T32" s="1457" t="s">
        <v>8</v>
      </c>
      <c r="U32" s="1458">
        <f t="shared" si="13"/>
        <v>100</v>
      </c>
      <c r="V32" s="1457" t="s">
        <v>8</v>
      </c>
      <c r="W32" s="1458">
        <f t="shared" si="14"/>
        <v>100</v>
      </c>
      <c r="X32" s="1451"/>
      <c r="Y32" s="4093"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093"/>
      <c r="Q33" s="1456" t="str">
        <f t="shared" si="11"/>
        <v>是否直接入户</v>
      </c>
      <c r="R33" s="1457" t="s">
        <v>8</v>
      </c>
      <c r="S33" s="1458">
        <f t="shared" si="12"/>
        <v>100</v>
      </c>
      <c r="T33" s="1457" t="s">
        <v>8</v>
      </c>
      <c r="U33" s="1458">
        <f t="shared" si="13"/>
        <v>100</v>
      </c>
      <c r="V33" s="1457" t="s">
        <v>8</v>
      </c>
      <c r="W33" s="1458">
        <f t="shared" si="14"/>
        <v>100</v>
      </c>
      <c r="X33" s="1451"/>
      <c r="Y33" s="4093"/>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093"/>
      <c r="Q34" s="1456">
        <f t="shared" si="11"/>
        <v>111</v>
      </c>
      <c r="R34" s="1457" t="s">
        <v>8</v>
      </c>
      <c r="S34" s="1458">
        <f t="shared" si="12"/>
        <v>100</v>
      </c>
      <c r="T34" s="1457" t="s">
        <v>8</v>
      </c>
      <c r="U34" s="1458">
        <f t="shared" si="13"/>
        <v>100</v>
      </c>
      <c r="V34" s="1457" t="s">
        <v>8</v>
      </c>
      <c r="W34" s="1458">
        <f t="shared" si="14"/>
        <v>100</v>
      </c>
      <c r="X34" s="1451"/>
      <c r="Y34" s="4093"/>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093"/>
      <c r="Q35" s="1485">
        <f t="shared" si="11"/>
        <v>111</v>
      </c>
      <c r="R35" s="1461" t="s">
        <v>8</v>
      </c>
      <c r="S35" s="1462">
        <f t="shared" si="12"/>
        <v>100</v>
      </c>
      <c r="T35" s="1461" t="s">
        <v>8</v>
      </c>
      <c r="U35" s="1462">
        <f t="shared" si="13"/>
        <v>100</v>
      </c>
      <c r="V35" s="1461" t="s">
        <v>8</v>
      </c>
      <c r="W35" s="1462">
        <f t="shared" si="14"/>
        <v>100</v>
      </c>
      <c r="X35" s="1463"/>
      <c r="Y35" s="4093"/>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093"/>
      <c r="Q36" s="1456">
        <f t="shared" si="11"/>
        <v>111</v>
      </c>
      <c r="R36" s="1457" t="s">
        <v>8</v>
      </c>
      <c r="S36" s="1458">
        <f t="shared" si="12"/>
        <v>100</v>
      </c>
      <c r="T36" s="1457" t="s">
        <v>8</v>
      </c>
      <c r="U36" s="1458">
        <f t="shared" si="13"/>
        <v>100</v>
      </c>
      <c r="V36" s="1457" t="s">
        <v>8</v>
      </c>
      <c r="W36" s="1458">
        <f t="shared" si="14"/>
        <v>100</v>
      </c>
      <c r="X36" s="1451"/>
      <c r="Y36" s="4093"/>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057" t="str">
        <f>A37</f>
        <v>成交单价</v>
      </c>
      <c r="Q37" s="4057"/>
      <c r="R37" s="4195">
        <f>E37</f>
        <v>0</v>
      </c>
      <c r="S37" s="4195"/>
      <c r="T37" s="4195">
        <f>G37</f>
        <v>0</v>
      </c>
      <c r="U37" s="4195"/>
      <c r="V37" s="4195">
        <f>I37</f>
        <v>0</v>
      </c>
      <c r="W37" s="4195"/>
      <c r="X37" s="1446"/>
      <c r="Y37" s="1465"/>
      <c r="Z37" s="1446"/>
      <c r="AA37" s="1446"/>
      <c r="AB37" s="1446"/>
      <c r="AC37" s="1446"/>
    </row>
    <row r="38" spans="1:29" ht="15.75" thickBot="1">
      <c r="A38" s="590" t="s">
        <v>2526</v>
      </c>
      <c r="B38" s="856"/>
      <c r="C38" s="2407" t="e">
        <f>R39</f>
        <v>#DIV/0!</v>
      </c>
      <c r="D38" s="2931" t="s">
        <v>2747</v>
      </c>
      <c r="E38" s="2408" t="e">
        <f>R38</f>
        <v>#DIV/0!</v>
      </c>
      <c r="F38" s="2932"/>
      <c r="G38" s="2407" t="e">
        <f>T38</f>
        <v>#DIV/0!</v>
      </c>
      <c r="H38" s="2932"/>
      <c r="I38" s="2408" t="e">
        <f>V38</f>
        <v>#DIV/0!</v>
      </c>
      <c r="J38" s="2932"/>
      <c r="K38" s="2940">
        <f>F38+H38+J38</f>
        <v>0</v>
      </c>
      <c r="L38" s="1963"/>
      <c r="M38" s="1964"/>
      <c r="N38" s="1964"/>
      <c r="O38" s="1964"/>
      <c r="P38" s="4057" t="str">
        <f>A38</f>
        <v>比较价格（元/平方米）</v>
      </c>
      <c r="Q38" s="4057"/>
      <c r="R38" s="4195" t="e">
        <f>IF(F1="售价",ROUND(PRODUCT(R37,AA7:AA36),0),ROUND(PRODUCT(R37,AA7:AA36),1))</f>
        <v>#DIV/0!</v>
      </c>
      <c r="S38" s="4195"/>
      <c r="T38" s="4195" t="e">
        <f>IF(F1="售价",ROUND(PRODUCT(T37,AB7:AB36),0),ROUND(PRODUCT(T37,AB7:AB36),1))</f>
        <v>#DIV/0!</v>
      </c>
      <c r="U38" s="4195"/>
      <c r="V38" s="4195" t="e">
        <f>IF(F1="售价",ROUND(PRODUCT(V37,AC7:AC36),0),ROUND(PRODUCT(V37,AC7:AC36),1))</f>
        <v>#DIV/0!</v>
      </c>
      <c r="W38" s="4195"/>
      <c r="X38" s="1446"/>
      <c r="Y38" s="1446"/>
      <c r="Z38" s="1446"/>
      <c r="AA38" s="1446"/>
      <c r="AB38" s="1446"/>
      <c r="AC38" s="1446"/>
    </row>
    <row r="39" spans="1:29" ht="15.75" thickBot="1">
      <c r="A39" s="594" t="s">
        <v>2684</v>
      </c>
      <c r="B39" s="595"/>
      <c r="C39" s="2409" t="e">
        <f>R39</f>
        <v>#DIV/0!</v>
      </c>
      <c r="D39" s="2409"/>
      <c r="E39" s="2409"/>
      <c r="F39" s="2409"/>
      <c r="G39" s="2409"/>
      <c r="H39" s="2409"/>
      <c r="I39" s="2409"/>
      <c r="J39" s="2409"/>
      <c r="K39" s="1491"/>
      <c r="L39" s="1963"/>
      <c r="M39" s="1964"/>
      <c r="N39" s="1964"/>
      <c r="O39" s="1964"/>
      <c r="P39" s="4094" t="str">
        <f>A39</f>
        <v>估价对象XX用房的比较价格（楼面单价，元/平方米）</v>
      </c>
      <c r="Q39" s="4095"/>
      <c r="R39" s="4194" t="e">
        <f>IF(F1="售价",ROUND(IF(D38="简单平均",AVERAGE(R38:W38),R38*F38+T38*H38+V38*J38),0),ROUND(IF(D38="简单平均",AVERAGE(R38:V38),R38*F38+T38*H38+V38*J38),1))</f>
        <v>#DIV/0!</v>
      </c>
      <c r="S39" s="4194"/>
      <c r="T39" s="4194"/>
      <c r="U39" s="4194"/>
      <c r="V39" s="4194"/>
      <c r="W39" s="4194"/>
      <c r="X39" s="1446"/>
      <c r="Y39" s="1446"/>
      <c r="Z39" s="1446"/>
      <c r="AA39" s="1446"/>
      <c r="AB39" s="1446"/>
      <c r="AC39" s="1446"/>
    </row>
    <row r="40" spans="1:29">
      <c r="A40" s="3128"/>
      <c r="B40" s="3128"/>
      <c r="C40" s="3128"/>
      <c r="D40" s="3128"/>
      <c r="E40" s="3128"/>
      <c r="F40" s="3128"/>
      <c r="G40" s="3130"/>
      <c r="H40" s="3128"/>
      <c r="I40" s="3128"/>
      <c r="J40" s="3128"/>
      <c r="K40" s="3131"/>
      <c r="L40" s="1968"/>
      <c r="M40" s="1964"/>
      <c r="N40" s="1964"/>
      <c r="O40" s="1964"/>
      <c r="P40" s="1964"/>
      <c r="Q40" s="1964"/>
      <c r="R40" s="1964"/>
      <c r="S40" s="1964"/>
      <c r="T40" s="1964"/>
      <c r="U40" s="1964"/>
      <c r="V40" s="1964"/>
      <c r="W40" s="1964"/>
      <c r="X40" s="1964"/>
      <c r="Y40" s="1964"/>
      <c r="Z40" s="1964"/>
      <c r="AA40" s="1964"/>
      <c r="AB40" s="1964"/>
      <c r="AC40" s="1964"/>
    </row>
    <row r="41" spans="1:29">
      <c r="A41" s="3128"/>
      <c r="B41" s="3128"/>
      <c r="C41" s="3128"/>
      <c r="D41" s="3128"/>
      <c r="E41" s="3128"/>
      <c r="F41" s="3128"/>
      <c r="G41" s="3128"/>
      <c r="H41" s="3128"/>
      <c r="I41" s="3128"/>
      <c r="J41" s="3128"/>
      <c r="K41" s="3131"/>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28"/>
      <c r="B42" s="3128"/>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1"/>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28"/>
      <c r="B43" s="3128"/>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1"/>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29"/>
      <c r="B44" s="3129"/>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2"/>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2022-11</v>
      </c>
      <c r="D48" s="2450">
        <f>EDATE(C48,-1)</f>
        <v>44835</v>
      </c>
      <c r="E48" s="2450">
        <f t="shared" ref="E48:O48" si="16">EDATE(D48,-1)</f>
        <v>44805</v>
      </c>
      <c r="F48" s="2450">
        <f t="shared" si="16"/>
        <v>44774</v>
      </c>
      <c r="G48" s="2450">
        <f t="shared" si="16"/>
        <v>44743</v>
      </c>
      <c r="H48" s="2450">
        <f t="shared" si="16"/>
        <v>44713</v>
      </c>
      <c r="I48" s="2450">
        <f t="shared" si="16"/>
        <v>44682</v>
      </c>
      <c r="J48" s="2450">
        <f t="shared" si="16"/>
        <v>44652</v>
      </c>
      <c r="K48" s="2450">
        <f t="shared" si="16"/>
        <v>44621</v>
      </c>
      <c r="L48" s="2450">
        <f t="shared" si="16"/>
        <v>44593</v>
      </c>
      <c r="M48" s="2450">
        <f t="shared" si="16"/>
        <v>44562</v>
      </c>
      <c r="N48" s="2450">
        <f t="shared" si="16"/>
        <v>44531</v>
      </c>
      <c r="O48" s="2450">
        <f t="shared" si="16"/>
        <v>44501</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63" t="s">
        <v>771</v>
      </c>
      <c r="D4" s="4064"/>
      <c r="E4" s="4197" t="s">
        <v>772</v>
      </c>
      <c r="F4" s="4198"/>
      <c r="G4" s="4063" t="s">
        <v>773</v>
      </c>
      <c r="H4" s="4064"/>
      <c r="I4" s="4063" t="s">
        <v>774</v>
      </c>
      <c r="J4" s="4064"/>
      <c r="K4" s="489" t="s">
        <v>775</v>
      </c>
      <c r="L4" s="1952"/>
      <c r="M4" s="1953"/>
      <c r="N4" s="1953"/>
      <c r="O4" s="1953"/>
      <c r="P4" s="4065" t="s">
        <v>776</v>
      </c>
      <c r="Q4" s="4066"/>
      <c r="R4" s="4071" t="s">
        <v>772</v>
      </c>
      <c r="S4" s="4072"/>
      <c r="T4" s="4071" t="s">
        <v>773</v>
      </c>
      <c r="U4" s="4072"/>
      <c r="V4" s="4058" t="s">
        <v>774</v>
      </c>
      <c r="W4" s="4058"/>
      <c r="X4" s="1451"/>
      <c r="Y4" s="4071" t="s">
        <v>776</v>
      </c>
      <c r="Z4" s="4072"/>
      <c r="AA4" s="4060" t="s">
        <v>772</v>
      </c>
      <c r="AB4" s="4061" t="s">
        <v>773</v>
      </c>
      <c r="AC4" s="4060" t="s">
        <v>774</v>
      </c>
    </row>
    <row r="5" spans="1:29" ht="15">
      <c r="A5" s="490"/>
      <c r="B5" s="491"/>
      <c r="C5" s="4079" t="s">
        <v>2678</v>
      </c>
      <c r="D5" s="4080"/>
      <c r="E5" s="4201" t="s">
        <v>2679</v>
      </c>
      <c r="F5" s="4202"/>
      <c r="G5" s="4079" t="s">
        <v>2680</v>
      </c>
      <c r="H5" s="4080"/>
      <c r="I5" s="4079" t="s">
        <v>2681</v>
      </c>
      <c r="J5" s="4080"/>
      <c r="K5" s="489"/>
      <c r="L5" s="1952"/>
      <c r="M5" s="1953"/>
      <c r="N5" s="1953"/>
      <c r="O5" s="1953"/>
      <c r="P5" s="4067"/>
      <c r="Q5" s="4068"/>
      <c r="R5" s="4073"/>
      <c r="S5" s="4074"/>
      <c r="T5" s="4073"/>
      <c r="U5" s="4074"/>
      <c r="V5" s="4058"/>
      <c r="W5" s="4058"/>
      <c r="X5" s="1451"/>
      <c r="Y5" s="4073"/>
      <c r="Z5" s="4074"/>
      <c r="AA5" s="4061"/>
      <c r="AB5" s="4061"/>
      <c r="AC5" s="4061"/>
    </row>
    <row r="6" spans="1:29" ht="15.75" thickBot="1">
      <c r="A6" s="492"/>
      <c r="B6" s="493"/>
      <c r="C6" s="4077" t="s">
        <v>2682</v>
      </c>
      <c r="D6" s="4078"/>
      <c r="E6" s="4199" t="s">
        <v>2682</v>
      </c>
      <c r="F6" s="4200"/>
      <c r="G6" s="4077" t="s">
        <v>2682</v>
      </c>
      <c r="H6" s="4078"/>
      <c r="I6" s="4077" t="s">
        <v>2682</v>
      </c>
      <c r="J6" s="4078"/>
      <c r="K6" s="489" t="s">
        <v>506</v>
      </c>
      <c r="L6" s="1952"/>
      <c r="M6" s="1953"/>
      <c r="N6" s="1953"/>
      <c r="O6" s="1953"/>
      <c r="P6" s="4069"/>
      <c r="Q6" s="4070"/>
      <c r="R6" s="4073"/>
      <c r="S6" s="4074"/>
      <c r="T6" s="4075"/>
      <c r="U6" s="4076"/>
      <c r="V6" s="4058"/>
      <c r="W6" s="4058"/>
      <c r="X6" s="1451"/>
      <c r="Y6" s="4075"/>
      <c r="Z6" s="4076"/>
      <c r="AA6" s="4062"/>
      <c r="AB6" s="4062"/>
      <c r="AC6" s="4062"/>
    </row>
    <row r="7" spans="1:29" s="1162" customFormat="1" ht="15.75" thickBot="1">
      <c r="A7" s="2558"/>
      <c r="B7" s="2565" t="s">
        <v>507</v>
      </c>
      <c r="C7" s="494">
        <f>'数据-取费表'!B2</f>
        <v>44867</v>
      </c>
      <c r="D7" s="495">
        <v>100</v>
      </c>
      <c r="E7" s="496"/>
      <c r="F7" s="497">
        <f>SUMIF(46:46,YEAR(E7)&amp;"-"&amp;MONTH(E7),47:47)</f>
        <v>0</v>
      </c>
      <c r="G7" s="498"/>
      <c r="H7" s="495">
        <f>SUMIF(46:46,YEAR(G7)&amp;"-"&amp;MONTH(G7),47:47)</f>
        <v>0</v>
      </c>
      <c r="I7" s="498"/>
      <c r="J7" s="495">
        <f>SUMIF(46:46,YEAR(I7)&amp;"-"&amp;MONTH(I7),47:47)</f>
        <v>0</v>
      </c>
      <c r="K7" s="499"/>
      <c r="L7" s="1954"/>
      <c r="M7" s="1955"/>
      <c r="N7" s="1955"/>
      <c r="O7" s="1955"/>
      <c r="P7" s="4087" t="s">
        <v>508</v>
      </c>
      <c r="Q7" s="4089"/>
      <c r="R7" s="1452" t="s">
        <v>8</v>
      </c>
      <c r="S7" s="1453">
        <f t="shared" ref="S7:S14" si="0">F7</f>
        <v>0</v>
      </c>
      <c r="T7" s="1452" t="s">
        <v>8</v>
      </c>
      <c r="U7" s="1453">
        <f t="shared" ref="U7:U14" si="1">H7</f>
        <v>0</v>
      </c>
      <c r="V7" s="1452" t="s">
        <v>8</v>
      </c>
      <c r="W7" s="1453">
        <f t="shared" ref="W7:W14" si="2">J7</f>
        <v>0</v>
      </c>
      <c r="X7" s="1454"/>
      <c r="Y7" s="4087" t="s">
        <v>508</v>
      </c>
      <c r="Z7" s="4088"/>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087" t="s">
        <v>511</v>
      </c>
      <c r="Q8" s="4088"/>
      <c r="R8" s="1452" t="s">
        <v>8</v>
      </c>
      <c r="S8" s="1453">
        <f t="shared" si="0"/>
        <v>0</v>
      </c>
      <c r="T8" s="1452" t="s">
        <v>8</v>
      </c>
      <c r="U8" s="1453">
        <f t="shared" si="1"/>
        <v>0</v>
      </c>
      <c r="V8" s="1452" t="s">
        <v>8</v>
      </c>
      <c r="W8" s="1453">
        <f t="shared" si="2"/>
        <v>0</v>
      </c>
      <c r="X8" s="1454"/>
      <c r="Y8" s="4087" t="s">
        <v>511</v>
      </c>
      <c r="Z8" s="4088"/>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057" t="s">
        <v>513</v>
      </c>
      <c r="Q9" s="1093" t="str">
        <f t="shared" ref="Q9:Q14" si="6">B9</f>
        <v>用途</v>
      </c>
      <c r="R9" s="1452" t="s">
        <v>8</v>
      </c>
      <c r="S9" s="1453">
        <f t="shared" si="0"/>
        <v>100</v>
      </c>
      <c r="T9" s="1452" t="s">
        <v>8</v>
      </c>
      <c r="U9" s="1453">
        <f t="shared" si="1"/>
        <v>100</v>
      </c>
      <c r="V9" s="1452" t="s">
        <v>8</v>
      </c>
      <c r="W9" s="1453">
        <f t="shared" si="2"/>
        <v>100</v>
      </c>
      <c r="X9" s="1454"/>
      <c r="Y9" s="3945"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057"/>
      <c r="Q10" s="1093" t="str">
        <f t="shared" si="6"/>
        <v>土地使用年限（年）</v>
      </c>
      <c r="R10" s="1452" t="s">
        <v>8</v>
      </c>
      <c r="S10" s="1453">
        <f t="shared" si="0"/>
        <v>100</v>
      </c>
      <c r="T10" s="1452" t="s">
        <v>8</v>
      </c>
      <c r="U10" s="1453">
        <f t="shared" si="1"/>
        <v>100</v>
      </c>
      <c r="V10" s="1452" t="s">
        <v>8</v>
      </c>
      <c r="W10" s="1453">
        <f t="shared" si="2"/>
        <v>100</v>
      </c>
      <c r="X10" s="1454"/>
      <c r="Y10" s="3945"/>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057"/>
      <c r="Q11" s="1093">
        <f t="shared" si="6"/>
        <v>111</v>
      </c>
      <c r="R11" s="1452" t="s">
        <v>8</v>
      </c>
      <c r="S11" s="1453">
        <f t="shared" si="0"/>
        <v>100</v>
      </c>
      <c r="T11" s="1452" t="s">
        <v>8</v>
      </c>
      <c r="U11" s="1453">
        <f t="shared" si="1"/>
        <v>100</v>
      </c>
      <c r="V11" s="1452" t="s">
        <v>8</v>
      </c>
      <c r="W11" s="1453">
        <f t="shared" si="2"/>
        <v>100</v>
      </c>
      <c r="X11" s="1454"/>
      <c r="Y11" s="3945"/>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057"/>
      <c r="Q12" s="1093">
        <f t="shared" si="6"/>
        <v>111</v>
      </c>
      <c r="R12" s="1452" t="s">
        <v>8</v>
      </c>
      <c r="S12" s="1453">
        <f t="shared" si="0"/>
        <v>100</v>
      </c>
      <c r="T12" s="1452" t="s">
        <v>8</v>
      </c>
      <c r="U12" s="1453">
        <f t="shared" si="1"/>
        <v>100</v>
      </c>
      <c r="V12" s="1452" t="s">
        <v>8</v>
      </c>
      <c r="W12" s="1453">
        <f t="shared" si="2"/>
        <v>100</v>
      </c>
      <c r="X12" s="1454"/>
      <c r="Y12" s="3945"/>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057"/>
      <c r="Q13" s="1093">
        <f t="shared" si="6"/>
        <v>111</v>
      </c>
      <c r="R13" s="1452" t="s">
        <v>8</v>
      </c>
      <c r="S13" s="1453">
        <f t="shared" si="0"/>
        <v>100</v>
      </c>
      <c r="T13" s="1452" t="s">
        <v>8</v>
      </c>
      <c r="U13" s="1453">
        <f t="shared" si="1"/>
        <v>100</v>
      </c>
      <c r="V13" s="1452" t="s">
        <v>8</v>
      </c>
      <c r="W13" s="1453">
        <f t="shared" si="2"/>
        <v>100</v>
      </c>
      <c r="X13" s="1454"/>
      <c r="Y13" s="3945"/>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090" t="s">
        <v>518</v>
      </c>
      <c r="Q14" s="1456" t="str">
        <f t="shared" si="6"/>
        <v>交通便捷度</v>
      </c>
      <c r="R14" s="1457" t="s">
        <v>8</v>
      </c>
      <c r="S14" s="1458">
        <f t="shared" si="0"/>
        <v>100</v>
      </c>
      <c r="T14" s="1457" t="s">
        <v>8</v>
      </c>
      <c r="U14" s="1458">
        <f t="shared" si="1"/>
        <v>100</v>
      </c>
      <c r="V14" s="1457" t="s">
        <v>8</v>
      </c>
      <c r="W14" s="1458">
        <f t="shared" si="2"/>
        <v>100</v>
      </c>
      <c r="X14" s="1451"/>
      <c r="Y14" s="4090"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091"/>
      <c r="Q15" s="1456"/>
      <c r="R15" s="1457"/>
      <c r="S15" s="1458"/>
      <c r="T15" s="1457"/>
      <c r="U15" s="1458"/>
      <c r="V15" s="1457"/>
      <c r="W15" s="1458"/>
      <c r="X15" s="1451"/>
      <c r="Y15" s="4091"/>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091"/>
      <c r="Q16" s="1456" t="str">
        <f>B16</f>
        <v>公共配套设施</v>
      </c>
      <c r="R16" s="1457" t="s">
        <v>8</v>
      </c>
      <c r="S16" s="1458">
        <f>F16</f>
        <v>100</v>
      </c>
      <c r="T16" s="1457" t="s">
        <v>8</v>
      </c>
      <c r="U16" s="1458">
        <f>H16</f>
        <v>100</v>
      </c>
      <c r="V16" s="1457" t="s">
        <v>8</v>
      </c>
      <c r="W16" s="1458">
        <f>J16</f>
        <v>100</v>
      </c>
      <c r="X16" s="1451"/>
      <c r="Y16" s="4091"/>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091"/>
      <c r="Q17" s="1456"/>
      <c r="R17" s="1457"/>
      <c r="S17" s="1458"/>
      <c r="T17" s="1457"/>
      <c r="U17" s="1458"/>
      <c r="V17" s="1457"/>
      <c r="W17" s="1458"/>
      <c r="X17" s="1451"/>
      <c r="Y17" s="4091"/>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091"/>
      <c r="Q18" s="2363" t="str">
        <f>B18</f>
        <v>基础设施水平</v>
      </c>
      <c r="R18" s="1457" t="s">
        <v>8</v>
      </c>
      <c r="S18" s="1458">
        <f>F18</f>
        <v>100</v>
      </c>
      <c r="T18" s="1457" t="s">
        <v>8</v>
      </c>
      <c r="U18" s="1458">
        <f>H18</f>
        <v>100</v>
      </c>
      <c r="V18" s="1457" t="s">
        <v>8</v>
      </c>
      <c r="W18" s="1458">
        <f>J18</f>
        <v>100</v>
      </c>
      <c r="X18" s="2365"/>
      <c r="Y18" s="4091"/>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091"/>
      <c r="Q19" s="2363"/>
      <c r="R19" s="1457"/>
      <c r="S19" s="1458"/>
      <c r="T19" s="1457"/>
      <c r="U19" s="1458"/>
      <c r="V19" s="1457"/>
      <c r="W19" s="1458"/>
      <c r="X19" s="2365"/>
      <c r="Y19" s="4091"/>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091"/>
      <c r="Q20" s="1456" t="str">
        <f>B20</f>
        <v>自然及人文环境</v>
      </c>
      <c r="R20" s="1457" t="s">
        <v>8</v>
      </c>
      <c r="S20" s="1458">
        <f>F20</f>
        <v>100</v>
      </c>
      <c r="T20" s="1457" t="s">
        <v>8</v>
      </c>
      <c r="U20" s="1458">
        <f>H20</f>
        <v>100</v>
      </c>
      <c r="V20" s="1457" t="s">
        <v>8</v>
      </c>
      <c r="W20" s="1458">
        <f>J20</f>
        <v>100</v>
      </c>
      <c r="X20" s="1451"/>
      <c r="Y20" s="4091"/>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091"/>
      <c r="Q21" s="1456"/>
      <c r="R21" s="1457"/>
      <c r="S21" s="1458"/>
      <c r="T21" s="1457"/>
      <c r="U21" s="1458"/>
      <c r="V21" s="1457"/>
      <c r="W21" s="1458"/>
      <c r="X21" s="1451"/>
      <c r="Y21" s="4091"/>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091"/>
      <c r="Q22" s="1456" t="str">
        <f>B22</f>
        <v>楼层</v>
      </c>
      <c r="R22" s="1457" t="s">
        <v>8</v>
      </c>
      <c r="S22" s="1458">
        <f>F22</f>
        <v>100</v>
      </c>
      <c r="T22" s="1457" t="s">
        <v>8</v>
      </c>
      <c r="U22" s="1458">
        <f>H22</f>
        <v>100</v>
      </c>
      <c r="V22" s="1457" t="s">
        <v>8</v>
      </c>
      <c r="W22" s="1458">
        <f>J22</f>
        <v>100</v>
      </c>
      <c r="X22" s="1451"/>
      <c r="Y22" s="4091"/>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091"/>
      <c r="Q23" s="1456">
        <f>B23</f>
        <v>111</v>
      </c>
      <c r="R23" s="1457" t="s">
        <v>8</v>
      </c>
      <c r="S23" s="1458">
        <f>F23</f>
        <v>100</v>
      </c>
      <c r="T23" s="1457" t="s">
        <v>8</v>
      </c>
      <c r="U23" s="1458">
        <f>H23</f>
        <v>100</v>
      </c>
      <c r="V23" s="1457" t="s">
        <v>8</v>
      </c>
      <c r="W23" s="1458">
        <f>J23</f>
        <v>100</v>
      </c>
      <c r="X23" s="1451"/>
      <c r="Y23" s="4091"/>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091"/>
      <c r="Q24" s="1456">
        <f t="shared" ref="Q24:Q34" si="11">B24</f>
        <v>111</v>
      </c>
      <c r="R24" s="1457" t="s">
        <v>8</v>
      </c>
      <c r="S24" s="1458">
        <f>F24</f>
        <v>100</v>
      </c>
      <c r="T24" s="1457" t="s">
        <v>8</v>
      </c>
      <c r="U24" s="1458">
        <f>H24</f>
        <v>100</v>
      </c>
      <c r="V24" s="1457" t="s">
        <v>8</v>
      </c>
      <c r="W24" s="1458">
        <f>J24</f>
        <v>100</v>
      </c>
      <c r="X24" s="1451"/>
      <c r="Y24" s="4091"/>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091"/>
      <c r="Q25" s="1093">
        <f t="shared" si="11"/>
        <v>111</v>
      </c>
      <c r="R25" s="1452" t="s">
        <v>8</v>
      </c>
      <c r="S25" s="1453">
        <f>F25</f>
        <v>100</v>
      </c>
      <c r="T25" s="1452" t="s">
        <v>8</v>
      </c>
      <c r="U25" s="1453">
        <f>H25</f>
        <v>100</v>
      </c>
      <c r="V25" s="1452" t="s">
        <v>8</v>
      </c>
      <c r="W25" s="1453">
        <f>J25</f>
        <v>100</v>
      </c>
      <c r="X25" s="1454"/>
      <c r="Y25" s="4091"/>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092"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093"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093"/>
      <c r="Q27" s="1485" t="str">
        <f t="shared" si="11"/>
        <v>成新率</v>
      </c>
      <c r="R27" s="1461" t="s">
        <v>8</v>
      </c>
      <c r="S27" s="1462" t="e">
        <f t="shared" si="12"/>
        <v>#N/A</v>
      </c>
      <c r="T27" s="1461" t="s">
        <v>8</v>
      </c>
      <c r="U27" s="1462" t="e">
        <f t="shared" si="13"/>
        <v>#N/A</v>
      </c>
      <c r="V27" s="1461" t="s">
        <v>8</v>
      </c>
      <c r="W27" s="1462" t="e">
        <f t="shared" si="14"/>
        <v>#N/A</v>
      </c>
      <c r="X27" s="1463"/>
      <c r="Y27" s="4093"/>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093"/>
      <c r="Q28" s="1456" t="str">
        <f t="shared" si="11"/>
        <v>物业等级</v>
      </c>
      <c r="R28" s="1457" t="s">
        <v>8</v>
      </c>
      <c r="S28" s="1458">
        <f t="shared" si="12"/>
        <v>100</v>
      </c>
      <c r="T28" s="1457" t="s">
        <v>8</v>
      </c>
      <c r="U28" s="1458">
        <f t="shared" si="13"/>
        <v>100</v>
      </c>
      <c r="V28" s="1457" t="s">
        <v>8</v>
      </c>
      <c r="W28" s="1458">
        <f t="shared" si="14"/>
        <v>100</v>
      </c>
      <c r="X28" s="1451"/>
      <c r="Y28" s="4093"/>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093"/>
      <c r="Q29" s="1456" t="str">
        <f t="shared" si="11"/>
        <v>有无电梯</v>
      </c>
      <c r="R29" s="1457" t="s">
        <v>8</v>
      </c>
      <c r="S29" s="1458">
        <f t="shared" si="12"/>
        <v>100</v>
      </c>
      <c r="T29" s="1457" t="s">
        <v>8</v>
      </c>
      <c r="U29" s="1458">
        <f t="shared" si="13"/>
        <v>100</v>
      </c>
      <c r="V29" s="1457" t="s">
        <v>8</v>
      </c>
      <c r="W29" s="1458">
        <f t="shared" si="14"/>
        <v>100</v>
      </c>
      <c r="X29" s="1451"/>
      <c r="Y29" s="4093"/>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093"/>
      <c r="Q30" s="1456" t="str">
        <f t="shared" si="11"/>
        <v>建筑面积</v>
      </c>
      <c r="R30" s="1457" t="s">
        <v>8</v>
      </c>
      <c r="S30" s="1458" t="e">
        <f t="shared" si="12"/>
        <v>#N/A</v>
      </c>
      <c r="T30" s="1457" t="s">
        <v>8</v>
      </c>
      <c r="U30" s="1458" t="e">
        <f t="shared" si="13"/>
        <v>#N/A</v>
      </c>
      <c r="V30" s="1457" t="s">
        <v>8</v>
      </c>
      <c r="W30" s="1458" t="e">
        <f t="shared" si="14"/>
        <v>#N/A</v>
      </c>
      <c r="X30" s="1451"/>
      <c r="Y30" s="4093"/>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093"/>
      <c r="Q31" s="1093" t="str">
        <f t="shared" si="11"/>
        <v>是否封闭</v>
      </c>
      <c r="R31" s="1452" t="s">
        <v>8</v>
      </c>
      <c r="S31" s="1453">
        <f t="shared" si="12"/>
        <v>100</v>
      </c>
      <c r="T31" s="1452" t="s">
        <v>8</v>
      </c>
      <c r="U31" s="1453">
        <f t="shared" si="13"/>
        <v>100</v>
      </c>
      <c r="V31" s="1452" t="s">
        <v>8</v>
      </c>
      <c r="W31" s="1453">
        <f t="shared" si="14"/>
        <v>100</v>
      </c>
      <c r="X31" s="1454"/>
      <c r="Y31" s="4093"/>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093" t="s">
        <v>528</v>
      </c>
      <c r="Q32" s="1456">
        <f t="shared" si="11"/>
        <v>111</v>
      </c>
      <c r="R32" s="1457" t="s">
        <v>8</v>
      </c>
      <c r="S32" s="1458">
        <f t="shared" si="12"/>
        <v>100</v>
      </c>
      <c r="T32" s="1457" t="s">
        <v>8</v>
      </c>
      <c r="U32" s="1458">
        <f t="shared" si="13"/>
        <v>100</v>
      </c>
      <c r="V32" s="1457" t="s">
        <v>8</v>
      </c>
      <c r="W32" s="1458">
        <f t="shared" si="14"/>
        <v>100</v>
      </c>
      <c r="X32" s="1451"/>
      <c r="Y32" s="4093"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093"/>
      <c r="Q33" s="1456">
        <f t="shared" si="11"/>
        <v>111</v>
      </c>
      <c r="R33" s="1457" t="s">
        <v>8</v>
      </c>
      <c r="S33" s="1458">
        <f t="shared" si="12"/>
        <v>100</v>
      </c>
      <c r="T33" s="1457" t="s">
        <v>8</v>
      </c>
      <c r="U33" s="1458">
        <f t="shared" si="13"/>
        <v>100</v>
      </c>
      <c r="V33" s="1457" t="s">
        <v>8</v>
      </c>
      <c r="W33" s="1458">
        <f t="shared" si="14"/>
        <v>100</v>
      </c>
      <c r="X33" s="1451"/>
      <c r="Y33" s="4093"/>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093"/>
      <c r="Q34" s="1456">
        <f t="shared" si="11"/>
        <v>111</v>
      </c>
      <c r="R34" s="1457" t="s">
        <v>8</v>
      </c>
      <c r="S34" s="1458">
        <f t="shared" si="12"/>
        <v>100</v>
      </c>
      <c r="T34" s="1457" t="s">
        <v>8</v>
      </c>
      <c r="U34" s="1458">
        <f t="shared" si="13"/>
        <v>100</v>
      </c>
      <c r="V34" s="1457" t="s">
        <v>8</v>
      </c>
      <c r="W34" s="1458">
        <f t="shared" si="14"/>
        <v>100</v>
      </c>
      <c r="X34" s="1451"/>
      <c r="Y34" s="4093"/>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057" t="str">
        <f>A35</f>
        <v>成交单价（元/平方米）</v>
      </c>
      <c r="Q35" s="4057"/>
      <c r="R35" s="4195">
        <f>E35</f>
        <v>0</v>
      </c>
      <c r="S35" s="4195"/>
      <c r="T35" s="4195">
        <f>G35</f>
        <v>0</v>
      </c>
      <c r="U35" s="4195"/>
      <c r="V35" s="4195">
        <f>I35</f>
        <v>0</v>
      </c>
      <c r="W35" s="4195"/>
      <c r="X35" s="1446"/>
      <c r="Y35" s="1465"/>
      <c r="Z35" s="1446"/>
      <c r="AA35" s="1446"/>
      <c r="AB35" s="1446"/>
      <c r="AC35" s="1446"/>
    </row>
    <row r="36" spans="1:29" ht="15.75" thickBot="1">
      <c r="A36" s="590" t="s">
        <v>2526</v>
      </c>
      <c r="B36" s="856"/>
      <c r="C36" s="2407" t="e">
        <f>R37</f>
        <v>#DIV/0!</v>
      </c>
      <c r="D36" s="2931" t="s">
        <v>2748</v>
      </c>
      <c r="E36" s="2408" t="e">
        <f>R36</f>
        <v>#DIV/0!</v>
      </c>
      <c r="F36" s="2932"/>
      <c r="G36" s="2407" t="e">
        <f>T36</f>
        <v>#DIV/0!</v>
      </c>
      <c r="H36" s="2932"/>
      <c r="I36" s="2408" t="e">
        <f>V36</f>
        <v>#DIV/0!</v>
      </c>
      <c r="J36" s="2932"/>
      <c r="K36" s="2940">
        <f>F36+H36+J36</f>
        <v>0</v>
      </c>
      <c r="L36" s="1963"/>
      <c r="M36" s="1964"/>
      <c r="N36" s="1953"/>
      <c r="O36" s="1964"/>
      <c r="P36" s="4057" t="str">
        <f>A36</f>
        <v>比较价格（元/平方米）</v>
      </c>
      <c r="Q36" s="4057"/>
      <c r="R36" s="4195" t="e">
        <f>IF(F1="售价",ROUND(PRODUCT(R35,AA7:AA34),0),ROUND(PRODUCT(R35,AA7:AA34),1))</f>
        <v>#DIV/0!</v>
      </c>
      <c r="S36" s="4195"/>
      <c r="T36" s="4195" t="e">
        <f>IF(F1="售价",ROUND(PRODUCT(T35,AB7:AB34),0),ROUND(PRODUCT(T35,AB7:AB34),1))</f>
        <v>#DIV/0!</v>
      </c>
      <c r="U36" s="4195"/>
      <c r="V36" s="4195" t="e">
        <f>IF(F1="售价",ROUND(PRODUCT(V35,AC7:AC34),0),ROUND(PRODUCT(V35,AC7:AC34),1))</f>
        <v>#DIV/0!</v>
      </c>
      <c r="W36" s="4195"/>
      <c r="X36" s="1446"/>
      <c r="Y36" s="1446"/>
      <c r="Z36" s="1446"/>
      <c r="AA36" s="1446"/>
      <c r="AB36" s="1446"/>
      <c r="AC36" s="1446"/>
    </row>
    <row r="37" spans="1:29" ht="15.75" thickBot="1">
      <c r="A37" s="594" t="s">
        <v>2684</v>
      </c>
      <c r="B37" s="595"/>
      <c r="C37" s="2409" t="e">
        <f>R37</f>
        <v>#DIV/0!</v>
      </c>
      <c r="D37" s="2409"/>
      <c r="E37" s="2409"/>
      <c r="F37" s="2409"/>
      <c r="G37" s="2409"/>
      <c r="H37" s="2409"/>
      <c r="I37" s="2409"/>
      <c r="J37" s="2409"/>
      <c r="K37" s="1491"/>
      <c r="L37" s="1963"/>
      <c r="M37" s="1964"/>
      <c r="N37" s="1964"/>
      <c r="O37" s="1964"/>
      <c r="P37" s="4094" t="str">
        <f>A37</f>
        <v>估价对象XX用房的比较价格（楼面单价，元/平方米）</v>
      </c>
      <c r="Q37" s="4095"/>
      <c r="R37" s="4194" t="e">
        <f>IF(F1="售价",ROUND(IF(D36="简单平均",AVERAGE(R36:W36),R36*F36+T36*H36+V36*J36),0),ROUND(IF(D36="简单平均",AVERAGE(R36:V36),R36*F36+T36*H36+V36*J36),1))</f>
        <v>#DIV/0!</v>
      </c>
      <c r="S37" s="4194"/>
      <c r="T37" s="4194"/>
      <c r="U37" s="4194"/>
      <c r="V37" s="4194"/>
      <c r="W37" s="4194"/>
      <c r="X37" s="1446"/>
      <c r="Y37" s="1446"/>
      <c r="Z37" s="1446"/>
      <c r="AA37" s="1446"/>
      <c r="AB37" s="1446"/>
      <c r="AC37" s="1446"/>
    </row>
    <row r="38" spans="1:29">
      <c r="A38" s="3128"/>
      <c r="B38" s="3128"/>
      <c r="C38" s="3128"/>
      <c r="D38" s="3128"/>
      <c r="E38" s="3128"/>
      <c r="F38" s="3128"/>
      <c r="G38" s="3130"/>
      <c r="H38" s="3128"/>
      <c r="I38" s="3128"/>
      <c r="J38" s="3128"/>
      <c r="K38" s="3131"/>
      <c r="L38" s="1968"/>
      <c r="M38" s="1964"/>
      <c r="N38" s="1964"/>
      <c r="O38" s="1964"/>
      <c r="P38" s="1964"/>
      <c r="Q38" s="1964"/>
      <c r="R38" s="1964"/>
      <c r="S38" s="1964"/>
      <c r="T38" s="1964"/>
      <c r="U38" s="1964"/>
      <c r="V38" s="1964"/>
      <c r="W38" s="1964"/>
      <c r="X38" s="1964"/>
      <c r="Y38" s="1964"/>
      <c r="Z38" s="1964"/>
      <c r="AA38" s="1964"/>
      <c r="AB38" s="1964"/>
      <c r="AC38" s="1964"/>
    </row>
    <row r="39" spans="1:29">
      <c r="A39" s="3128"/>
      <c r="B39" s="3128"/>
      <c r="C39" s="3128"/>
      <c r="D39" s="3128"/>
      <c r="E39" s="3128"/>
      <c r="F39" s="3128"/>
      <c r="G39" s="3128"/>
      <c r="H39" s="3128"/>
      <c r="I39" s="3128"/>
      <c r="J39" s="3128"/>
      <c r="K39" s="3131"/>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28"/>
      <c r="B40" s="3128"/>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1"/>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28"/>
      <c r="B41" s="3128"/>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1"/>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29"/>
      <c r="B42" s="3129"/>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2"/>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2022-11</v>
      </c>
      <c r="D46" s="2450">
        <f>EDATE(C46,-1)</f>
        <v>44835</v>
      </c>
      <c r="E46" s="2450">
        <f t="shared" ref="E46:O46" si="16">EDATE(D46,-1)</f>
        <v>44805</v>
      </c>
      <c r="F46" s="2450">
        <f t="shared" si="16"/>
        <v>44774</v>
      </c>
      <c r="G46" s="2450">
        <f t="shared" si="16"/>
        <v>44743</v>
      </c>
      <c r="H46" s="2450">
        <f t="shared" si="16"/>
        <v>44713</v>
      </c>
      <c r="I46" s="2450">
        <f t="shared" si="16"/>
        <v>44682</v>
      </c>
      <c r="J46" s="2450">
        <f t="shared" si="16"/>
        <v>44652</v>
      </c>
      <c r="K46" s="2450">
        <f t="shared" si="16"/>
        <v>44621</v>
      </c>
      <c r="L46" s="2450">
        <f t="shared" si="16"/>
        <v>44593</v>
      </c>
      <c r="M46" s="2450">
        <f t="shared" si="16"/>
        <v>44562</v>
      </c>
      <c r="N46" s="2450">
        <f t="shared" si="16"/>
        <v>44531</v>
      </c>
      <c r="O46" s="2450">
        <f t="shared" si="16"/>
        <v>44501</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210" t="s">
        <v>2083</v>
      </c>
      <c r="D1" s="4211"/>
      <c r="E1" s="4211"/>
      <c r="F1" s="4211"/>
      <c r="G1" s="4211"/>
      <c r="H1" s="4211"/>
      <c r="I1" s="4211"/>
      <c r="J1" s="4211"/>
      <c r="K1" s="4211"/>
      <c r="L1" s="4211"/>
      <c r="M1" s="4211"/>
      <c r="N1" s="4211"/>
      <c r="O1" s="4211"/>
      <c r="P1" s="4211"/>
      <c r="Q1" s="4211"/>
      <c r="R1" s="4211"/>
      <c r="S1" s="4212"/>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2677</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2676</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2675</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2688</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2674</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2673</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207" t="s">
        <v>20</v>
      </c>
      <c r="D22" s="4208"/>
      <c r="E22" s="4208"/>
      <c r="F22" s="4208"/>
      <c r="G22" s="4208"/>
      <c r="H22" s="4208"/>
      <c r="I22" s="4208"/>
      <c r="J22" s="4208"/>
      <c r="K22" s="4208"/>
      <c r="L22" s="4208"/>
      <c r="M22" s="4208"/>
      <c r="N22" s="4208"/>
      <c r="O22" s="4208"/>
      <c r="P22" s="4208"/>
      <c r="Q22" s="4209"/>
      <c r="R22" s="473" t="e">
        <f>ROUND(S22*10000/B22,0)</f>
        <v>#DIV/0!</v>
      </c>
      <c r="S22" s="53">
        <f>SUM(S24:S10000)</f>
        <v>0</v>
      </c>
    </row>
    <row r="23" spans="1:45" s="1492" customFormat="1" ht="24">
      <c r="A23" s="17" t="s">
        <v>803</v>
      </c>
      <c r="B23" s="2788" t="s">
        <v>2696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6">
        <v>1</v>
      </c>
      <c r="D24" s="3187"/>
      <c r="E24" s="3186">
        <v>1</v>
      </c>
      <c r="F24" s="3187"/>
      <c r="G24" s="3186">
        <v>1</v>
      </c>
      <c r="H24" s="3187"/>
      <c r="I24" s="3186">
        <v>1</v>
      </c>
      <c r="J24" s="3187"/>
      <c r="K24" s="3186">
        <v>1</v>
      </c>
      <c r="L24" s="3187"/>
      <c r="M24" s="3186">
        <v>1</v>
      </c>
      <c r="N24" s="3187"/>
      <c r="O24" s="3186">
        <v>1</v>
      </c>
      <c r="P24" s="3187"/>
      <c r="Q24" s="3186">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44867</v>
      </c>
      <c r="H1" s="2584">
        <f>IF(C1&gt;C13,0,MATCH(C1,C$13:C$100,-1))+IF(SUMIF(C13:C100,C1,D13:D100)=0,13,12)</f>
        <v>13</v>
      </c>
      <c r="I1" s="2584">
        <f>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2</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27" t="s">
        <v>1819</v>
      </c>
      <c r="B1" s="3827"/>
      <c r="C1" s="3827"/>
      <c r="D1" s="3827"/>
      <c r="E1" s="3827"/>
      <c r="F1" s="3827"/>
      <c r="G1" s="3827"/>
      <c r="H1" s="3827"/>
      <c r="I1" s="3827"/>
      <c r="J1" s="3827"/>
      <c r="K1" s="3827"/>
      <c r="L1" s="3827"/>
      <c r="M1" s="3827"/>
      <c r="N1" s="3827"/>
      <c r="O1" s="3827"/>
      <c r="P1" s="3827"/>
      <c r="Q1" s="3827"/>
      <c r="R1" s="3827"/>
    </row>
    <row r="2" spans="1:18">
      <c r="A2" s="1670" t="s">
        <v>1821</v>
      </c>
      <c r="B2" s="1670"/>
      <c r="C2" s="1670"/>
      <c r="D2" s="1670"/>
      <c r="E2" s="1670"/>
      <c r="F2" s="1670"/>
      <c r="G2" s="1670"/>
      <c r="H2" s="1670"/>
      <c r="I2" s="1671"/>
      <c r="J2" s="1671"/>
      <c r="K2" s="1672" t="str">
        <f>"估价期日："&amp;TEXT(项目基本情况!D3,"yyyy年m月d日;;")</f>
        <v>估价期日：2022年11月2日</v>
      </c>
      <c r="L2" s="1670"/>
      <c r="M2" s="1670"/>
      <c r="N2" s="1670"/>
      <c r="O2" s="1670"/>
      <c r="P2" s="1670"/>
      <c r="Q2" s="1670"/>
      <c r="R2" s="1672" t="str">
        <f>"估价期日的国有建设用地使用权性质："&amp;项目基本情况!B16</f>
        <v>估价期日的国有建设用地使用权性质：出让</v>
      </c>
    </row>
    <row r="3" spans="1:18" ht="23.25" customHeight="1">
      <c r="A3" s="3828" t="s">
        <v>1810</v>
      </c>
      <c r="B3" s="3828" t="s">
        <v>2497</v>
      </c>
      <c r="C3" s="3829" t="s">
        <v>1811</v>
      </c>
      <c r="D3" s="3828" t="s">
        <v>2501</v>
      </c>
      <c r="E3" s="3831" t="s">
        <v>1812</v>
      </c>
      <c r="F3" s="3831"/>
      <c r="G3" s="3831"/>
      <c r="H3" s="3831" t="s">
        <v>1813</v>
      </c>
      <c r="I3" s="3831"/>
      <c r="J3" s="3831"/>
      <c r="K3" s="3829" t="s">
        <v>1814</v>
      </c>
      <c r="L3" s="3829" t="s">
        <v>1815</v>
      </c>
      <c r="M3" s="3828" t="s">
        <v>2498</v>
      </c>
      <c r="N3" s="3830" t="str">
        <f>"（分摊）"&amp;项目基本情况!B16&amp;"国有建设用地使用权面积/㎡"</f>
        <v>（分摊）出让国有建设用地使用权面积/㎡</v>
      </c>
      <c r="O3" s="3828" t="s">
        <v>1844</v>
      </c>
      <c r="P3" s="3829" t="s">
        <v>1824</v>
      </c>
      <c r="Q3" s="3829" t="s">
        <v>1845</v>
      </c>
      <c r="R3" s="3829" t="s">
        <v>1816</v>
      </c>
    </row>
    <row r="4" spans="1:18" ht="36.75" customHeight="1">
      <c r="A4" s="3828"/>
      <c r="B4" s="3828"/>
      <c r="C4" s="3829"/>
      <c r="D4" s="3828"/>
      <c r="E4" s="2422" t="s">
        <v>1823</v>
      </c>
      <c r="F4" s="2422" t="s">
        <v>2510</v>
      </c>
      <c r="G4" s="2422" t="s">
        <v>1817</v>
      </c>
      <c r="H4" s="2422" t="s">
        <v>1818</v>
      </c>
      <c r="I4" s="2422" t="s">
        <v>2511</v>
      </c>
      <c r="J4" s="2422" t="s">
        <v>1817</v>
      </c>
      <c r="K4" s="3829"/>
      <c r="L4" s="3829"/>
      <c r="M4" s="3828"/>
      <c r="N4" s="3830"/>
      <c r="O4" s="3828"/>
      <c r="P4" s="3829"/>
      <c r="Q4" s="3829"/>
      <c r="R4" s="3829"/>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f>IF(项目基本情况!B16="出让",项目基本情况!D20,"——")</f>
        <v>0</v>
      </c>
      <c r="N5" s="1673">
        <f>项目基本情况!C22</f>
        <v>27531</v>
      </c>
      <c r="O5" s="1673">
        <f>项目基本情况!C21</f>
        <v>6250.48</v>
      </c>
      <c r="P5" s="1673">
        <f ca="1">结果表!E42</f>
        <v>4694</v>
      </c>
      <c r="Q5" s="1673">
        <f ca="1">结果表!D42</f>
        <v>20675</v>
      </c>
      <c r="R5" s="1674">
        <f ca="1">结果表!C42</f>
        <v>12923</v>
      </c>
    </row>
    <row r="6" spans="1:18">
      <c r="A6" s="3824" t="str">
        <f>IF(项目基本情况!B9="市场价格","——","抵押价格")</f>
        <v>——</v>
      </c>
      <c r="B6" s="3825"/>
      <c r="C6" s="3825"/>
      <c r="D6" s="3825"/>
      <c r="E6" s="3825"/>
      <c r="F6" s="3825"/>
      <c r="G6" s="3825"/>
      <c r="H6" s="3825"/>
      <c r="I6" s="3825"/>
      <c r="J6" s="3825"/>
      <c r="K6" s="3825"/>
      <c r="L6" s="3825"/>
      <c r="M6" s="3825"/>
      <c r="N6" s="3825"/>
      <c r="O6" s="3825"/>
      <c r="P6" s="3825"/>
      <c r="Q6" s="3826"/>
      <c r="R6" s="1675" t="str">
        <f>结果表!O39</f>
        <v>——</v>
      </c>
    </row>
    <row r="7" spans="1:18">
      <c r="A7" s="3824" t="str">
        <f>IF(项目基本情况!B9="市场价格","——",IF(项目基本情况!E8="已注销及未注销","抵押担保权已注销时的抵押价格","——"))</f>
        <v>——</v>
      </c>
      <c r="B7" s="3825"/>
      <c r="C7" s="3825"/>
      <c r="D7" s="3825"/>
      <c r="E7" s="3825"/>
      <c r="F7" s="3825"/>
      <c r="G7" s="3825"/>
      <c r="H7" s="3825"/>
      <c r="I7" s="3825"/>
      <c r="J7" s="3825"/>
      <c r="K7" s="3825"/>
      <c r="L7" s="3825"/>
      <c r="M7" s="3825"/>
      <c r="N7" s="3825"/>
      <c r="O7" s="3825"/>
      <c r="P7" s="3825"/>
      <c r="Q7" s="3826"/>
      <c r="R7" s="1675" t="str">
        <f>结果表!O40</f>
        <v>——</v>
      </c>
    </row>
    <row r="8" spans="1:18">
      <c r="A8" s="3824" t="str">
        <f>IF(项目基本情况!B9="市场价格","——",项目基本情况!E9)</f>
        <v>——</v>
      </c>
      <c r="B8" s="3825"/>
      <c r="C8" s="3825"/>
      <c r="D8" s="3825"/>
      <c r="E8" s="3825"/>
      <c r="F8" s="3825"/>
      <c r="G8" s="3825"/>
      <c r="H8" s="3825"/>
      <c r="I8" s="3825"/>
      <c r="J8" s="3825"/>
      <c r="K8" s="3825"/>
      <c r="L8" s="3825"/>
      <c r="M8" s="3825"/>
      <c r="N8" s="3825"/>
      <c r="O8" s="3825"/>
      <c r="P8" s="3825"/>
      <c r="Q8" s="3826"/>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833" t="s">
        <v>1846</v>
      </c>
      <c r="B1" s="3833"/>
      <c r="C1" s="3833"/>
      <c r="D1" s="3833"/>
    </row>
    <row r="2" spans="1:4" ht="47.25" customHeight="1">
      <c r="A2" s="3834" t="str">
        <f>"1.权利限制："&amp;项目基本情况!L24&amp;"未设定租赁等其他他项权利。"</f>
        <v>1.权利限制：根据估价对象《不动产权证书》原件、《国有土地使用权》复印件，截至估价期日，估价对象抵押权未见登记。未设定租赁等其他他项权利。</v>
      </c>
      <c r="B2" s="3834"/>
      <c r="C2" s="3834"/>
      <c r="D2" s="3834"/>
    </row>
    <row r="3" spans="1:4" ht="48" customHeight="1">
      <c r="A3" s="38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33"/>
      <c r="C3" s="3833"/>
      <c r="D3" s="3833"/>
    </row>
    <row r="4" spans="1:4" ht="36.75" customHeight="1">
      <c r="A4" s="3833" t="str">
        <f>"3.估价规划限制条件：详见"&amp;项目基本情况!E21&amp;"。"</f>
        <v>3.估价规划限制条件：详见《建设工程规划许可证》[]、《出让合同》[]。</v>
      </c>
      <c r="B4" s="3833"/>
      <c r="C4" s="3833"/>
      <c r="D4" s="3833"/>
    </row>
    <row r="5" spans="1:4">
      <c r="A5" s="3832" t="s">
        <v>1847</v>
      </c>
      <c r="B5" s="3832"/>
      <c r="C5" s="3832"/>
      <c r="D5" s="3832"/>
    </row>
    <row r="6" spans="1:4">
      <c r="A6" s="3833" t="s">
        <v>1825</v>
      </c>
      <c r="B6" s="3833"/>
      <c r="C6" s="3833"/>
      <c r="D6" s="3833"/>
    </row>
    <row r="7" spans="1:4" ht="33" customHeight="1">
      <c r="A7" s="3833" t="s">
        <v>2342</v>
      </c>
      <c r="B7" s="3833"/>
      <c r="C7" s="3833"/>
      <c r="D7" s="3833"/>
    </row>
    <row r="8" spans="1:4" ht="32.25" customHeight="1">
      <c r="A8" s="38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33"/>
      <c r="C8" s="3833"/>
      <c r="D8" s="3833"/>
    </row>
    <row r="9" spans="1:4" ht="33.75" customHeight="1">
      <c r="A9" s="3833" t="str">
        <f>IF(项目基本情况!B8="抵押","3.抵押双方在办理抵押登记手续时，应使用本公司出具的正式《土地估价报告》，特提请报告使用者注意。","——")</f>
        <v>——</v>
      </c>
      <c r="B9" s="3833"/>
      <c r="C9" s="3833"/>
      <c r="D9" s="3833"/>
    </row>
    <row r="10" spans="1:4">
      <c r="A10" s="3833" t="str">
        <f>IF(项目基本情况!B8="抵押","4.估价师所知悉的法定优先受偿款情况为：","——")</f>
        <v>——</v>
      </c>
      <c r="B10" s="3833"/>
      <c r="C10" s="3833"/>
      <c r="D10" s="3833"/>
    </row>
    <row r="11" spans="1:4" ht="37.5" customHeight="1">
      <c r="A11" s="3835" t="str">
        <f>IF(项目基本情况!B8="抵押","（1）"&amp;CONCATENATE(项目基本情况!L24,项目基本情况!L25,项目基本情况!L26),"——")</f>
        <v>——</v>
      </c>
      <c r="B11" s="3835"/>
      <c r="C11" s="3835"/>
      <c r="D11" s="3835"/>
    </row>
    <row r="12" spans="1:4" ht="168" customHeight="1">
      <c r="A12" s="3832" t="s">
        <v>1849</v>
      </c>
      <c r="B12" s="3832"/>
      <c r="C12" s="3832"/>
      <c r="D12" s="3832"/>
    </row>
    <row r="13" spans="1:4">
      <c r="A13" s="3836" t="s">
        <v>2512</v>
      </c>
      <c r="B13" s="3836"/>
      <c r="C13" s="3836"/>
      <c r="D13" s="3836"/>
    </row>
    <row r="14" spans="1:4">
      <c r="A14" s="3835" t="str">
        <f>IF(项目基本情况!B8="抵押","综上，"&amp;结果表!K47,"——")</f>
        <v>——</v>
      </c>
      <c r="B14" s="3835"/>
      <c r="C14" s="3835"/>
      <c r="D14" s="3835"/>
    </row>
    <row r="15" spans="1:4" ht="58.5" customHeight="1">
      <c r="A15" s="38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33"/>
      <c r="C15" s="3833"/>
      <c r="D15" s="3833"/>
    </row>
    <row r="16" spans="1:4" ht="70.5" customHeight="1">
      <c r="A16" s="38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33"/>
      <c r="C16" s="3833"/>
      <c r="D16" s="3833"/>
    </row>
    <row r="17" spans="1:4">
      <c r="A17" s="3833" t="s">
        <v>2468</v>
      </c>
      <c r="B17" s="3833"/>
      <c r="C17" s="3833"/>
      <c r="D17" s="3833"/>
    </row>
    <row r="18" spans="1:4">
      <c r="A18" s="3833" t="s">
        <v>2460</v>
      </c>
      <c r="B18" s="3833"/>
      <c r="C18" s="3833"/>
      <c r="D18" s="3833"/>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833" t="s">
        <v>2465</v>
      </c>
      <c r="B23" s="3833"/>
      <c r="C23" s="3833"/>
      <c r="D23" s="3833"/>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844" t="s">
        <v>53</v>
      </c>
      <c r="B15" s="3845" t="s">
        <v>817</v>
      </c>
      <c r="C15" s="3841"/>
    </row>
    <row r="16" spans="1:7" ht="14.25">
      <c r="A16" s="3844"/>
      <c r="B16" s="3842" t="s">
        <v>54</v>
      </c>
      <c r="C16" s="1114" t="s">
        <v>53</v>
      </c>
    </row>
    <row r="17" spans="1:3" ht="14.25">
      <c r="A17" s="3844"/>
      <c r="B17" s="3842"/>
      <c r="C17" s="1114" t="s">
        <v>55</v>
      </c>
    </row>
    <row r="18" spans="1:3" ht="14.25">
      <c r="A18" s="3844"/>
      <c r="B18" s="3842"/>
      <c r="C18" s="1114" t="s">
        <v>56</v>
      </c>
    </row>
    <row r="19" spans="1:3" ht="14.25">
      <c r="A19" s="3844"/>
      <c r="B19" s="3840" t="s">
        <v>57</v>
      </c>
      <c r="C19" s="3841"/>
    </row>
    <row r="20" spans="1:3" ht="14.25">
      <c r="A20" s="1115" t="s">
        <v>58</v>
      </c>
      <c r="B20" s="1116"/>
      <c r="C20" s="1117"/>
    </row>
    <row r="21" spans="1:3" ht="14.25">
      <c r="A21" s="3843" t="s">
        <v>59</v>
      </c>
      <c r="B21" s="3840" t="s">
        <v>60</v>
      </c>
      <c r="C21" s="3841"/>
    </row>
    <row r="22" spans="1:3" ht="14.25">
      <c r="A22" s="3843"/>
      <c r="B22" s="3840" t="s">
        <v>61</v>
      </c>
      <c r="C22" s="3841"/>
    </row>
    <row r="23" spans="1:3" ht="14.25">
      <c r="A23" s="3843"/>
      <c r="B23" s="3840" t="s">
        <v>62</v>
      </c>
      <c r="C23" s="3841"/>
    </row>
    <row r="24" spans="1:3" ht="14.25">
      <c r="A24" s="3843"/>
      <c r="B24" s="3846" t="s">
        <v>63</v>
      </c>
      <c r="C24" s="1118" t="s">
        <v>808</v>
      </c>
    </row>
    <row r="25" spans="1:3" ht="14.25">
      <c r="A25" s="3843"/>
      <c r="B25" s="3847"/>
      <c r="C25" s="1118" t="s">
        <v>809</v>
      </c>
    </row>
    <row r="26" spans="1:3" ht="14.25">
      <c r="A26" s="3843"/>
      <c r="B26" s="3847"/>
      <c r="C26" s="1118" t="s">
        <v>810</v>
      </c>
    </row>
    <row r="27" spans="1:3" ht="14.25">
      <c r="A27" s="3843"/>
      <c r="B27" s="3847"/>
      <c r="C27" s="1118" t="s">
        <v>811</v>
      </c>
    </row>
    <row r="28" spans="1:3" ht="14.25">
      <c r="A28" s="3843"/>
      <c r="B28" s="3847"/>
      <c r="C28" s="1118" t="s">
        <v>812</v>
      </c>
    </row>
    <row r="29" spans="1:3" ht="14.25">
      <c r="A29" s="3843"/>
      <c r="B29" s="3847"/>
      <c r="C29" s="1118" t="s">
        <v>813</v>
      </c>
    </row>
    <row r="30" spans="1:3" ht="14.25">
      <c r="A30" s="3843"/>
      <c r="B30" s="3847"/>
      <c r="C30" s="1118" t="s">
        <v>814</v>
      </c>
    </row>
    <row r="31" spans="1:3" ht="14.25">
      <c r="A31" s="3843"/>
      <c r="B31" s="3847"/>
      <c r="C31" s="1118" t="s">
        <v>815</v>
      </c>
    </row>
    <row r="32" spans="1:3" ht="14.25">
      <c r="A32" s="3843"/>
      <c r="B32" s="3847"/>
      <c r="C32" s="1118" t="s">
        <v>1437</v>
      </c>
    </row>
    <row r="33" spans="1:3" ht="14.25">
      <c r="A33" s="3843"/>
      <c r="B33" s="3837" t="s">
        <v>1443</v>
      </c>
      <c r="C33" s="1118" t="s">
        <v>1438</v>
      </c>
    </row>
    <row r="34" spans="1:3" ht="14.25">
      <c r="A34" s="3843"/>
      <c r="B34" s="3838"/>
      <c r="C34" s="1123" t="s">
        <v>1439</v>
      </c>
    </row>
    <row r="35" spans="1:3" ht="14.25">
      <c r="A35" s="3843"/>
      <c r="B35" s="3838"/>
      <c r="C35" s="1124" t="s">
        <v>1440</v>
      </c>
    </row>
    <row r="36" spans="1:3" ht="14.25">
      <c r="A36" s="3843"/>
      <c r="B36" s="3838"/>
      <c r="C36" s="1124" t="s">
        <v>1441</v>
      </c>
    </row>
    <row r="37" spans="1:3" ht="14.25">
      <c r="A37" s="3843"/>
      <c r="B37" s="3839"/>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44880</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t="str">
        <f ca="1">IF(C4&lt;B2,"已过期",1119970066)</f>
        <v>已过期</v>
      </c>
      <c r="C4" s="2950">
        <v>44876</v>
      </c>
      <c r="D4" s="2958" t="s">
        <v>1699</v>
      </c>
      <c r="E4" s="2947">
        <f ca="1">IF(F4&lt;B2,"已过期",96010014)</f>
        <v>96010014</v>
      </c>
      <c r="F4" s="2949">
        <v>47118</v>
      </c>
      <c r="G4" s="2942"/>
    </row>
    <row r="5" spans="1:7" ht="20.25" customHeight="1">
      <c r="A5" s="2947" t="s">
        <v>1700</v>
      </c>
      <c r="B5" s="2947" t="str">
        <f ca="1">IF(C5&lt;B2,"已过期",1119970111)</f>
        <v>已过期</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t="str">
        <f ca="1">IF(C7&lt;B2,"已过期",1120000080)</f>
        <v>已过期</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t="str">
        <f ca="1">IF(C11&lt;B2,"已过期",1120070131)</f>
        <v>已过期</v>
      </c>
      <c r="C11" s="2950">
        <v>44849</v>
      </c>
      <c r="D11" s="2958" t="s">
        <v>1706</v>
      </c>
      <c r="E11" s="2947">
        <f ca="1">IF(F11&lt;B2,"已过期",2014110011)</f>
        <v>2014110011</v>
      </c>
      <c r="F11" s="2949">
        <v>49302</v>
      </c>
      <c r="G11" s="2942"/>
    </row>
    <row r="12" spans="1:7" ht="20.25" customHeight="1">
      <c r="A12" s="2947" t="s">
        <v>2724</v>
      </c>
      <c r="B12" s="2947" t="str">
        <f ca="1">IF(C12&lt;B2,"已过期",1120040230)</f>
        <v>已过期</v>
      </c>
      <c r="C12" s="2950">
        <v>44864</v>
      </c>
      <c r="D12" s="2958" t="s">
        <v>2725</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2736</v>
      </c>
      <c r="B15" s="2947">
        <f ca="1">IF(C15&lt;B2,"已过期",1119980106)</f>
        <v>1119980106</v>
      </c>
      <c r="C15" s="2950">
        <v>44969</v>
      </c>
      <c r="D15" s="2958"/>
      <c r="E15" s="2947"/>
      <c r="F15" s="2947"/>
      <c r="G15" s="2942"/>
    </row>
    <row r="16" spans="1:7" ht="20.25" customHeight="1">
      <c r="A16" s="2946" t="s">
        <v>2938</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851" t="s">
        <v>1709</v>
      </c>
      <c r="B18" s="3852"/>
      <c r="C18" s="3852"/>
      <c r="D18" s="3852"/>
      <c r="E18" s="3852"/>
      <c r="F18" s="3852"/>
      <c r="G18" s="2951"/>
    </row>
    <row r="19" spans="1:7" ht="20.25" customHeight="1">
      <c r="A19" s="3848" t="s">
        <v>1710</v>
      </c>
      <c r="B19" s="3848"/>
      <c r="C19" s="3849"/>
      <c r="D19" s="3850" t="s">
        <v>1711</v>
      </c>
      <c r="E19" s="3848"/>
      <c r="F19" s="3848"/>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2735</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2702</v>
      </c>
      <c r="C18" s="1442"/>
    </row>
    <row r="19" spans="1:3">
      <c r="A19" s="8" t="s">
        <v>120</v>
      </c>
      <c r="B19" s="2719" t="s">
        <v>2709</v>
      </c>
      <c r="C19" s="1442"/>
    </row>
    <row r="20" spans="1:3">
      <c r="A20" s="8" t="s">
        <v>121</v>
      </c>
      <c r="B20" s="2719" t="s">
        <v>2749</v>
      </c>
      <c r="C20" s="1442"/>
    </row>
    <row r="21" spans="1:3">
      <c r="A21" s="8" t="s">
        <v>122</v>
      </c>
      <c r="B21" s="8" t="s">
        <v>2931</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3"/>
    </row>
    <row r="52" spans="1:5">
      <c r="A52" s="1631" t="s">
        <v>1767</v>
      </c>
      <c r="B52" s="1634" t="s">
        <v>1768</v>
      </c>
      <c r="C52" s="1632" t="s">
        <v>1769</v>
      </c>
      <c r="D52" s="1632" t="s">
        <v>1770</v>
      </c>
      <c r="E52" s="1633"/>
    </row>
    <row r="53" spans="1:5">
      <c r="A53" s="3853"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c r="D53" s="1633"/>
      <c r="E53" s="1633"/>
    </row>
    <row r="54" spans="1:5">
      <c r="A54" s="3853"/>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3"/>
      <c r="E54" s="1633"/>
    </row>
    <row r="55" spans="1:5">
      <c r="A55" s="3853"/>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3"/>
      <c r="E55" s="1633"/>
    </row>
    <row r="56" spans="1:5">
      <c r="A56" s="3853"/>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3"/>
      <c r="E56" s="1633"/>
    </row>
    <row r="57" spans="1:5">
      <c r="A57" s="3853"/>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停产停业损失补偿</vt:lpstr>
      <vt:lpstr>成本逼近法</vt:lpstr>
      <vt:lpstr>比较法-工业</vt:lpstr>
      <vt:lpstr>剩余法-现房</vt:lpstr>
      <vt:lpstr>比较法-住宅、综合</vt:lpstr>
      <vt:lpstr>基准地价</vt:lpstr>
      <vt:lpstr>修正</vt:lpstr>
      <vt:lpstr>区片价</vt:lpstr>
      <vt:lpstr>容积率修正</vt:lpstr>
      <vt:lpstr>因素修正幅度</vt:lpstr>
      <vt:lpstr>不动产收益法</vt:lpstr>
      <vt:lpstr>地价</vt:lpstr>
      <vt:lpstr>招拍挂成交</vt:lpstr>
      <vt:lpstr>Sheet1</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2017-03-09T08:11:21Z</cp:lastPrinted>
  <dcterms:created xsi:type="dcterms:W3CDTF">2015-07-13T07:17:23Z</dcterms:created>
  <dcterms:modified xsi:type="dcterms:W3CDTF">2022-11-15T06:20:41Z</dcterms:modified>
</cp:coreProperties>
</file>