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1\Desktop\12.16-吴琼询价\"/>
    </mc:Choice>
  </mc:AlternateContent>
  <xr:revisionPtr revIDLastSave="0" documentId="13_ncr:1_{2312F293-987C-4A62-8910-773F5DCA01F7}"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C6" i="68"/>
  <c r="G84" i="43"/>
  <c r="G85" i="43"/>
  <c r="G86" i="43"/>
  <c r="G87" i="43"/>
  <c r="G88" i="43"/>
  <c r="G89" i="43"/>
  <c r="G90" i="43"/>
  <c r="G83" i="43"/>
  <c r="D33" i="43"/>
  <c r="Y20" i="1"/>
  <c r="Y19" i="1"/>
  <c r="X19" i="1"/>
  <c r="AH6" i="1"/>
  <c r="V20" i="1"/>
  <c r="U19" i="1"/>
  <c r="U18" i="1"/>
  <c r="Y6" i="1"/>
  <c r="N18" i="1"/>
  <c r="B53" i="78"/>
  <c r="B52" i="78"/>
  <c r="G19" i="6"/>
  <c r="F19" i="6"/>
  <c r="A3" i="3"/>
  <c r="K13" i="3"/>
  <c r="I13" i="3"/>
  <c r="D5" i="80"/>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R40" i="79"/>
  <c r="AR41" i="79" s="1"/>
  <c r="AR42" i="79" s="1"/>
  <c r="AR43" i="79" s="1"/>
  <c r="AR44" i="79" s="1"/>
  <c r="AR45" i="79" s="1"/>
  <c r="AR46" i="79" s="1"/>
  <c r="AR47" i="79" s="1"/>
  <c r="AR48" i="79" s="1"/>
  <c r="AR49" i="79" s="1"/>
  <c r="AR50" i="79" s="1"/>
  <c r="AR51" i="79" s="1"/>
  <c r="AR52" i="79" s="1"/>
  <c r="AD38" i="79"/>
  <c r="AD37" i="79"/>
  <c r="AD34" i="79"/>
  <c r="AD35" i="79"/>
  <c r="AD36" i="79"/>
  <c r="S34" i="79"/>
  <c r="AG34" i="79" s="1"/>
  <c r="S35" i="79"/>
  <c r="AG35" i="79" s="1"/>
  <c r="S33" i="79"/>
  <c r="AG33" i="79" s="1"/>
  <c r="T40" i="79"/>
  <c r="U46" i="79"/>
  <c r="AI46" i="79" s="1"/>
  <c r="AD47" i="79"/>
  <c r="S48" i="79"/>
  <c r="AG48" i="79" s="1"/>
  <c r="U50" i="79"/>
  <c r="AI50" i="79" s="1"/>
  <c r="AD51" i="79"/>
  <c r="AR18" i="79"/>
  <c r="AR19" i="79" s="1"/>
  <c r="AR20" i="79" s="1"/>
  <c r="AR21" i="79" s="1"/>
  <c r="AR22" i="79" s="1"/>
  <c r="AR23" i="79" s="1"/>
  <c r="AR24" i="79" s="1"/>
  <c r="T34" i="79"/>
  <c r="T35" i="79"/>
  <c r="T33"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15" i="79"/>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5" i="3"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F26" i="33"/>
  <c r="AA26" i="33"/>
  <c r="U33" i="33"/>
  <c r="U35" i="33"/>
  <c r="S40" i="33"/>
  <c r="W33" i="33"/>
  <c r="W39" i="33"/>
  <c r="H39" i="37"/>
  <c r="AB39" i="37" s="1"/>
  <c r="S27" i="35"/>
  <c r="F11" i="40"/>
  <c r="AA11" i="40" s="1"/>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F113" i="33"/>
  <c r="G113" i="33"/>
  <c r="H113" i="33" s="1"/>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AZ579" i="3" s="1"/>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c r="BL196" i="3"/>
  <c r="G197" i="3"/>
  <c r="BA199" i="3"/>
  <c r="BL200" i="3"/>
  <c r="G201" i="3"/>
  <c r="BA203" i="3"/>
  <c r="BL204" i="3"/>
  <c r="AZ105"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AZ269" i="3"/>
  <c r="BA379" i="3"/>
  <c r="AZ379" i="3" s="1"/>
  <c r="BL380" i="3"/>
  <c r="G381" i="3"/>
  <c r="BA383" i="3"/>
  <c r="AZ383" i="3" s="1"/>
  <c r="BL384" i="3"/>
  <c r="G385" i="3"/>
  <c r="BA387" i="3"/>
  <c r="AZ387" i="3" s="1"/>
  <c r="BL388" i="3"/>
  <c r="G389" i="3"/>
  <c r="BA391" i="3"/>
  <c r="BL392" i="3"/>
  <c r="AZ392" i="3" s="1"/>
  <c r="G393" i="3"/>
  <c r="BO5" i="3"/>
  <c r="BJ5" i="3"/>
  <c r="BF5" i="3"/>
  <c r="AC5" i="3"/>
  <c r="AZ506" i="3"/>
  <c r="AZ496" i="3"/>
  <c r="G548" i="3"/>
  <c r="G538" i="3"/>
  <c r="G520" i="3"/>
  <c r="G502" i="3"/>
  <c r="BS5" i="3"/>
  <c r="BP5" i="3"/>
  <c r="BK5" i="3"/>
  <c r="BI5" i="3"/>
  <c r="BG5" i="3"/>
  <c r="BE5" i="3"/>
  <c r="BC5" i="3"/>
  <c r="G17" i="3"/>
  <c r="BA17" i="3"/>
  <c r="AZ350" i="3"/>
  <c r="BA15" i="3"/>
  <c r="BB5" i="3"/>
  <c r="BR5" i="3"/>
  <c r="AZ380" i="3"/>
  <c r="AZ499" i="3"/>
  <c r="AZ509" i="3"/>
  <c r="G509" i="3"/>
  <c r="BL493" i="3"/>
  <c r="AZ493" i="3" s="1"/>
  <c r="U36" i="40"/>
  <c r="F83" i="43"/>
  <c r="H85" i="43" s="1"/>
  <c r="F50" i="43"/>
  <c r="H54" i="43" s="1"/>
  <c r="F72" i="43"/>
  <c r="H75" i="43" s="1"/>
  <c r="U17" i="39"/>
  <c r="S14" i="35"/>
  <c r="U43" i="21"/>
  <c r="U35" i="21"/>
  <c r="AC35" i="21"/>
  <c r="AZ563" i="3"/>
  <c r="AZ501" i="3"/>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133"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AP6" i="1" s="1"/>
  <c r="AC26" i="33"/>
  <c r="W26" i="33"/>
  <c r="W27" i="34"/>
  <c r="AC27" i="34"/>
  <c r="AB34" i="36"/>
  <c r="U34" i="36"/>
  <c r="AB33" i="36"/>
  <c r="U33" i="36"/>
  <c r="AC12" i="39"/>
  <c r="W12" i="39"/>
  <c r="AC39" i="40"/>
  <c r="W39" i="40"/>
  <c r="AZ586" i="3"/>
  <c r="W12" i="33"/>
  <c r="AC12" i="33"/>
  <c r="AA32" i="36"/>
  <c r="S32" i="36"/>
  <c r="AZ473" i="3"/>
  <c r="BL14" i="3"/>
  <c r="U30" i="33"/>
  <c r="AC13" i="34"/>
  <c r="AA47" i="34"/>
  <c r="W28" i="37"/>
  <c r="S19" i="39"/>
  <c r="F12" i="33"/>
  <c r="H12" i="39"/>
  <c r="AB12" i="39" s="1"/>
  <c r="F39" i="40"/>
  <c r="BA14" i="3"/>
  <c r="AZ286" i="3"/>
  <c r="AZ157" i="3"/>
  <c r="AZ173" i="3"/>
  <c r="AZ181"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W39" i="37"/>
  <c r="S30" i="37"/>
  <c r="S37"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S37" i="21"/>
  <c r="AB15" i="21"/>
  <c r="J23" i="21"/>
  <c r="F85" i="21"/>
  <c r="G85" i="21" s="1"/>
  <c r="H23" i="21"/>
  <c r="S13" i="21"/>
  <c r="AP7" i="1"/>
  <c r="AB45" i="21"/>
  <c r="AA32" i="21"/>
  <c r="S32" i="21"/>
  <c r="W9" i="21"/>
  <c r="AC9" i="21"/>
  <c r="AB32" i="21"/>
  <c r="U32" i="21"/>
  <c r="U32" i="39"/>
  <c r="AC32" i="39"/>
  <c r="J11" i="37"/>
  <c r="AC11" i="37" s="1"/>
  <c r="J11" i="34"/>
  <c r="W11" i="34" s="1"/>
  <c r="W25"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7" i="76"/>
  <c r="E7" i="76"/>
  <c r="E10" i="76"/>
  <c r="E11" i="76"/>
  <c r="B8" i="76"/>
  <c r="E2" i="69"/>
  <c r="F7" i="73"/>
  <c r="F38" i="15"/>
  <c r="E12" i="76"/>
  <c r="J15" i="15"/>
  <c r="F16" i="67"/>
  <c r="F6" i="67"/>
  <c r="F36" i="67"/>
  <c r="E9" i="76"/>
  <c r="F43" i="15"/>
  <c r="C76" i="67"/>
  <c r="M23" i="67"/>
  <c r="F8" i="15"/>
  <c r="L47" i="15"/>
  <c r="M24" i="15"/>
  <c r="F4" i="73"/>
  <c r="AO13" i="1"/>
  <c r="F7" i="67"/>
  <c r="M8" i="67"/>
  <c r="F42" i="67"/>
  <c r="F9" i="67"/>
  <c r="M29" i="67"/>
  <c r="M26" i="67"/>
  <c r="D34" i="9"/>
  <c r="J15" i="67"/>
  <c r="F40" i="67"/>
  <c r="M6" i="15"/>
  <c r="B9" i="76"/>
  <c r="B11" i="76"/>
  <c r="B13" i="76"/>
  <c r="M26" i="15"/>
  <c r="F20" i="31"/>
  <c r="B10" i="76"/>
  <c r="F3" i="73"/>
  <c r="E8" i="76"/>
  <c r="F5" i="73"/>
  <c r="D35" i="9"/>
  <c r="F6" i="73"/>
  <c r="E2" i="68"/>
  <c r="F36" i="15"/>
  <c r="F7" i="15"/>
  <c r="E13" i="76"/>
  <c r="F26" i="67"/>
  <c r="F13" i="15"/>
  <c r="F13" i="67"/>
  <c r="M6" i="67"/>
  <c r="B12" i="76"/>
  <c r="L48" i="15"/>
  <c r="F43" i="67"/>
  <c r="B41" i="1" l="1"/>
  <c r="D93" i="9"/>
  <c r="C21" i="68"/>
  <c r="C40" i="69"/>
  <c r="D22" i="15"/>
  <c r="D23" i="15"/>
  <c r="BL13" i="3"/>
  <c r="G29" i="6"/>
  <c r="J1" i="73"/>
  <c r="AZ571" i="3"/>
  <c r="S44" i="34"/>
  <c r="AA44" i="34"/>
  <c r="U19" i="33"/>
  <c r="AC27" i="33"/>
  <c r="AC23" i="37"/>
  <c r="U9" i="21"/>
  <c r="D6" i="52"/>
  <c r="S36" i="33"/>
  <c r="AA23" i="37"/>
  <c r="W33" i="34"/>
  <c r="AA40" i="34"/>
  <c r="W27" i="40"/>
  <c r="S23" i="21"/>
  <c r="W15" i="21"/>
  <c r="U32" i="37"/>
  <c r="S30" i="40"/>
  <c r="AZ14" i="3"/>
  <c r="S15" i="37"/>
  <c r="AZ345" i="3"/>
  <c r="AZ334" i="3"/>
  <c r="AZ372" i="3"/>
  <c r="AZ347" i="3"/>
  <c r="AZ337" i="3"/>
  <c r="AZ376" i="3"/>
  <c r="AZ309" i="3"/>
  <c r="AA11" i="39"/>
  <c r="AC12" i="37"/>
  <c r="AZ520" i="3"/>
  <c r="S29" i="35"/>
  <c r="AA29" i="35"/>
  <c r="W17" i="21"/>
  <c r="U12" i="39"/>
  <c r="AA27" i="40"/>
  <c r="AB27" i="40"/>
  <c r="AZ535" i="3"/>
  <c r="AZ557" i="3"/>
  <c r="AZ503" i="3"/>
  <c r="AZ513" i="3"/>
  <c r="AZ575" i="3"/>
  <c r="S14" i="34"/>
  <c r="AA14" i="34"/>
  <c r="U17" i="34"/>
  <c r="AB17" i="34"/>
  <c r="U12" i="36"/>
  <c r="AB12" i="36"/>
  <c r="AB36" i="33"/>
  <c r="AA19" i="33"/>
  <c r="AC20" i="36"/>
  <c r="AA39" i="39"/>
  <c r="AC15" i="37"/>
  <c r="U12" i="40"/>
  <c r="AC11" i="39"/>
  <c r="F29" i="6"/>
  <c r="AZ391" i="3"/>
  <c r="AZ318" i="3"/>
  <c r="AZ364" i="3"/>
  <c r="AZ329" i="3"/>
  <c r="AZ306" i="3"/>
  <c r="W35" i="40"/>
  <c r="U11" i="33"/>
  <c r="AZ508" i="3"/>
  <c r="AZ540" i="3"/>
  <c r="AZ502" i="3"/>
  <c r="AA14" i="37"/>
  <c r="S14" i="37"/>
  <c r="U45" i="33"/>
  <c r="AB45" i="33"/>
  <c r="S41" i="33"/>
  <c r="BL585" i="3"/>
  <c r="AZ585" i="3" s="1"/>
  <c r="B75" i="43"/>
  <c r="BL550" i="3"/>
  <c r="AZ539" i="3"/>
  <c r="AZ529" i="3"/>
  <c r="AZ537" i="3"/>
  <c r="AZ518" i="3"/>
  <c r="AZ546" i="3"/>
  <c r="AZ469" i="3"/>
  <c r="BL587" i="3"/>
  <c r="AZ587" i="3" s="1"/>
  <c r="J9" i="34"/>
  <c r="G570" i="3"/>
  <c r="AZ519" i="3"/>
  <c r="AZ531" i="3"/>
  <c r="AZ573" i="3"/>
  <c r="AZ583" i="3"/>
  <c r="AZ568" i="3"/>
  <c r="AZ576" i="3"/>
  <c r="G587" i="3"/>
  <c r="J12" i="35"/>
  <c r="F25" i="37"/>
  <c r="BL15" i="3"/>
  <c r="AZ15" i="3" s="1"/>
  <c r="BA398" i="3"/>
  <c r="BA399" i="3"/>
  <c r="AZ399" i="3" s="1"/>
  <c r="BL401" i="3"/>
  <c r="BL404" i="3"/>
  <c r="BL405" i="3"/>
  <c r="BL407" i="3"/>
  <c r="AZ407" i="3" s="1"/>
  <c r="BA412" i="3"/>
  <c r="AZ412" i="3" s="1"/>
  <c r="BA414" i="3"/>
  <c r="AZ414" i="3" s="1"/>
  <c r="BA415" i="3"/>
  <c r="BA416" i="3"/>
  <c r="AZ416" i="3" s="1"/>
  <c r="BA418" i="3"/>
  <c r="BA421" i="3"/>
  <c r="AZ421" i="3" s="1"/>
  <c r="BA423" i="3"/>
  <c r="AZ423" i="3" s="1"/>
  <c r="BA425" i="3"/>
  <c r="BA426" i="3"/>
  <c r="BA427" i="3"/>
  <c r="AZ427" i="3" s="1"/>
  <c r="BA433" i="3"/>
  <c r="AZ433" i="3" s="1"/>
  <c r="BA435" i="3"/>
  <c r="BL437" i="3"/>
  <c r="AZ437" i="3" s="1"/>
  <c r="G439" i="3"/>
  <c r="BL441" i="3"/>
  <c r="AZ441" i="3" s="1"/>
  <c r="BL442" i="3"/>
  <c r="BL444" i="3"/>
  <c r="G446" i="3"/>
  <c r="BL448" i="3"/>
  <c r="G450" i="3"/>
  <c r="BA454" i="3"/>
  <c r="BA457" i="3"/>
  <c r="AZ457" i="3" s="1"/>
  <c r="BA459" i="3"/>
  <c r="BA460" i="3"/>
  <c r="BA461" i="3"/>
  <c r="BL464" i="3"/>
  <c r="BL466" i="3"/>
  <c r="G468" i="3"/>
  <c r="BL476" i="3"/>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G260" i="3"/>
  <c r="BL260" i="3"/>
  <c r="BA268" i="3"/>
  <c r="BA277" i="3"/>
  <c r="AZ277" i="3" s="1"/>
  <c r="BL277" i="3"/>
  <c r="G574" i="3"/>
  <c r="BL16" i="3"/>
  <c r="AZ16" i="3" s="1"/>
  <c r="BA401" i="3"/>
  <c r="AZ401" i="3" s="1"/>
  <c r="BA403" i="3"/>
  <c r="BA404" i="3"/>
  <c r="AZ404" i="3" s="1"/>
  <c r="BA405" i="3"/>
  <c r="AZ405" i="3" s="1"/>
  <c r="BL410" i="3"/>
  <c r="G412" i="3"/>
  <c r="AZ419" i="3"/>
  <c r="AZ444" i="3"/>
  <c r="AZ448" i="3"/>
  <c r="AZ464" i="3"/>
  <c r="AZ466" i="3"/>
  <c r="AZ476" i="3"/>
  <c r="BA482" i="3"/>
  <c r="BA484" i="3"/>
  <c r="AZ484" i="3" s="1"/>
  <c r="G491" i="3"/>
  <c r="BA303" i="3"/>
  <c r="AZ303" i="3" s="1"/>
  <c r="BA307" i="3"/>
  <c r="AZ307" i="3" s="1"/>
  <c r="G311" i="3"/>
  <c r="BL314" i="3"/>
  <c r="AZ314" i="3" s="1"/>
  <c r="G315" i="3"/>
  <c r="BA332" i="3"/>
  <c r="BL332" i="3"/>
  <c r="G339" i="3"/>
  <c r="G364" i="3"/>
  <c r="BA367" i="3"/>
  <c r="AZ367" i="3" s="1"/>
  <c r="BA370" i="3"/>
  <c r="AZ370" i="3" s="1"/>
  <c r="BL266" i="3"/>
  <c r="BA276" i="3"/>
  <c r="G279" i="3"/>
  <c r="BA551" i="3"/>
  <c r="AZ551" i="3" s="1"/>
  <c r="BA550" i="3"/>
  <c r="AZ550" i="3" s="1"/>
  <c r="BL548" i="3"/>
  <c r="AZ548"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8" i="3"/>
  <c r="AZ488" i="3" s="1"/>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1" i="3"/>
  <c r="BA274" i="3"/>
  <c r="AZ274" i="3" s="1"/>
  <c r="BL274" i="3"/>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2" i="3"/>
  <c r="G263" i="3"/>
  <c r="BL264" i="3"/>
  <c r="BA271" i="3"/>
  <c r="BL271" i="3"/>
  <c r="G281" i="3"/>
  <c r="AZ301"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BL25" i="3"/>
  <c r="BL27" i="3"/>
  <c r="BA28" i="3"/>
  <c r="BA31" i="3"/>
  <c r="AZ31" i="3" s="1"/>
  <c r="BA32" i="3"/>
  <c r="BA38" i="3"/>
  <c r="BL40" i="3"/>
  <c r="BL41" i="3"/>
  <c r="AZ52" i="3"/>
  <c r="D31" i="71"/>
  <c r="C32" i="71"/>
  <c r="C52" i="71"/>
  <c r="D51" i="71"/>
  <c r="C55" i="71"/>
  <c r="D54" i="71"/>
  <c r="BA282" i="3"/>
  <c r="AZ282" i="3" s="1"/>
  <c r="BL282" i="3"/>
  <c r="BA284" i="3"/>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A174" i="3"/>
  <c r="BA182" i="3"/>
  <c r="BL193" i="3"/>
  <c r="G194" i="3"/>
  <c r="BL194" i="3"/>
  <c r="AZ194" i="3" s="1"/>
  <c r="BA198" i="3"/>
  <c r="AZ198" i="3" s="1"/>
  <c r="BL206" i="3"/>
  <c r="BA19" i="3"/>
  <c r="AZ19" i="3" s="1"/>
  <c r="G22" i="3"/>
  <c r="G24" i="3"/>
  <c r="G25" i="3"/>
  <c r="BA27" i="3"/>
  <c r="G30" i="3"/>
  <c r="BL30" i="3"/>
  <c r="BL31" i="3"/>
  <c r="G37" i="3"/>
  <c r="BA43" i="3"/>
  <c r="BL47" i="3"/>
  <c r="AZ47" i="3" s="1"/>
  <c r="BL54" i="3"/>
  <c r="BL55" i="3"/>
  <c r="AZ55" i="3" s="1"/>
  <c r="N67" i="71"/>
  <c r="B66" i="71"/>
  <c r="F66" i="71"/>
  <c r="Q67" i="71"/>
  <c r="AZ126" i="3"/>
  <c r="BL177" i="3"/>
  <c r="AZ177" i="3" s="1"/>
  <c r="BA186" i="3"/>
  <c r="AZ186" i="3" s="1"/>
  <c r="BA197" i="3"/>
  <c r="AZ197" i="3" s="1"/>
  <c r="BL203" i="3"/>
  <c r="AZ203" i="3" s="1"/>
  <c r="BA204" i="3"/>
  <c r="AZ204" i="3" s="1"/>
  <c r="G33" i="3"/>
  <c r="G34" i="3"/>
  <c r="BL48" i="3"/>
  <c r="BA51" i="3"/>
  <c r="BL56" i="3"/>
  <c r="BA58" i="3"/>
  <c r="BL59" i="3"/>
  <c r="BL60" i="3"/>
  <c r="BA61" i="3"/>
  <c r="BL64" i="3"/>
  <c r="BA67" i="3"/>
  <c r="AZ67" i="3" s="1"/>
  <c r="C44" i="71"/>
  <c r="D43" i="71"/>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BL302" i="3"/>
  <c r="BA114" i="3"/>
  <c r="BL123" i="3"/>
  <c r="AZ123" i="3" s="1"/>
  <c r="BA128" i="3"/>
  <c r="AZ128" i="3" s="1"/>
  <c r="BL134" i="3"/>
  <c r="BL137"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BA41" i="3"/>
  <c r="BA42" i="3"/>
  <c r="BL45" i="3"/>
  <c r="BA48" i="3"/>
  <c r="BA49" i="3"/>
  <c r="BL62" i="3"/>
  <c r="AZ62" i="3" s="1"/>
  <c r="BL63" i="3"/>
  <c r="BA65" i="3"/>
  <c r="AZ65" i="3" s="1"/>
  <c r="BA72" i="3"/>
  <c r="AZ72" i="3" s="1"/>
  <c r="V24" i="71"/>
  <c r="E23" i="71"/>
  <c r="E22" i="71" s="1"/>
  <c r="E21" i="71" s="1"/>
  <c r="E20" i="71" s="1"/>
  <c r="G58" i="3"/>
  <c r="BA59" i="3"/>
  <c r="AZ59" i="3" s="1"/>
  <c r="G61" i="3"/>
  <c r="BL61" i="3"/>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BA68" i="3"/>
  <c r="BA73" i="3"/>
  <c r="BA80" i="3"/>
  <c r="BL84" i="3"/>
  <c r="BA103" i="3"/>
  <c r="AZ103" i="3" s="1"/>
  <c r="BA104" i="3"/>
  <c r="BA106" i="3"/>
  <c r="BL108" i="3"/>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37" i="3"/>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A90" i="3"/>
  <c r="BL94" i="3"/>
  <c r="AZ94" i="3" s="1"/>
  <c r="AZ100" i="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51" i="15"/>
  <c r="F71" i="15"/>
  <c r="L59" i="15"/>
  <c r="N59" i="15"/>
  <c r="L58" i="15"/>
  <c r="M59" i="15"/>
  <c r="F66" i="15"/>
  <c r="Q71" i="67"/>
  <c r="F64" i="15"/>
  <c r="C27" i="67"/>
  <c r="F71" i="67"/>
  <c r="B13" i="70"/>
  <c r="M7" i="67"/>
  <c r="F50" i="67"/>
  <c r="F68" i="67"/>
  <c r="F64" i="67"/>
  <c r="D9" i="69"/>
  <c r="F27" i="69"/>
  <c r="C36" i="69"/>
  <c r="C36" i="68"/>
  <c r="D9" i="68"/>
  <c r="D6" i="73"/>
  <c r="F9" i="15"/>
  <c r="F37" i="67"/>
  <c r="M9" i="67"/>
  <c r="M28" i="15"/>
  <c r="M9" i="15"/>
  <c r="C76" i="15"/>
  <c r="D4" i="73"/>
  <c r="L48" i="67"/>
  <c r="L47" i="67"/>
  <c r="M23" i="15"/>
  <c r="M24" i="67"/>
  <c r="F6" i="15"/>
  <c r="M28" i="67"/>
  <c r="M29" i="15"/>
  <c r="F37" i="15"/>
  <c r="F16" i="15"/>
  <c r="F38" i="67"/>
  <c r="M22" i="15"/>
  <c r="D5" i="73"/>
  <c r="F8" i="67"/>
  <c r="F26" i="15"/>
  <c r="M8" i="15"/>
  <c r="F40" i="15"/>
  <c r="M22" i="67"/>
  <c r="F42" i="15"/>
  <c r="D7" i="73"/>
  <c r="D3" i="73"/>
  <c r="C16" i="67"/>
  <c r="E83" i="43" l="1"/>
  <c r="B81" i="43" s="1"/>
  <c r="F48" i="9"/>
  <c r="O52" i="9" s="1"/>
  <c r="F30" i="68"/>
  <c r="F52" i="9"/>
  <c r="F32" i="15"/>
  <c r="F60" i="15" s="1"/>
  <c r="F54" i="9"/>
  <c r="F32" i="67"/>
  <c r="F60" i="67" s="1"/>
  <c r="F30" i="11"/>
  <c r="M18" i="67"/>
  <c r="M18" i="15"/>
  <c r="F28" i="67"/>
  <c r="C28" i="67" s="1"/>
  <c r="F28" i="15"/>
  <c r="C28" i="15" s="1"/>
  <c r="F31" i="12"/>
  <c r="C31" i="12" s="1"/>
  <c r="F30" i="69"/>
  <c r="D68" i="9"/>
  <c r="G26" i="43"/>
  <c r="N94" i="46"/>
  <c r="H26" i="43"/>
  <c r="F26" i="43"/>
  <c r="N370" i="46"/>
  <c r="K16" i="1"/>
  <c r="E26" i="43"/>
  <c r="P6" i="1"/>
  <c r="C13" i="12" s="1"/>
  <c r="F68" i="15"/>
  <c r="C27" i="15"/>
  <c r="C6" i="67"/>
  <c r="F31" i="67"/>
  <c r="F51" i="67"/>
  <c r="C49" i="67" s="1"/>
  <c r="F66" i="67"/>
  <c r="F65" i="15"/>
  <c r="F31" i="15"/>
  <c r="C6" i="15"/>
  <c r="L58" i="67"/>
  <c r="Q60" i="67" s="1"/>
  <c r="M59" i="67"/>
  <c r="N59" i="67"/>
  <c r="L59" i="67"/>
  <c r="Q61" i="67" s="1"/>
  <c r="J57" i="67"/>
  <c r="J55" i="67" s="1"/>
  <c r="J58" i="67" s="1"/>
  <c r="Q50" i="67" s="1"/>
  <c r="L56" i="67"/>
  <c r="I54" i="67"/>
  <c r="J53" i="67"/>
  <c r="Q52" i="67" s="1"/>
  <c r="Q71" i="15"/>
  <c r="F65" i="67"/>
  <c r="J6" i="15"/>
  <c r="J18" i="15" s="1"/>
  <c r="G5" i="3"/>
  <c r="B3" i="3" s="1"/>
  <c r="E539" i="3" s="1"/>
  <c r="C40" i="71"/>
  <c r="D39" i="71"/>
  <c r="AZ49" i="3"/>
  <c r="AZ41" i="3"/>
  <c r="AZ182" i="3"/>
  <c r="AZ302" i="3"/>
  <c r="AZ284" i="3"/>
  <c r="C56" i="71"/>
  <c r="D55" i="71"/>
  <c r="AZ27" i="3"/>
  <c r="AZ178" i="3"/>
  <c r="AZ429" i="3"/>
  <c r="AZ460" i="3"/>
  <c r="AZ435" i="3"/>
  <c r="AZ425" i="3"/>
  <c r="AA25" i="37"/>
  <c r="S25" i="37"/>
  <c r="C70" i="71"/>
  <c r="D70" i="71" s="1"/>
  <c r="D71" i="71"/>
  <c r="C36" i="71"/>
  <c r="D35" i="71"/>
  <c r="AZ39" i="3"/>
  <c r="AZ58" i="3"/>
  <c r="AZ130" i="3"/>
  <c r="AZ271" i="3"/>
  <c r="AZ459" i="3"/>
  <c r="AZ415" i="3"/>
  <c r="AZ398" i="3"/>
  <c r="W12" i="35"/>
  <c r="AC12" i="35"/>
  <c r="J6" i="67"/>
  <c r="T28" i="71"/>
  <c r="D28" i="71"/>
  <c r="U28" i="71" s="1"/>
  <c r="C27" i="71"/>
  <c r="D79" i="71"/>
  <c r="C78" i="71"/>
  <c r="D78" i="71" s="1"/>
  <c r="AZ61" i="3"/>
  <c r="T52" i="71"/>
  <c r="D52" i="71"/>
  <c r="AZ20" i="3"/>
  <c r="AC9" i="34"/>
  <c r="W9" i="34"/>
  <c r="D83" i="71"/>
  <c r="C82" i="71"/>
  <c r="D82" i="71" s="1"/>
  <c r="O65" i="71"/>
  <c r="D66" i="71"/>
  <c r="O66" i="71"/>
  <c r="AZ108" i="3"/>
  <c r="AZ150" i="3"/>
  <c r="D44" i="71"/>
  <c r="T44" i="71"/>
  <c r="AZ51" i="3"/>
  <c r="N65" i="71"/>
  <c r="N66" i="71"/>
  <c r="AZ137" i="3"/>
  <c r="AZ297" i="3"/>
  <c r="T32" i="71"/>
  <c r="D32" i="71"/>
  <c r="AZ28" i="3"/>
  <c r="AZ368" i="3"/>
  <c r="AZ353" i="3"/>
  <c r="AZ244" i="3"/>
  <c r="AZ239" i="3"/>
  <c r="AZ397" i="3"/>
  <c r="AZ332" i="3"/>
  <c r="AZ403" i="3"/>
  <c r="AZ483" i="3"/>
  <c r="AZ461" i="3"/>
  <c r="AZ454" i="3"/>
  <c r="AZ418" i="3"/>
  <c r="G16" i="1"/>
  <c r="F10" i="39" s="1"/>
  <c r="S10" i="39" s="1"/>
  <c r="J7" i="37"/>
  <c r="K1" i="73"/>
  <c r="AP6" i="3"/>
  <c r="E258" i="3"/>
  <c r="E371" i="3"/>
  <c r="E68" i="3"/>
  <c r="E174" i="3"/>
  <c r="E308" i="3"/>
  <c r="E470" i="3"/>
  <c r="E243" i="3"/>
  <c r="E35" i="3"/>
  <c r="E83" i="3"/>
  <c r="E564" i="3"/>
  <c r="E422" i="3"/>
  <c r="J6" i="3"/>
  <c r="E401" i="3"/>
  <c r="E178" i="3"/>
  <c r="E276" i="3"/>
  <c r="E60" i="3"/>
  <c r="E473" i="3"/>
  <c r="E170" i="3"/>
  <c r="E137" i="3"/>
  <c r="E339" i="3"/>
  <c r="E392" i="3"/>
  <c r="E112" i="3"/>
  <c r="E123" i="3"/>
  <c r="E340" i="3"/>
  <c r="E364" i="3"/>
  <c r="E62" i="3"/>
  <c r="E176" i="3"/>
  <c r="E365" i="3"/>
  <c r="E524" i="3"/>
  <c r="E141" i="3"/>
  <c r="E552" i="3"/>
  <c r="E460" i="3"/>
  <c r="E90" i="3"/>
  <c r="E58" i="3"/>
  <c r="E521" i="3"/>
  <c r="E24" i="3"/>
  <c r="E250" i="3"/>
  <c r="E244" i="3"/>
  <c r="E312" i="3"/>
  <c r="E500" i="3"/>
  <c r="E520" i="3"/>
  <c r="E446" i="3"/>
  <c r="E138" i="3"/>
  <c r="E48" i="3"/>
  <c r="E284" i="3"/>
  <c r="E149" i="3"/>
  <c r="E464" i="3"/>
  <c r="E297" i="3"/>
  <c r="E375" i="3"/>
  <c r="E584" i="3"/>
  <c r="E341" i="3"/>
  <c r="E374" i="3"/>
  <c r="E39" i="3"/>
  <c r="E259" i="3"/>
  <c r="E163" i="3"/>
  <c r="E66" i="3"/>
  <c r="Y6" i="3"/>
  <c r="AD6" i="3"/>
  <c r="E459" i="3"/>
  <c r="E488"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Q60" i="15"/>
  <c r="Q73" i="15"/>
  <c r="Q74" i="15"/>
  <c r="Q61" i="15"/>
  <c r="AE11" i="1"/>
  <c r="AE9" i="1"/>
  <c r="AE7" i="1"/>
  <c r="AE8" i="1"/>
  <c r="AE12" i="1"/>
  <c r="AE10" i="1"/>
  <c r="F27" i="68"/>
  <c r="AE6" i="1"/>
  <c r="G1" i="73"/>
  <c r="F41" i="67"/>
  <c r="C16" i="15"/>
  <c r="Q74" i="67" l="1"/>
  <c r="F1" i="67"/>
  <c r="D26" i="43"/>
  <c r="C25" i="43" s="1"/>
  <c r="C48" i="11"/>
  <c r="C30" i="11"/>
  <c r="J18" i="67"/>
  <c r="F48" i="68"/>
  <c r="C48" i="68"/>
  <c r="C30" i="68"/>
  <c r="Q73" i="67"/>
  <c r="C32" i="15"/>
  <c r="C32" i="67"/>
  <c r="F48" i="69"/>
  <c r="C30" i="69"/>
  <c r="C48" i="69"/>
  <c r="E195" i="3"/>
  <c r="E179" i="3"/>
  <c r="E462" i="3"/>
  <c r="E542" i="3"/>
  <c r="E266" i="3"/>
  <c r="E436" i="3"/>
  <c r="E323" i="3"/>
  <c r="E354" i="3"/>
  <c r="E110" i="3"/>
  <c r="E416" i="3"/>
  <c r="E222" i="3"/>
  <c r="E386" i="3"/>
  <c r="E348" i="3"/>
  <c r="E566" i="3"/>
  <c r="E165" i="3"/>
  <c r="E265" i="3"/>
  <c r="E20" i="3"/>
  <c r="E289" i="3"/>
  <c r="E52" i="3"/>
  <c r="E299" i="3"/>
  <c r="E38" i="3"/>
  <c r="L6" i="3"/>
  <c r="E108" i="3"/>
  <c r="AH6" i="3"/>
  <c r="E493" i="3"/>
  <c r="E342" i="3"/>
  <c r="E556" i="3"/>
  <c r="E482" i="3"/>
  <c r="E160" i="3"/>
  <c r="E466" i="3"/>
  <c r="E373" i="3"/>
  <c r="E47" i="3"/>
  <c r="E582" i="3"/>
  <c r="E19" i="3"/>
  <c r="E209" i="3"/>
  <c r="E57" i="3"/>
  <c r="E421" i="3"/>
  <c r="E51" i="3"/>
  <c r="E65" i="3"/>
  <c r="E155" i="3"/>
  <c r="E398" i="3"/>
  <c r="E101" i="3"/>
  <c r="E218" i="3"/>
  <c r="E50" i="3"/>
  <c r="E147" i="3"/>
  <c r="AQ6" i="3"/>
  <c r="E234" i="3"/>
  <c r="E15" i="3"/>
  <c r="E346" i="3"/>
  <c r="E463" i="3"/>
  <c r="E440" i="3"/>
  <c r="E329" i="3"/>
  <c r="E356" i="3"/>
  <c r="E197" i="3"/>
  <c r="E283" i="3"/>
  <c r="E349" i="3"/>
  <c r="E3" i="6"/>
  <c r="H6" i="3"/>
  <c r="E455" i="3"/>
  <c r="E43" i="3"/>
  <c r="E333" i="3"/>
  <c r="E202" i="3"/>
  <c r="E40" i="3"/>
  <c r="E498" i="3"/>
  <c r="E490" i="3"/>
  <c r="E486" i="3"/>
  <c r="E223" i="3"/>
  <c r="E370" i="3"/>
  <c r="E78" i="3"/>
  <c r="E104" i="3"/>
  <c r="T6" i="3"/>
  <c r="E86" i="3"/>
  <c r="E494" i="3"/>
  <c r="E84" i="3"/>
  <c r="E59" i="3"/>
  <c r="E491" i="3"/>
  <c r="E36" i="3"/>
  <c r="E325" i="3"/>
  <c r="E194" i="3"/>
  <c r="E79" i="3"/>
  <c r="E540" i="3"/>
  <c r="E372" i="3"/>
  <c r="E226" i="3"/>
  <c r="E25" i="3"/>
  <c r="E419" i="3"/>
  <c r="E376" i="3"/>
  <c r="E507" i="3"/>
  <c r="E116" i="3"/>
  <c r="E80" i="3"/>
  <c r="E190" i="3"/>
  <c r="E41" i="3"/>
  <c r="E512" i="3"/>
  <c r="AF6" i="3"/>
  <c r="E391" i="3"/>
  <c r="E184" i="3"/>
  <c r="E467" i="3"/>
  <c r="E37" i="3"/>
  <c r="E575" i="3"/>
  <c r="E452" i="3"/>
  <c r="E360" i="3"/>
  <c r="E469" i="3"/>
  <c r="E534" i="3"/>
  <c r="E140" i="3"/>
  <c r="E287" i="3"/>
  <c r="E251" i="3"/>
  <c r="E522" i="3"/>
  <c r="E129" i="3"/>
  <c r="E75" i="3"/>
  <c r="E332" i="3"/>
  <c r="E21" i="3"/>
  <c r="E264" i="3"/>
  <c r="E381" i="3"/>
  <c r="E144" i="3"/>
  <c r="E23" i="3"/>
  <c r="E300" i="3"/>
  <c r="E103" i="3"/>
  <c r="E425" i="3"/>
  <c r="E76" i="3"/>
  <c r="E363" i="3"/>
  <c r="E192" i="3"/>
  <c r="E56" i="3"/>
  <c r="E435" i="3"/>
  <c r="E255" i="3"/>
  <c r="E442" i="3"/>
  <c r="E212"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449" i="3"/>
  <c r="E502" i="3"/>
  <c r="E536"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30" i="3"/>
  <c r="E499" i="3"/>
  <c r="J10" i="40"/>
  <c r="AC10" i="40" s="1"/>
  <c r="H10" i="40"/>
  <c r="AB10" i="40" s="1"/>
  <c r="J5" i="67"/>
  <c r="J24" i="67" s="1"/>
  <c r="J10" i="39"/>
  <c r="W10" i="39" s="1"/>
  <c r="J5" i="15"/>
  <c r="J24" i="15" s="1"/>
  <c r="AA10" i="39"/>
  <c r="F10" i="40"/>
  <c r="S10" i="40" s="1"/>
  <c r="H10" i="39"/>
  <c r="U10" i="39" s="1"/>
  <c r="R36" i="36"/>
  <c r="I3" i="6"/>
  <c r="E541" i="3"/>
  <c r="R6" i="3"/>
  <c r="E199" i="3"/>
  <c r="E510" i="3"/>
  <c r="C26" i="71"/>
  <c r="D26" i="71" s="1"/>
  <c r="D27" i="71"/>
  <c r="T40" i="71"/>
  <c r="D40" i="71"/>
  <c r="T36" i="71"/>
  <c r="D36" i="71"/>
  <c r="D56" i="71"/>
  <c r="T56" i="71"/>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M27" i="15"/>
  <c r="M27" i="67"/>
  <c r="AC10" i="39" l="1"/>
  <c r="AB10" i="39"/>
  <c r="F25" i="12"/>
  <c r="C26" i="12" s="1"/>
  <c r="D25" i="12" s="1"/>
  <c r="D116" i="43"/>
  <c r="AC6" i="3"/>
  <c r="E6" i="3" s="1"/>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66" i="67"/>
  <c r="C60" i="67"/>
  <c r="D10" i="69"/>
  <c r="C34" i="69"/>
  <c r="D10" i="68"/>
  <c r="C14" i="67"/>
  <c r="C17" i="67"/>
  <c r="C17" i="15"/>
  <c r="C26" i="68" l="1"/>
  <c r="D22" i="68" s="1"/>
  <c r="C26" i="11"/>
  <c r="D22" i="11" s="1"/>
  <c r="C44" i="11"/>
  <c r="D41" i="11" s="1"/>
  <c r="H21" i="6"/>
  <c r="D30" i="6"/>
  <c r="H25" i="6"/>
  <c r="R25" i="6" s="1"/>
  <c r="R12" i="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B3" i="68"/>
  <c r="C20" i="9" s="1"/>
  <c r="C103" i="9" l="1"/>
  <c r="C102" i="9"/>
  <c r="C21" i="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2" i="1"/>
  <c r="AO8" i="1"/>
  <c r="AO9"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6" i="71"/>
  <c r="C5" i="71"/>
  <c r="D5" i="71" s="1"/>
  <c r="M24" i="43" s="1"/>
  <c r="C42" i="40"/>
  <c r="C43" i="40"/>
  <c r="E47" i="40"/>
  <c r="F47" i="40" s="1"/>
  <c r="E46" i="40"/>
  <c r="F46" i="40" s="1"/>
  <c r="I47" i="40"/>
  <c r="J47" i="40" s="1"/>
  <c r="C35" i="9" l="1"/>
  <c r="C34" i="9"/>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47" i="72"/>
  <c r="D4" i="52"/>
  <c r="C73" i="9"/>
  <c r="C78" i="9"/>
  <c r="C86" i="9"/>
  <c r="C93" i="9"/>
  <c r="B20" i="72"/>
  <c r="B32" i="72"/>
  <c r="D14" i="53"/>
  <c r="B53" i="72"/>
  <c r="F5" i="52"/>
  <c r="F119" i="9"/>
  <c r="D5" i="53"/>
  <c r="D6" i="53"/>
  <c r="B22" i="72"/>
  <c r="B52" i="72"/>
  <c r="G4" i="52"/>
  <c r="D9" i="52"/>
  <c r="D123" i="9"/>
  <c r="D118" i="9"/>
  <c r="D119" i="9"/>
  <c r="D5" i="52"/>
  <c r="B49" i="72"/>
  <c r="C81" i="9"/>
  <c r="M68" i="9"/>
  <c r="L68" i="9"/>
  <c r="B21" i="72"/>
  <c r="D7" i="53"/>
  <c r="M65" i="9"/>
  <c r="L65" i="9"/>
  <c r="E81" i="9"/>
  <c r="C72" i="9"/>
  <c r="C79" i="9"/>
  <c r="C80" i="9"/>
  <c r="E80" i="9"/>
  <c r="E118" i="9"/>
  <c r="E4" i="52"/>
  <c r="B48" i="72"/>
  <c r="M54" i="9"/>
  <c r="C97" i="9"/>
  <c r="D58" i="9"/>
  <c r="D56" i="9"/>
  <c r="M64" i="9"/>
  <c r="L64" i="9"/>
  <c r="D59" i="9"/>
  <c r="M55" i="9"/>
  <c r="M67" i="9"/>
  <c r="L67" i="9"/>
  <c r="C6" i="74"/>
  <c r="B51" i="72"/>
  <c r="G118" i="9"/>
  <c r="F118" i="9"/>
  <c r="F4" i="52"/>
  <c r="D13" i="53"/>
  <c r="B30" i="72"/>
  <c r="N61" i="9"/>
  <c r="N59" i="9"/>
  <c r="N60" i="9"/>
  <c r="M48" i="9"/>
  <c r="H102" i="9"/>
  <c r="C5" i="74"/>
  <c r="H108" i="9"/>
  <c r="D15" i="53"/>
  <c r="B31" i="72"/>
  <c r="H4" i="52"/>
  <c r="C104" i="9"/>
  <c r="M66" i="9"/>
  <c r="L66" i="9"/>
  <c r="C85" i="9"/>
  <c r="C95" i="9"/>
  <c r="C96" i="9"/>
  <c r="E96" i="9"/>
  <c r="E97" i="9"/>
  <c r="C64" i="9"/>
  <c r="C63" i="9"/>
  <c r="C67" i="9"/>
  <c r="C68" i="9"/>
  <c r="D54" i="9"/>
  <c r="I4" i="52"/>
  <c r="C105" i="9"/>
  <c r="D122" i="9"/>
  <c r="D8" i="52"/>
  <c r="N58" i="9"/>
  <c r="D55" i="9"/>
  <c r="M53" i="9"/>
  <c r="N57" i="9"/>
  <c r="P57" i="9"/>
  <c r="H119" i="9"/>
  <c r="H5" i="52"/>
  <c r="H107" i="9"/>
  <c r="M49" i="9"/>
  <c r="L63" i="9"/>
  <c r="M63" i="9"/>
  <c r="M69" i="9"/>
  <c r="N69" i="9"/>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<sst xmlns="http://schemas.openxmlformats.org/spreadsheetml/2006/main" count="7910" uniqueCount="3462">
  <si>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</si>
  <si>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</si>
  <si>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</si>
  <si>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</si>
  <si>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</si>
  <si>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</si>
  <si>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</si>
  <si>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</si>
  <si>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</si>
  <si>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</si>
  <si>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</si>
  <si>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</si>
  <si>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</si>
  <si>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</si>
  <si>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</si>
  <si>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</si>
  <si>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</si>
  <si>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</si>
  <si>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</si>
  <si>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</si>
  <si>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</si>
  <si>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</si>
  <si>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</si>
  <si>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</si>
  <si>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</si>
  <si>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</si>
  <si>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</si>
  <si>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</si>
  <si>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</si>
  <si>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</si>
  <si>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</si>
  <si>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</si>
  <si>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</si>
  <si>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</si>
  <si>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</si>
  <si>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</si>
  <si>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</si>
  <si>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</si>
  <si>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</si>
  <si>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</si>
  <si>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</si>
  <si>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</si>
  <si>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</si>
  <si>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</si>
  <si>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</si>
  <si>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</si>
  <si>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</si>
  <si>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</si>
  <si>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</si>
  <si>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</si>
  <si>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</si>
  <si>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</si>
  <si>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</si>
  <si>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</si>
  <si>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</si>
  <si>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</si>
  <si>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</si>
  <si>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</si>
  <si>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</si>
  <si>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</si>
  <si>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</si>
  <si>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</si>
  <si>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</si>
  <si>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</si>
  <si>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</si>
  <si>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</si>
  <si>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</si>
  <si>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</si>
  <si>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</si>
  <si>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</si>
  <si>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</si>
  <si>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</si>
  <si>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</si>
  <si>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</si>
  <si>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</si>
  <si>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</si>
  <si>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</si>
  <si>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</si>
  <si>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</si>
  <si>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</si>
  <si>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</si>
  <si>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</si>
  <si>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</si>
  <si>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</si>
  <si>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</si>
  <si>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</si>
  <si>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</si>
  <si>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</si>
  <si>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</si>
  <si>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</si>
  <si>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</si>
  <si>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</si>
  <si>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</si>
  <si>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</si>
  <si>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</si>
  <si>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</si>
  <si>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</si>
  <si>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</si>
  <si>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</si>
  <si>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</si>
  <si>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</si>
  <si>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</si>
  <si>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</si>
  <si>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</si>
  <si>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</si>
  <si>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</si>
  <si>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</si>
  <si>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</si>
  <si>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</si>
  <si>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</si>
  <si>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</si>
  <si>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</si>
  <si>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</si>
  <si>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</si>
  <si>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</si>
  <si>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</si>
  <si>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</si>
  <si>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</si>
  <si>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</si>
  <si>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</si>
  <si>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</si>
  <si>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</si>
  <si>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</si>
  <si>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</si>
  <si>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</si>
  <si>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</si>
  <si>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</si>
  <si>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</si>
  <si>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</si>
  <si>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</si>
  <si>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</si>
  <si>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</si>
  <si>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</si>
  <si>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</si>
  <si>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</si>
  <si>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</si>
  <si>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</si>
  <si>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</si>
  <si>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</si>
  <si>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</si>
  <si>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</si>
  <si>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</si>
  <si>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</si>
  <si>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</si>
  <si>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</si>
  <si>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</si>
  <si>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</si>
  <si>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</si>
  <si>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</si>
  <si>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</si>
  <si>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</si>
  <si>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</si>
  <si>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</si>
  <si>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</si>
  <si>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</si>
  <si>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</si>
  <si>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</si>
  <si>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</si>
  <si>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</si>
  <si>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</si>
  <si>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</si>
  <si>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</si>
  <si>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</si>
  <si>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</si>
  <si>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</si>
  <si>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</si>
  <si>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</si>
  <si>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</si>
  <si>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</si>
  <si>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</si>
  <si>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</si>
  <si>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</si>
  <si>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</si>
  <si>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</si>
  <si>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</si>
  <si>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</si>
  <si>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</si>
  <si>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</si>
  <si>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</si>
  <si>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</si>
  <si>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</si>
  <si>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</si>
  <si>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</si>
  <si>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</si>
  <si>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</si>
  <si>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</si>
  <si>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</si>
  <si>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</si>
  <si>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</si>
  <si>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</si>
  <si>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</si>
  <si>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</si>
  <si>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</si>
  <si>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</si>
  <si>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</si>
  <si>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</si>
  <si>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</si>
  <si>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</si>
  <si>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</si>
  <si>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</si>
  <si>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</si>
  <si>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</si>
  <si>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</si>
  <si>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</si>
  <si>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</si>
  <si>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</si>
  <si>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</si>
  <si>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</si>
  <si>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</si>
  <si>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</si>
  <si>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</si>
  <si>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</si>
  <si>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</si>
  <si>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</si>
  <si>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</si>
  <si>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</si>
  <si>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</si>
  <si>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</si>
  <si>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</si>
  <si>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</si>
  <si>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</si>
  <si>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</si>
  <si>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</si>
  <si>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</si>
  <si>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</si>
  <si>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</si>
  <si>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</si>
  <si>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</si>
  <si>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</si>
  <si>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</si>
  <si>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</si>
  <si>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</si>
  <si>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</si>
  <si>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</si>
  <si>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</si>
  <si>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</si>
  <si>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</si>
  <si>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</si>
  <si>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</si>
  <si>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</si>
  <si>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</si>
  <si>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</si>
  <si>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</si>
  <si>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</si>
  <si>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</si>
  <si>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</si>
  <si>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</si>
  <si>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</si>
  <si>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</si>
  <si>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</si>
  <si>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</si>
  <si>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</si>
  <si>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</si>
  <si>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</si>
  <si>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</si>
  <si>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</si>
  <si>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</si>
  <si>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</si>
  <si>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</si>
  <si>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</si>
  <si>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</si>
  <si>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</si>
  <si>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</si>
  <si>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</si>
  <si>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</si>
  <si>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</si>
  <si>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</si>
  <si>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</si>
  <si>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</si>
  <si>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</si>
  <si>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</si>
  <si>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</si>
  <si>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</si>
  <si>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</si>
  <si>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</si>
  <si>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</si>
  <si>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</si>
  <si>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</si>
  <si>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</si>
  <si>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</si>
  <si>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</si>
  <si>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</si>
  <si>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</si>
  <si>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</si>
  <si>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</si>
  <si>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</si>
  <si>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</si>
  <si>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</si>
  <si>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</si>
  <si>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</si>
  <si>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</si>
  <si>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</si>
  <si>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</si>
  <si>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</si>
  <si>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</si>
  <si>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</si>
  <si>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</si>
  <si>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</si>
  <si>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</si>
  <si>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</si>
  <si>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</si>
  <si>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</si>
  <si>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</si>
  <si>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</si>
  <si>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</si>
  <si>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</si>
  <si>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</si>
  <si>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</si>
  <si>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</si>
  <si>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</si>
  <si>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</si>
  <si>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</si>
  <si>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</si>
  <si>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</si>
  <si>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</si>
  <si>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</si>
  <si>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</si>
  <si>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</si>
  <si>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</si>
  <si>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</si>
  <si>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</si>
  <si>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</si>
  <si>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</si>
  <si>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</si>
  <si>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</si>
  <si>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</si>
  <si>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</si>
  <si>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</si>
  <si>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</si>
  <si>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</si>
  <si>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</si>
  <si>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</si>
  <si>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</si>
  <si>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</si>
  <si>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</si>
  <si>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</si>
  <si>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</si>
  <si>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</si>
  <si>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</si>
  <si>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</si>
  <si>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</si>
  <si>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</si>
  <si>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</si>
  <si>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</si>
  <si>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</si>
  <si>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</si>
  <si>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</si>
  <si>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</si>
  <si>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</si>
  <si>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</si>
  <si>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</si>
  <si>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</si>
  <si>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</si>
  <si>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</si>
  <si>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</si>
  <si>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</si>
  <si>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</si>
  <si>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</si>
  <si>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</si>
  <si>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</si>
  <si>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</si>
  <si>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</si>
  <si>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</si>
  <si>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</si>
  <si>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</si>
  <si>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</si>
  <si>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</si>
  <si>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</si>
  <si>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</si>
  <si>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</si>
  <si>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</si>
  <si>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</si>
  <si>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</si>
  <si>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</si>
  <si>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</si>
  <si>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</si>
  <si>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</si>
  <si>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</si>
  <si>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</si>
  <si>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</si>
  <si>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</si>
  <si>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</si>
  <si>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</si>
  <si>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</si>
  <si>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</si>
  <si>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</si>
  <si>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</si>
  <si>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</si>
  <si>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</si>
  <si>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</si>
  <si>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</si>
  <si>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</si>
  <si>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</si>
  <si>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</si>
  <si>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</si>
  <si>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</si>
  <si>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</si>
  <si>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</si>
  <si>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</si>
  <si>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</si>
  <si>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</si>
  <si>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</si>
  <si>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</si>
  <si>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</si>
  <si>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</si>
  <si>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</si>
  <si>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</si>
  <si>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</si>
  <si>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</si>
  <si>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</si>
  <si>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</si>
  <si>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</si>
  <si>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</si>
  <si>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</si>
  <si>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</si>
  <si>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</si>
  <si>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</si>
  <si>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</si>
  <si>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</si>
  <si>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</si>
  <si>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</si>
  <si>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</si>
  <si>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</si>
  <si>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</si>
  <si>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</si>
  <si>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</si>
  <si>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</si>
  <si>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</si>
  <si>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</si>
  <si>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</si>
  <si>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</si>
  <si>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</si>
  <si>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</si>
  <si>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</si>
  <si>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</si>
  <si>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</si>
  <si>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</si>
  <si>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</si>
  <si>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</si>
  <si>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</si>
  <si>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</si>
  <si>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</si>
  <si>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</si>
  <si>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</si>
  <si>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</si>
  <si>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</si>
  <si>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</si>
  <si>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</si>
  <si>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</si>
  <si>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</si>
  <si>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</si>
  <si>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</si>
  <si>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</si>
  <si>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</si>
  <si>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</si>
  <si>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</si>
  <si>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</si>
  <si>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</si>
  <si>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</si>
  <si>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</si>
  <si>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</si>
  <si>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</si>
  <si>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</si>
  <si>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</si>
  <si>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</si>
  <si>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</si>
  <si>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</si>
  <si>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</si>
  <si>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</si>
  <si>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</si>
  <si>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</si>
  <si>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</si>
  <si>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</si>
  <si>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</si>
  <si>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</si>
  <si>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</si>
  <si>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</si>
  <si>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</si>
  <si>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</si>
  <si>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</si>
  <si>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</si>
  <si>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</si>
  <si>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</si>
  <si>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</si>
  <si>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</si>
  <si>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</si>
  <si>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</si>
  <si>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</si>
  <si>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</si>
  <si>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</si>
  <si>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</si>
  <si>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</si>
  <si>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</si>
  <si>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</si>
  <si>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</si>
  <si>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</si>
  <si>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</si>
  <si>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</si>
  <si>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</si>
  <si>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</si>
  <si>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</si>
  <si>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</si>
  <si>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</si>
  <si>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</si>
  <si>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</si>
  <si>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</si>
  <si>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</si>
  <si>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</si>
  <si>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</si>
  <si>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</si>
  <si>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</si>
  <si>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</si>
  <si>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</si>
  <si>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</si>
  <si>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</si>
  <si>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</si>
  <si>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</si>
  <si>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</si>
  <si>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</si>
  <si>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</si>
  <si>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</si>
  <si>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</si>
  <si>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</si>
  <si>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</si>
  <si>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</si>
  <si>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</si>
  <si>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</si>
  <si>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</si>
  <si>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</si>
  <si>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</si>
  <si>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</si>
  <si>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</si>
  <si>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</si>
  <si>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</si>
  <si>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</si>
  <si>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</si>
  <si>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</si>
  <si>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</si>
  <si>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</si>
  <si>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</si>
  <si>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</si>
  <si>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</si>
  <si>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</si>
  <si>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</si>
  <si>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</si>
  <si>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</si>
  <si>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</si>
  <si>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</si>
  <si>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</si>
  <si>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</si>
  <si>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</si>
  <si>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</si>
  <si>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</si>
  <si>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</si>
  <si>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</si>
  <si>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</si>
  <si>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</si>
  <si>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</si>
  <si>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</si>
  <si>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</si>
  <si>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</si>
  <si>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</si>
  <si>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</si>
  <si>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</si>
  <si>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</si>
  <si>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</si>
  <si>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</si>
  <si>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</si>
  <si>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</si>
  <si>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</si>
  <si>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</si>
  <si>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</si>
  <si>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</si>
  <si>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</si>
  <si>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</si>
  <si>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</si>
  <si>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</si>
  <si>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</si>
  <si>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</si>
  <si>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</si>
  <si>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</si>
  <si>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</si>
  <si>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</si>
  <si>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</si>
  <si>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</si>
  <si>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</si>
  <si>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</si>
  <si>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</si>
  <si>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</si>
  <si>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</si>
  <si>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</si>
  <si>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</si>
  <si>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</si>
  <si>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</si>
  <si>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</si>
  <si>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</si>
  <si>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</si>
  <si>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</si>
  <si>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</si>
  <si>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</si>
  <si>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</si>
  <si>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</si>
  <si>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</si>
  <si>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</si>
  <si>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</si>
  <si>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</si>
  <si>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</si>
  <si>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</si>
  <si>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</si>
  <si>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</si>
  <si>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</si>
  <si>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</si>
  <si>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</si>
  <si>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</si>
  <si>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</si>
  <si>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</si>
  <si>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</si>
  <si>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</si>
  <si>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</si>
  <si>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</si>
  <si>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</si>
  <si>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</si>
  <si>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</si>
  <si>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</si>
  <si>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</si>
  <si>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</si>
  <si>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</si>
  <si>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</si>
  <si>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</si>
  <si>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</si>
  <si>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</si>
  <si>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</si>
  <si>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</si>
  <si>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</si>
  <si>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</si>
  <si>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</si>
  <si>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</si>
  <si>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</si>
  <si>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</si>
  <si>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</si>
  <si>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</si>
  <si>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</si>
  <si>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</si>
  <si>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</si>
  <si>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</si>
  <si>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</si>
  <si>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</si>
  <si>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</si>
  <si>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</si>
  <si>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</si>
  <si>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</si>
  <si>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</si>
  <si>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</si>
  <si>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</si>
  <si>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</si>
  <si>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</si>
  <si>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</si>
  <si>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</si>
  <si>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</si>
  <si>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</si>
  <si>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</si>
  <si>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</si>
  <si>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</si>
  <si>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</si>
  <si>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</si>
  <si>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</si>
  <si>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</si>
  <si>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</si>
  <si>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</si>
  <si>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</si>
  <si>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</si>
  <si>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</si>
  <si>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</si>
  <si>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</si>
  <si>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</si>
  <si>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</si>
  <si>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</si>
  <si>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</si>
  <si>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</si>
  <si>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</si>
  <si>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</si>
  <si>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</si>
  <si>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</si>
  <si>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</si>
  <si>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</si>
  <si>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</si>
  <si>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</si>
  <si>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</si>
  <si>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</si>
  <si>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</si>
  <si>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</si>
  <si>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</si>
  <si>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</si>
  <si>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</si>
  <si>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</si>
  <si>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</si>
  <si>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</si>
  <si>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</si>
  <si>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</si>
  <si>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</si>
  <si>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</si>
  <si>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</si>
  <si>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</si>
  <si>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</si>
  <si>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</si>
  <si>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</si>
  <si>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</si>
  <si>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</si>
  <si>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</si>
  <si>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</si>
  <si>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</si>
  <si>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</si>
  <si>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</si>
  <si>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</si>
  <si>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</si>
  <si>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</si>
  <si>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</si>
  <si>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</si>
  <si>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</si>
  <si>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</si>
  <si>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</si>
  <si>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</si>
  <si>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</si>
  <si>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</si>
  <si>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</si>
  <si>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</si>
  <si>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</si>
  <si>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</si>
  <si>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</si>
  <si>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</si>
  <si>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</si>
  <si>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</si>
  <si>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</si>
  <si>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</si>
  <si>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</si>
  <si>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</si>
  <si>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</si>
  <si>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</si>
  <si>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</si>
  <si>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</si>
  <si>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</si>
  <si>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</si>
  <si>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</si>
  <si>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</si>
  <si>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</si>
  <si>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</si>
  <si>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</si>
  <si>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</si>
  <si>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</si>
  <si>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</si>
  <si>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</si>
  <si>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</si>
  <si>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</si>
  <si>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</si>
  <si>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</si>
  <si>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</si>
  <si>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</si>
  <si>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</si>
  <si>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</si>
  <si>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</si>
  <si>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</si>
  <si>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</si>
  <si>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</si>
  <si>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</si>
  <si>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</si>
  <si>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</si>
  <si>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</si>
  <si>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</si>
  <si>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</si>
  <si>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</si>
  <si>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</si>
  <si>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</si>
  <si>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</si>
  <si>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</si>
  <si>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</si>
  <si>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</si>
  <si>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</si>
  <si>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</si>
  <si>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</si>
  <si>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</si>
  <si>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</si>
  <si>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</si>
  <si>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</si>
  <si>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</si>
  <si>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</si>
  <si>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</si>
  <si>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</si>
  <si>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</si>
  <si>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</si>
  <si>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</si>
  <si>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</si>
  <si>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</si>
  <si>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</si>
  <si>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</si>
  <si>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</si>
  <si>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</si>
  <si>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</si>
  <si>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</si>
  <si>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</si>
  <si>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</si>
  <si>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</si>
  <si>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</si>
  <si>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</si>
  <si>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</si>
  <si>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</si>
  <si>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</si>
  <si>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</si>
  <si>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</si>
  <si>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</si>
  <si>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</si>
  <si>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</si>
  <si>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</si>
  <si>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</si>
  <si>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</si>
  <si>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</si>
  <si>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</si>
  <si>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</si>
  <si>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</si>
  <si>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</si>
  <si>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</si>
  <si>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</si>
  <si>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</si>
  <si>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</si>
  <si>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</si>
  <si>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</si>
  <si>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</si>
  <si>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</si>
  <si>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</si>
  <si>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</si>
  <si>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</si>
  <si>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</si>
  <si>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</si>
  <si>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</si>
  <si>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</si>
  <si>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</si>
  <si>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</si>
  <si>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</si>
  <si>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</si>
  <si>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</si>
  <si>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</si>
  <si>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</si>
  <si>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</si>
  <si>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</si>
  <si>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</si>
  <si>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</si>
  <si>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</si>
  <si>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</si>
  <si>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</si>
  <si>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</si>
  <si>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</si>
  <si>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</si>
  <si>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</si>
  <si>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</si>
  <si>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</si>
  <si>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</si>
  <si>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</si>
  <si>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</si>
  <si>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</si>
  <si>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</si>
  <si>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</si>
  <si>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</si>
  <si>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</si>
  <si>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</si>
  <si>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</si>
  <si>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</si>
  <si>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</si>
  <si>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</si>
  <si>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</si>
  <si>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</si>
  <si>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</si>
  <si>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</si>
  <si>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</si>
  <si>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</si>
  <si>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</si>
  <si>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</si>
  <si>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</si>
  <si>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</si>
  <si>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</si>
  <si>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</si>
  <si>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</si>
  <si>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</si>
  <si>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</si>
  <si>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</si>
  <si>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</si>
  <si>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</si>
  <si>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</si>
  <si>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</si>
  <si>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</si>
  <si>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</si>
  <si>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</si>
  <si>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</si>
  <si>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</si>
  <si>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</si>
  <si>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</si>
  <si>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</si>
  <si>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</si>
  <si>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</si>
  <si>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</si>
  <si>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</si>
  <si>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</si>
  <si>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</si>
  <si>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</si>
  <si>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</si>
  <si>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</si>
  <si>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</si>
  <si>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</si>
  <si>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</si>
  <si>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</si>
  <si>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</si>
  <si>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</si>
  <si>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</si>
  <si>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</si>
  <si>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</si>
  <si>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</si>
  <si>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</si>
  <si>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</si>
  <si>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</si>
  <si>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</si>
  <si>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</si>
  <si>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</si>
  <si>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</si>
  <si>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</si>
  <si>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</si>
  <si>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</si>
  <si>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</si>
  <si>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</si>
  <si>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</si>
  <si>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</si>
  <si>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</si>
  <si>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</si>
  <si>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</si>
  <si>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</si>
  <si>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</si>
  <si>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</si>
  <si>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</si>
  <si>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</si>
  <si>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</si>
  <si>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</si>
  <si>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</si>
  <si>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</si>
  <si>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</si>
  <si>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</si>
  <si>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</si>
  <si>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</si>
  <si>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</si>
  <si>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</si>
  <si>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</si>
  <si>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</si>
  <si>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</si>
  <si>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</si>
  <si>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</si>
  <si>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</si>
  <si>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</si>
  <si>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</si>
  <si>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</si>
  <si>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</si>
  <si>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</si>
  <si>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</si>
  <si>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</si>
  <si>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</si>
  <si>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</si>
  <si>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</si>
  <si>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</si>
  <si>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</si>
  <si>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</si>
  <si>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</si>
  <si>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</si>
  <si>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</si>
  <si>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</si>
  <si>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</si>
  <si>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</si>
  <si>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</si>
  <si>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</si>
  <si>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</si>
  <si>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</si>
  <si>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</si>
  <si>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</si>
  <si>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</si>
  <si>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</si>
  <si>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</si>
  <si>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</si>
  <si>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</si>
  <si>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</si>
  <si>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</si>
  <si>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</si>
  <si>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</si>
  <si>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</si>
  <si>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</si>
  <si>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</si>
  <si>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</si>
  <si>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</si>
  <si>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</si>
  <si>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</si>
  <si>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</si>
  <si>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</si>
  <si>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</si>
  <si>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</si>
  <si>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</si>
  <si>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</si>
  <si>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</si>
  <si>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</si>
  <si>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</si>
  <si>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</si>
  <si>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</si>
  <si>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</si>
  <si>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</si>
  <si>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</si>
  <si>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</si>
  <si>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</si>
  <si>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</si>
  <si>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</si>
  <si>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</si>
  <si>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</si>
  <si>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</si>
  <si>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</si>
  <si>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</si>
  <si>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</si>
  <si>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</si>
  <si>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</si>
  <si>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</si>
  <si>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</si>
  <si>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</si>
  <si>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</si>
  <si>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</si>
  <si>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</si>
  <si>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</si>
  <si>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</si>
  <si>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</si>
  <si>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</si>
  <si>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</si>
  <si>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</si>
  <si>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</si>
  <si>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</si>
  <si>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</si>
  <si>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</si>
  <si>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</si>
  <si>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</si>
  <si>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</si>
  <si>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</si>
  <si>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</si>
  <si>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</si>
  <si>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</si>
  <si>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</si>
  <si>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</si>
  <si>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</si>
  <si>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</si>
  <si>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</si>
  <si>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</si>
  <si>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</si>
  <si>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</si>
  <si>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</si>
  <si>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</si>
  <si>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</si>
  <si>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</si>
  <si>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</si>
  <si>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</si>
  <si>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</si>
  <si>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</si>
  <si>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</si>
  <si>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</si>
  <si>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</si>
  <si>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</si>
  <si>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</si>
  <si>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</si>
  <si>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</si>
  <si>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</si>
  <si>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</si>
  <si>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</si>
  <si>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</si>
  <si>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</si>
  <si>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</si>
  <si>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</si>
  <si>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</si>
  <si>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</si>
  <si>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</si>
  <si>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</si>
  <si>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</si>
  <si>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</si>
  <si>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</si>
  <si>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</si>
  <si>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</si>
  <si>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</si>
  <si>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</si>
  <si>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</si>
  <si>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</si>
  <si>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</si>
  <si>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</si>
  <si>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</si>
  <si>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</si>
  <si>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</si>
  <si>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</si>
  <si>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</si>
  <si>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</si>
  <si>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</si>
  <si>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</si>
  <si>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</si>
  <si>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</si>
  <si>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</si>
  <si>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</si>
  <si>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</si>
  <si>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</si>
  <si>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</si>
  <si>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</si>
  <si>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</si>
  <si>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</si>
  <si>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</si>
  <si>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</si>
  <si>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</si>
  <si>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</si>
  <si>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</si>
  <si>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</si>
  <si>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</si>
  <si>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</si>
  <si>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</si>
  <si>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</si>
  <si>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</si>
  <si>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</si>
  <si>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</si>
  <si>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</si>
  <si>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</si>
  <si>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</si>
  <si>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</si>
  <si>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</si>
  <si>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</si>
  <si>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</si>
  <si>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</si>
  <si>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</si>
  <si>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</si>
  <si>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</si>
  <si>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</si>
  <si>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</si>
  <si>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</si>
  <si>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</si>
  <si>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</si>
  <si>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</si>
  <si>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</si>
  <si>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</si>
  <si>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</si>
  <si>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</si>
  <si>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</si>
  <si>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</si>
  <si>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</si>
  <si>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</si>
  <si>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</si>
  <si>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</si>
  <si>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</si>
  <si>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</si>
  <si>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</si>
  <si>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</si>
  <si>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</si>
  <si>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</si>
  <si>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</si>
  <si>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</si>
  <si>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</si>
  <si>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</si>
  <si>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</si>
  <si>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</si>
  <si>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</si>
  <si>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</si>
  <si>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</si>
  <si>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</si>
  <si>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</si>
  <si>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</si>
  <si>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</si>
  <si>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</si>
  <si>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</si>
  <si>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</si>
  <si>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</si>
  <si>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</si>
  <si>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</si>
  <si>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</si>
  <si>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</si>
  <si>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</si>
  <si>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</si>
  <si>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</si>
  <si>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</si>
  <si>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</si>
  <si>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</si>
  <si>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</si>
  <si>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</si>
  <si>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</si>
  <si>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</si>
  <si>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</si>
  <si>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</si>
  <si>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</si>
  <si>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</si>
  <si>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</si>
  <si>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</si>
  <si>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</si>
  <si>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</si>
  <si>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</si>
  <si>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</si>
  <si>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</si>
  <si>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</si>
  <si>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</si>
  <si>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</si>
  <si>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</si>
  <si>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</si>
  <si>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</si>
  <si>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</si>
  <si>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</si>
  <si>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</si>
  <si>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</si>
  <si>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</si>
  <si>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</si>
  <si>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</si>
  <si>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</si>
  <si>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</si>
  <si>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</si>
  <si>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</si>
  <si>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</si>
  <si>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</si>
  <si>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</si>
  <si>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</si>
  <si>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</si>
  <si>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</si>
  <si>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</si>
  <si>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</si>
  <si>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</si>
  <si>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</si>
  <si>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</si>
  <si>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</si>
  <si>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</si>
  <si>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</si>
  <si>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</si>
  <si>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</si>
  <si>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</si>
  <si>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</si>
  <si>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</si>
  <si>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</si>
  <si>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</si>
  <si>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</si>
  <si>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</si>
  <si>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</si>
  <si>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</si>
  <si>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</si>
  <si>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</si>
  <si>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</si>
  <si>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</si>
  <si>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</si>
  <si>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</si>
  <si>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</si>
  <si>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</si>
  <si>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</si>
  <si>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</si>
  <si>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</si>
  <si>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</si>
  <si>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</si>
  <si>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</si>
  <si>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</si>
  <si>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</si>
  <si>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</si>
  <si>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</si>
  <si>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</si>
  <si>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</si>
  <si>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</si>
  <si>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</si>
  <si>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</si>
  <si>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</si>
  <si>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</si>
  <si>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</si>
  <si>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</si>
  <si>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</si>
  <si>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</si>
  <si>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</si>
  <si>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</si>
  <si>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</si>
  <si>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</si>
  <si>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</si>
  <si>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</si>
  <si>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</si>
  <si>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</si>
  <si>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</si>
  <si>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</si>
  <si>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</si>
  <si>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</si>
  <si>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</si>
  <si>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</si>
  <si>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</si>
  <si>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</si>
  <si>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</si>
  <si>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</si>
  <si>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</si>
  <si>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</si>
  <si>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</si>
  <si>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</si>
  <si>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</si>
  <si>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</si>
  <si>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</si>
  <si>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</si>
  <si>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</si>
  <si>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</si>
  <si>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</si>
  <si>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</si>
  <si>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</si>
  <si>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</si>
  <si>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</si>
  <si>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</si>
  <si>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</si>
  <si>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</si>
  <si>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</si>
  <si>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</si>
  <si>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</si>
  <si>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</si>
  <si>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</si>
  <si>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</si>
  <si>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</si>
  <si>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</si>
  <si>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</si>
  <si>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</si>
  <si>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</si>
  <si>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</si>
  <si>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</si>
  <si>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</si>
  <si>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</si>
  <si>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</si>
  <si>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</si>
  <si>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</si>
  <si>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</si>
  <si>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</si>
  <si>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</si>
  <si>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</si>
  <si>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</si>
  <si>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</si>
  <si>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</si>
  <si>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</si>
  <si>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</si>
  <si>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</si>
  <si>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</si>
  <si>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</si>
  <si>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</si>
  <si>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</si>
  <si>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</si>
  <si>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</si>
  <si>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</si>
  <si>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</si>
  <si>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</si>
  <si>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</si>
  <si>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</si>
  <si>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</si>
  <si>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</si>
  <si>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</si>
  <si>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</si>
  <si>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</si>
  <si>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</si>
  <si>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</si>
  <si>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</si>
  <si>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</si>
  <si>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</si>
  <si>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</si>
  <si>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</si>
  <si>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</si>
  <si>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</si>
  <si>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</si>
  <si>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</si>
  <si>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</si>
  <si>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</si>
  <si>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</si>
  <si>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</si>
  <si>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</si>
  <si>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</si>
  <si>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</si>
  <si>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</si>
  <si>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</si>
  <si>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</si>
  <si>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</si>
  <si>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</si>
  <si>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</si>
  <si>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</si>
  <si>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</si>
  <si>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</si>
  <si>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</si>
  <si>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</si>
  <si>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</si>
  <si>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</si>
  <si>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</si>
  <si>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</si>
  <si>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</si>
  <si>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</si>
  <si>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</si>
  <si>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</si>
  <si>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</si>
  <si>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</si>
  <si>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</si>
  <si>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</si>
  <si>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</si>
  <si>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</si>
  <si>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</si>
  <si>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</si>
  <si>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</si>
  <si>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</si>
  <si>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</si>
  <si>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</si>
  <si>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</si>
  <si>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</si>
  <si>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</si>
  <si>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</si>
  <si>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</si>
  <si>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</si>
  <si>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</si>
  <si>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</si>
  <si>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</si>
  <si>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</si>
  <si>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</si>
  <si>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</si>
  <si>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</si>
  <si>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</si>
  <si>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</si>
  <si>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</si>
  <si>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</si>
  <si>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</si>
  <si>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</si>
  <si>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</si>
  <si>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</si>
  <si>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</si>
  <si>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</si>
  <si>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</si>
  <si>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</si>
  <si>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</si>
  <si>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</si>
  <si>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</si>
  <si>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</si>
  <si>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</si>
  <si>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</si>
  <si>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</si>
  <si>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</si>
  <si>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</si>
  <si>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</si>
  <si>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</si>
  <si>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</si>
  <si>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</si>
  <si>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</si>
  <si>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</si>
  <si>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</si>
  <si>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</si>
  <si>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</si>
  <si>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</si>
  <si>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</si>
  <si>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</si>
  <si>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</si>
  <si>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</si>
  <si>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</si>
  <si>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</si>
  <si>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</si>
  <si>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</si>
  <si>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</si>
  <si>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</si>
  <si>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</si>
  <si>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</si>
  <si>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</si>
  <si>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</si>
  <si>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</si>
  <si>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</si>
  <si>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</si>
  <si>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</si>
  <si>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</si>
  <si>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</si>
  <si>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</si>
  <si>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</si>
  <si>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</si>
  <si>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</si>
  <si>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</si>
  <si>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</si>
  <si>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</si>
  <si>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</si>
  <si>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</si>
  <si>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</si>
  <si>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</si>
  <si>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</si>
  <si>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</si>
  <si>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</si>
  <si>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</si>
  <si>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</si>
  <si>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</si>
  <si>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</si>
  <si>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</si>
  <si>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</si>
  <si>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</si>
  <si>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</si>
  <si>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</si>
  <si>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</si>
  <si>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</si>
  <si>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</si>
  <si>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</si>
  <si>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</si>
  <si>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</si>
  <si>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</si>
  <si>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</si>
  <si>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</si>
  <si>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</si>
  <si>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</si>
  <si>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</si>
  <si>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</si>
  <si>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</si>
  <si>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</si>
  <si>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</si>
  <si>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</si>
  <si>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</si>
  <si>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</si>
  <si>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</si>
  <si>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</si>
  <si>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</si>
  <si>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</si>
  <si>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</si>
  <si>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</si>
  <si>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</si>
  <si>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</si>
  <si>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</si>
  <si>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</si>
  <si>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</si>
  <si>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</si>
  <si>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</si>
  <si>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</si>
  <si>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</si>
  <si>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</si>
  <si>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</si>
  <si>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</si>
  <si>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</si>
  <si>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</si>
  <si>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</si>
  <si>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</si>
  <si>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</si>
  <si>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</si>
  <si>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</si>
  <si>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</si>
  <si>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</si>
  <si>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</si>
  <si>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</si>
  <si>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</si>
  <si>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</si>
  <si>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</si>
  <si>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</si>
  <si>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</si>
  <si>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</si>
  <si>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</si>
  <si>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</si>
  <si>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</si>
  <si>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</si>
  <si>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</si>
  <si>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</si>
  <si>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</si>
  <si>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</si>
  <si>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</si>
  <si>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</si>
  <si>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</si>
  <si>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</si>
  <si>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</si>
  <si>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</si>
  <si>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</si>
  <si>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</si>
  <si>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</si>
  <si>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</si>
  <si>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</si>
  <si>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</si>
  <si>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</si>
  <si>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</si>
  <si>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</si>
  <si>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</si>
  <si>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</si>
  <si>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</si>
  <si>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</si>
  <si>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</si>
  <si>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</si>
  <si>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</si>
  <si>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</si>
  <si>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</si>
  <si>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</si>
  <si>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</si>
  <si>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</si>
  <si>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</si>
  <si>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</si>
  <si>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</si>
  <si>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</si>
  <si>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</si>
  <si>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</si>
  <si>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</si>
  <si>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</si>
  <si>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</si>
  <si>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</si>
  <si>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</si>
  <si>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</si>
  <si>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</si>
  <si>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</si>
  <si>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</si>
  <si>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</si>
  <si>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</si>
  <si>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</si>
  <si>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</si>
  <si>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</si>
  <si>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</si>
  <si>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</si>
  <si>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</si>
  <si>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</si>
  <si>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</si>
  <si>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</si>
  <si>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</si>
  <si>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</si>
  <si>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</si>
  <si>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</si>
  <si>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</si>
  <si>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</si>
  <si>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</si>
  <si>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</si>
  <si>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</si>
  <si>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</si>
  <si>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</si>
  <si>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</si>
  <si>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</si>
  <si>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</si>
  <si>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</si>
  <si>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</si>
  <si>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</si>
  <si>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</si>
  <si>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</si>
  <si>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</si>
  <si>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</si>
  <si>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</si>
  <si>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</si>
  <si>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</si>
  <si>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</si>
  <si>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</si>
  <si>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</si>
  <si>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</si>
  <si>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</si>
  <si>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</si>
  <si>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</si>
  <si>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</si>
  <si>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</si>
  <si>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</si>
  <si>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</si>
  <si>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</si>
  <si>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</si>
  <si>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</si>
  <si>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</si>
  <si>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</si>
  <si>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</si>
  <si>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</si>
  <si>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</si>
  <si>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</si>
  <si>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</si>
  <si>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</si>
  <si>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</si>
  <si>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</si>
  <si>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</si>
  <si>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</si>
  <si>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</si>
  <si>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</si>
  <si>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</si>
  <si>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</si>
  <si>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</si>
  <si>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</si>
  <si>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</si>
  <si>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</si>
  <si>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</si>
  <si>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</si>
  <si>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</si>
  <si>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</si>
  <si>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</si>
  <si>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</si>
  <si>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</si>
  <si>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</si>
  <si>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</si>
  <si>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</si>
  <si>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</si>
  <si>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</si>
  <si>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</si>
  <si>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</si>
  <si>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</si>
  <si>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</si>
  <si>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</si>
  <si>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</si>
  <si>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</si>
  <si>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</si>
  <si>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</si>
  <si>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</si>
  <si>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</si>
  <si>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</si>
  <si>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</si>
  <si>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</si>
  <si>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</si>
  <si>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</si>
  <si>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</si>
  <si>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</si>
  <si>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</si>
  <si>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</si>
  <si>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</si>
  <si>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</si>
  <si>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</si>
  <si>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</si>
  <si>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</si>
  <si>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</si>
  <si>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</si>
  <si>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</si>
  <si>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</si>
  <si>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</si>
  <si>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</si>
  <si>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</si>
  <si>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</si>
  <si>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</si>
  <si>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</si>
  <si>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</si>
  <si>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</si>
  <si>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</si>
  <si>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</si>
  <si>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</si>
  <si>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</si>
  <si>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</si>
  <si>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</si>
  <si>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</si>
  <si>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</si>
  <si>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</si>
  <si>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</si>
  <si>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</si>
  <si>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</si>
  <si>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</si>
  <si>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</si>
  <si>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</si>
  <si>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</si>
  <si>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</si>
  <si>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</si>
  <si>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</si>
  <si>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</si>
  <si>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</si>
  <si>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</si>
  <si>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</si>
  <si>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</si>
  <si>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</si>
  <si>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</si>
  <si>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</si>
  <si>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</si>
  <si>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</si>
  <si>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</si>
  <si>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</si>
  <si>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</si>
  <si>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</si>
  <si>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</si>
  <si>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</si>
  <si>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</si>
  <si>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</si>
  <si>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</si>
  <si>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</si>
  <si>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</si>
  <si>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</si>
  <si>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</si>
  <si>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</si>
  <si>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</si>
  <si>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</si>
  <si>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</si>
  <si>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</si>
  <si>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</si>
  <si>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</si>
  <si>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</si>
  <si>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</si>
  <si>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</si>
  <si>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</si>
  <si>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</si>
  <si>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</si>
  <si>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</si>
  <si>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</si>
  <si>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</si>
  <si>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</si>
  <si>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</si>
  <si>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</si>
  <si>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</si>
  <si>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</si>
  <si>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</si>
  <si>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</si>
  <si>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</si>
  <si>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</si>
  <si>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</si>
  <si>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</si>
  <si>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</si>
  <si>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</si>
  <si>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</si>
  <si>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</si>
  <si>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</si>
  <si>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</si>
  <si>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</si>
  <si>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</si>
  <si>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</si>
  <si>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</si>
  <si>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</si>
  <si>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</si>
  <si>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</si>
  <si>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</si>
  <si>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</si>
  <si>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</si>
  <si>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</si>
  <si>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</si>
  <si>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</si>
  <si>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</si>
  <si>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</si>
  <si>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</si>
  <si>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</si>
  <si>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</si>
  <si>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</si>
  <si>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</si>
  <si>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</si>
  <si>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</si>
  <si>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</si>
  <si>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</si>
  <si>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</si>
  <si>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</si>
  <si>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</si>
  <si>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</si>
  <si>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</si>
  <si>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</si>
  <si>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</si>
  <si>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</si>
  <si>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</si>
  <si>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</si>
  <si>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</si>
  <si>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</si>
  <si>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</si>
  <si>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</si>
  <si>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</si>
  <si>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</si>
  <si>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</si>
  <si>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</si>
  <si>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</si>
  <si>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</si>
  <si>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</si>
  <si>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</si>
  <si>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</si>
  <si>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</si>
  <si>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</si>
  <si>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</si>
  <si>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</si>
  <si>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</si>
  <si>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</si>
  <si>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</si>
  <si>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</si>
  <si>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</si>
  <si>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</si>
  <si>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</si>
  <si>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</si>
  <si>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</si>
  <si>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</si>
  <si>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</si>
  <si>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</si>
  <si>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</si>
  <si>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</si>
  <si>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</si>
  <si>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</si>
  <si>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</si>
  <si>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</si>
  <si>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</si>
  <si>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</si>
  <si>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</si>
  <si>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</si>
  <si>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</si>
  <si>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</si>
  <si>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</si>
  <si>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</si>
  <si>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</si>
  <si>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</si>
  <si>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</si>
  <si>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</si>
  <si>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</si>
  <si>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</si>
  <si>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</si>
  <si>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</si>
  <si>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</si>
  <si>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</si>
  <si>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</si>
  <si>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</si>
  <si>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</si>
  <si>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</si>
  <si>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</si>
  <si>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</si>
  <si>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</si>
  <si>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</si>
  <si>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</si>
  <si>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</si>
  <si>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</si>
  <si>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</si>
  <si>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</si>
  <si>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</si>
  <si>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</si>
  <si>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</si>
  <si>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</si>
  <si>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</si>
  <si>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</si>
  <si>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</si>
  <si>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</si>
  <si>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</si>
  <si>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</si>
  <si>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</si>
  <si>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</si>
  <si>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</si>
  <si>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</si>
  <si>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</si>
  <si>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</si>
  <si>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</si>
  <si>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</si>
  <si>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</si>
  <si>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</si>
  <si>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</si>
  <si>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</si>
  <si>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</si>
  <si>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</si>
  <si>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</si>
  <si>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</si>
  <si>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</si>
  <si>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</si>
  <si>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</si>
  <si>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</si>
  <si>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</si>
  <si>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</si>
  <si>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</si>
  <si>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</si>
  <si>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</si>
  <si>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</si>
  <si>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</si>
  <si>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</si>
  <si>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</si>
  <si>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</si>
  <si>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</si>
  <si>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</si>
  <si>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</si>
  <si>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</si>
  <si>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</si>
  <si>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</si>
  <si>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</si>
  <si>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</si>
  <si>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</si>
  <si>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</si>
  <si>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</si>
  <si>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</si>
  <si>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</si>
  <si>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</si>
  <si>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</si>
  <si>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</si>
  <si>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</si>
  <si>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</si>
  <si>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</si>
  <si>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</si>
  <si>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</si>
  <si>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</si>
  <si>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</si>
  <si>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</si>
  <si>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</si>
  <si>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</si>
  <si>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</si>
  <si>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</si>
  <si>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</si>
  <si>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</si>
  <si>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</si>
  <si>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</si>
  <si>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</si>
  <si>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</si>
  <si>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</si>
  <si>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</si>
  <si>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</si>
  <si>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</si>
  <si>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</si>
  <si>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</si>
  <si>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</si>
  <si>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</si>
  <si>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</si>
  <si>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</si>
  <si>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</si>
  <si>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</si>
  <si>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</si>
  <si>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</si>
  <si>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</si>
  <si>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</si>
  <si>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</si>
  <si>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</si>
  <si>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</si>
  <si>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</si>
  <si>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</si>
  <si>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</si>
  <si>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</si>
  <si>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</si>
  <si>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</si>
  <si>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</si>
  <si>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</si>
  <si>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</si>
  <si>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</si>
  <si>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</si>
  <si>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</si>
  <si>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</si>
  <si>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</si>
  <si>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</si>
  <si>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</si>
  <si>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</si>
  <si>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</si>
  <si>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</si>
  <si>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</si>
  <si>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</si>
  <si>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</si>
  <si>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</si>
  <si>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</si>
  <si>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</si>
  <si>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</si>
  <si>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</si>
  <si>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</si>
  <si>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</si>
  <si>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</si>
  <si>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</si>
  <si>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</si>
  <si>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</si>
  <si>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</si>
  <si>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</si>
  <si>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</si>
  <si>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</si>
  <si>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</si>
  <si>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</si>
  <si>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</si>
  <si>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</si>
  <si>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</si>
  <si>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</si>
  <si>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</si>
  <si>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</si>
  <si>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</si>
  <si>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</si>
  <si>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</si>
  <si>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</si>
  <si>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</si>
  <si>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</si>
  <si>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</si>
  <si>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</si>
  <si>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</si>
  <si>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</si>
  <si>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</si>
  <si>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</si>
  <si>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</si>
  <si>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</si>
  <si>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</si>
  <si>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</si>
  <si>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</si>
  <si>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</si>
  <si>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</si>
  <si>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</si>
  <si>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</si>
  <si>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</si>
  <si>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</si>
  <si>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</si>
  <si>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</si>
  <si>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</si>
  <si>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</si>
  <si>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</si>
  <si>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</si>
  <si>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</si>
  <si>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</si>
  <si>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</si>
  <si>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</si>
  <si>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</si>
  <si>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</si>
  <si>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</si>
  <si>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</si>
  <si>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</si>
  <si>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</si>
  <si>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</si>
  <si>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</si>
  <si>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</si>
  <si>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</si>
  <si>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</si>
  <si>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</si>
  <si>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</si>
  <si>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</si>
  <si>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</si>
  <si>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</si>
  <si>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</si>
  <si>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</si>
  <si>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</si>
  <si>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</si>
  <si>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</si>
  <si>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</si>
  <si>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</si>
  <si>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</si>
  <si>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</si>
  <si>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</si>
  <si>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</si>
  <si>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</si>
  <si>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</si>
  <si>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</si>
  <si>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</si>
  <si>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</si>
  <si>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</si>
  <si>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</si>
  <si>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</si>
  <si>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</si>
  <si>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</si>
  <si>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</si>
  <si>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</si>
  <si>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</si>
  <si>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</si>
  <si>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</si>
  <si>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</si>
  <si>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</si>
  <si>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</si>
  <si>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</si>
  <si>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</si>
  <si>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</si>
  <si>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</si>
  <si>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</si>
  <si>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</si>
  <si>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</si>
  <si>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</si>
  <si>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</si>
  <si>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</si>
  <si>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</si>
  <si>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</si>
  <si>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</si>
  <si>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</si>
  <si>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</si>
  <si>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</si>
  <si>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</si>
  <si>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</si>
  <si>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</si>
  <si>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</si>
  <si>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</si>
  <si>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</si>
  <si>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</si>
  <si>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</si>
  <si>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</si>
  <si>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</si>
  <si>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</si>
  <si>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</si>
  <si>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</si>
  <si>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</si>
  <si>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</si>
  <si>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</si>
  <si>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</si>
  <si>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</si>
  <si>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</si>
  <si>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</si>
  <si>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</si>
  <si>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</si>
  <si>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</si>
  <si>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</si>
  <si>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</si>
  <si>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</si>
  <si>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</si>
  <si>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</si>
  <si>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</si>
  <si>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</si>
  <si>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</si>
  <si>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</si>
  <si>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</si>
  <si>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</si>
  <si>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</si>
  <si>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</si>
  <si>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</si>
  <si>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</si>
  <si>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</si>
  <si>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</si>
  <si>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</si>
  <si>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</si>
  <si>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</si>
  <si>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</si>
  <si>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</si>
  <si>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</si>
  <si>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</si>
  <si>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</si>
  <si>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</si>
  <si>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</si>
  <si>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</si>
  <si>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</si>
  <si>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</si>
  <si>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</si>
  <si>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</si>
  <si>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</si>
  <si>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</si>
  <si>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</si>
  <si>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</si>
  <si>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</si>
  <si>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</si>
  <si>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</si>
  <si>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</si>
  <si>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</si>
  <si>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</si>
  <si>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</si>
  <si>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</si>
  <si>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</si>
  <si>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</si>
  <si>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</si>
  <si>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</si>
  <si>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</si>
  <si>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</si>
  <si>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</si>
  <si>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</si>
  <si>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</si>
  <si>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</si>
  <si>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</si>
  <si>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</si>
  <si>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</si>
  <si>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</si>
  <si>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</si>
  <si>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</si>
  <si>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</si>
  <si>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</si>
  <si>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</si>
  <si>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</si>
  <si>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</si>
  <si>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</si>
  <si>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</si>
  <si>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</si>
  <si>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</si>
  <si>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</si>
  <si>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</si>
  <si>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</si>
  <si>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</si>
  <si>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</si>
  <si>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</si>
  <si>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</si>
  <si>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</si>
  <si>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</si>
  <si>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</si>
  <si>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</si>
  <si>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</si>
  <si>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</si>
  <si>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</si>
  <si>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</si>
  <si>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</si>
  <si>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</si>
  <si>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</si>
  <si>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</si>
  <si>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</si>
  <si>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</si>
  <si>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</si>
  <si>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</si>
  <si>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</si>
  <si>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</si>
  <si>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</si>
  <si>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</si>
  <si>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</si>
  <si>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</si>
  <si>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</si>
  <si>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</si>
  <si>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</si>
  <si>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</si>
  <si>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</si>
  <si>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</si>
  <si>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</si>
  <si>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</si>
  <si>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</si>
  <si>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</si>
  <si>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</si>
  <si>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</si>
  <si>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</si>
  <si>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</si>
  <si>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</si>
  <si>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</si>
  <si>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</si>
  <si>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</si>
  <si>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</si>
  <si>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</si>
  <si>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</si>
  <si>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</si>
  <si>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</si>
  <si>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</si>
  <si>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</si>
  <si>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</si>
  <si>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</si>
  <si>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</si>
  <si>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</si>
  <si>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</si>
  <si>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</si>
  <si>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</si>
  <si>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</si>
  <si>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</si>
  <si>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</si>
  <si>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</si>
  <si>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</si>
  <si>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</si>
  <si>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</si>
  <si>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</si>
  <si>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</si>
  <si>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</si>
  <si>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</si>
  <si>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</si>
  <si>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</si>
  <si>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</si>
  <si>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</si>
  <si>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</si>
  <si>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</si>
  <si>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</si>
  <si>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</si>
  <si>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</si>
  <si>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</si>
  <si>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</si>
  <si>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</si>
  <si>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</si>
  <si>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</si>
  <si>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</si>
  <si>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</si>
  <si>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</si>
  <si>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</si>
  <si>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</si>
  <si>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</si>
  <si>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</si>
  <si>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</si>
  <si>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</si>
  <si>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</si>
  <si>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</si>
  <si>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</si>
  <si>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</si>
  <si>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</si>
  <si>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</si>
  <si>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</si>
  <si>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</si>
  <si>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</si>
  <si>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</si>
  <si>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</si>
  <si>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</si>
  <si>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</si>
  <si>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</si>
  <si>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</si>
  <si>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</si>
  <si>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</si>
  <si>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</si>
  <si>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</si>
  <si>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</si>
  <si>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</si>
  <si>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</si>
  <si>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</si>
  <si>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</si>
  <si>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</si>
  <si>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</si>
  <si>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</si>
  <si>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</si>
  <si>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</si>
  <si>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</si>
  <si>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</si>
  <si>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</si>
  <si>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</si>
  <si>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</si>
  <si>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</si>
  <si>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</si>
  <si>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</si>
  <si>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</si>
  <si>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</si>
  <si>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</si>
  <si>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</si>
  <si>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</si>
  <si>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</si>
  <si>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</si>
  <si>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</si>
  <si>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</si>
  <si>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</si>
  <si>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</si>
  <si>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</si>
  <si>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</si>
  <si>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</si>
  <si>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</si>
  <si>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</si>
  <si>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</si>
  <si>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</si>
  <si>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</si>
  <si>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</si>
  <si>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</si>
  <si>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</si>
  <si>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</si>
  <si>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</si>
  <si>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</si>
  <si>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</si>
  <si>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</si>
  <si>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</si>
  <si>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</si>
  <si>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</si>
  <si>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</si>
  <si>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</si>
  <si>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</si>
  <si>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</si>
  <si>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</si>
  <si>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</si>
  <si>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</si>
  <si>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</si>
  <si>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</si>
  <si>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</si>
  <si>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</si>
  <si>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</si>
  <si>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</si>
  <si>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</si>
  <si>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</si>
  <si>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</si>
  <si>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</si>
  <si>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</si>
  <si>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</si>
  <si>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</si>
  <si>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</si>
  <si>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</si>
  <si>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</si>
  <si>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</si>
  <si>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</si>
  <si>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</si>
  <si>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</si>
  <si>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</si>
  <si>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</si>
  <si>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</si>
  <si>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</si>
  <si>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</si>
  <si>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</si>
  <si>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</si>
  <si>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</si>
  <si>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</si>
  <si>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</si>
  <si>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</si>
  <si>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</si>
  <si>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</si>
  <si>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</si>
  <si>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</si>
  <si>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</si>
  <si>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</si>
  <si>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</si>
  <si>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</si>
  <si>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</si>
  <si>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</si>
  <si>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</si>
  <si>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</si>
  <si>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</si>
  <si>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</si>
  <si>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</si>
  <si>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</si>
  <si>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</si>
  <si>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</si>
  <si>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</si>
  <si>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</si>
  <si>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</si>
  <si>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</si>
  <si>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</si>
  <si>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</si>
  <si>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</si>
  <si>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</si>
  <si>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</si>
  <si>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</si>
  <si>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</si>
  <si>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</si>
  <si>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</si>
  <si>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</si>
  <si>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</si>
  <si>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</si>
  <si>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</si>
  <si>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</si>
  <si>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</si>
  <si>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</si>
  <si>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</si>
  <si>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</si>
  <si>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</si>
  <si>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</si>
  <si>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</si>
  <si>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</si>
  <si>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</si>
  <si>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</si>
  <si>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</si>
  <si>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</si>
  <si>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</si>
  <si>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</si>
  <si>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</si>
  <si>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</si>
  <si>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</si>
  <si>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</si>
  <si>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</si>
  <si>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</si>
  <si>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</si>
  <si>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</si>
  <si>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</si>
  <si>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</si>
  <si>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</si>
  <si>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</si>
  <si>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</si>
  <si>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</si>
  <si>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</si>
  <si>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</si>
  <si>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</si>
  <si>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</si>
  <si>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</si>
  <si>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</si>
  <si>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</si>
  <si>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</si>
  <si>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</si>
  <si>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</si>
  <si>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</si>
  <si>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</si>
  <si>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</si>
  <si>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</si>
  <si>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</si>
  <si>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</si>
  <si>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</si>
  <si>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</si>
  <si>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</si>
  <si>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</si>
  <si>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</si>
  <si>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</si>
  <si>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</si>
  <si>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</si>
  <si>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</si>
  <si>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</si>
  <si>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</si>
  <si>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</si>
  <si>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</si>
  <si>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</si>
  <si>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</si>
  <si>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</si>
  <si>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</si>
  <si>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</si>
  <si>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</si>
  <si>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</si>
  <si>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</si>
  <si>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</si>
  <si>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</si>
  <si>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</si>
  <si>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</si>
  <si>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</si>
  <si>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</si>
  <si>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</si>
  <si>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</si>
  <si>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</si>
  <si>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</si>
  <si>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</si>
  <si>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</si>
  <si>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</si>
  <si>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</si>
  <si>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</si>
  <si>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</si>
  <si>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</si>
  <si>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</si>
  <si>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</si>
  <si>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</si>
  <si>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</si>
  <si>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</si>
  <si>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</si>
  <si>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</si>
  <si>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</si>
  <si>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</si>
  <si>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</si>
  <si>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</si>
  <si>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</si>
  <si>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</si>
  <si>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</si>
  <si>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</si>
  <si>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</si>
  <si>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</si>
  <si>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</si>
  <si>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</si>
  <si>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</si>
  <si>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</si>
  <si>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</si>
  <si>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</si>
  <si>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</si>
  <si>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</si>
  <si>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</si>
  <si>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</si>
  <si>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</si>
  <si>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</si>
  <si>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</si>
  <si>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</si>
  <si>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</si>
  <si>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</si>
  <si>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</si>
  <si>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</si>
  <si>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</si>
  <si>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</si>
  <si>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</si>
  <si>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</si>
  <si>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</si>
  <si>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</si>
  <si>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</si>
  <si>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</si>
  <si>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</si>
  <si>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</si>
  <si>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</si>
  <si>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</si>
  <si>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</si>
  <si>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</si>
  <si>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</si>
  <si>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</si>
  <si>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</si>
  <si>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</si>
  <si>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</si>
  <si>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</si>
  <si>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</si>
  <si>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</si>
  <si>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</si>
  <si>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</si>
  <si>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</si>
  <si>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</si>
  <si>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</si>
  <si>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</si>
  <si>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</si>
  <si>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</si>
  <si>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</si>
  <si>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</si>
  <si>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</si>
  <si>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</si>
  <si>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</si>
  <si>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</si>
  <si>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</si>
  <si>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</si>
  <si>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</si>
  <si>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</si>
  <si>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</si>
  <si>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</si>
  <si>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</si>
  <si>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</si>
  <si>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</si>
  <si>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</si>
  <si>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</si>
  <si>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</si>
  <si>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</si>
  <si>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</si>
  <si>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</si>
  <si>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</si>
  <si>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</si>
  <si>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</si>
  <si>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</si>
  <si>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</si>
  <si>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</si>
  <si>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</si>
  <si>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</si>
  <si>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</si>
  <si>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</si>
  <si>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</si>
  <si>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</si>
  <si>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</si>
  <si>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</si>
  <si>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</si>
  <si>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</si>
  <si>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</si>
  <si>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</si>
  <si>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</si>
  <si>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</si>
  <si>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</si>
  <si>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</si>
  <si>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</si>
  <si>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</si>
  <si>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</si>
  <si>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</si>
  <si>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</si>
  <si>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</si>
  <si>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</si>
  <si>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</si>
  <si>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</si>
  <si>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</si>
  <si>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</si>
  <si>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</si>
  <si>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</si>
  <si>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</si>
  <si>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</si>
  <si>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</si>
  <si>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</si>
  <si>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</si>
  <si>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</si>
  <si>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</si>
  <si>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</si>
  <si>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</si>
  <si>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</si>
  <si>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</si>
  <si>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</si>
  <si>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</si>
  <si>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</si>
  <si>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</si>
  <si>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</si>
  <si>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</si>
  <si>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</si>
  <si>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</si>
  <si>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</si>
  <si>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</si>
  <si>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</si>
  <si>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</si>
  <si>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</si>
  <si>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</si>
  <si>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</si>
  <si>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</si>
  <si>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</si>
  <si>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</si>
  <si>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</si>
  <si>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</si>
  <si>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</si>
  <si>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</si>
  <si>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</si>
  <si>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</si>
  <si>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</si>
  <si>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</si>
  <si>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</si>
  <si>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</si>
  <si>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</si>
  <si>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</si>
  <si>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</si>
  <si>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</si>
  <si>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</si>
  <si>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</si>
  <si>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</si>
  <si>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</si>
  <si>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</si>
  <si>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</si>
  <si>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</si>
  <si>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</si>
  <si>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</si>
  <si>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</si>
  <si>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</si>
  <si>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</si>
  <si>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</si>
  <si>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</si>
  <si>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</si>
  <si>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</si>
  <si>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</si>
  <si>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</si>
  <si>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</si>
  <si>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</si>
  <si>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</si>
  <si>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</si>
  <si>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</si>
  <si>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</si>
  <si>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</si>
  <si>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</si>
  <si>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</si>
  <si>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</si>
  <si>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</si>
  <si>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</si>
  <si>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</si>
  <si>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</si>
  <si>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</si>
  <si>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</si>
  <si>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</si>
  <si>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</si>
  <si>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</si>
  <si>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</si>
  <si>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</si>
  <si>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</si>
  <si>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</si>
  <si>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</si>
  <si>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</si>
  <si>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</si>
  <si>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</si>
  <si>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</si>
  <si>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</si>
  <si>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</si>
  <si>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</si>
  <si>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</si>
  <si>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</si>
  <si>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</si>
  <si>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</si>
  <si>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</si>
  <si>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</si>
  <si>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</si>
  <si>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</si>
  <si>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</si>
  <si>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</si>
  <si>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</si>
  <si>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</si>
  <si>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</si>
  <si>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</si>
  <si>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</si>
  <si>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</si>
  <si>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</si>
  <si>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</si>
  <si>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</si>
  <si>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</si>
  <si>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</si>
  <si>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</si>
  <si>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</si>
  <si>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</si>
  <si>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</si>
  <si>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</si>
  <si>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</si>
  <si>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</si>
  <si>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</si>
  <si>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</si>
  <si>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</si>
  <si>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</si>
  <si>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</si>
  <si>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</si>
  <si>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</si>
  <si>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</si>
  <si>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</si>
  <si>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</si>
  <si>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</si>
  <si>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</si>
  <si>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</si>
  <si>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</si>
  <si>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</si>
  <si>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</si>
  <si>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</si>
  <si>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</si>
  <si>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</si>
  <si>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</si>
  <si>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</si>
  <si>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</si>
  <si>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</si>
  <si>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</si>
  <si>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</si>
  <si>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</si>
  <si>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</si>
  <si>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</si>
  <si>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</si>
  <si>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</si>
  <si>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</si>
  <si>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</si>
  <si>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</si>
  <si>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</si>
  <si>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</si>
  <si>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</si>
  <si>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</si>
  <si>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</si>
  <si>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</si>
  <si>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</si>
  <si>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</si>
  <si>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</si>
  <si>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</si>
  <si>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</si>
  <si>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</si>
  <si>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</si>
  <si>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</si>
  <si>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</si>
  <si>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</si>
  <si>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</si>
  <si>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</si>
  <si>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</si>
  <si>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</si>
  <si>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</si>
  <si>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</si>
  <si>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</si>
  <si>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</si>
  <si>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</si>
  <si>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</si>
  <si>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</si>
  <si>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</si>
  <si>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</si>
  <si>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</si>
  <si>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</si>
  <si>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</si>
  <si>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</si>
  <si>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</si>
  <si>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</si>
  <si>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</si>
  <si>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</si>
  <si>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</si>
  <si>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</si>
  <si>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</si>
  <si>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</si>
  <si>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</si>
  <si>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</si>
  <si>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</si>
  <si>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</si>
  <si>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</si>
  <si>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</si>
  <si>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</si>
  <si>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</si>
  <si>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</si>
  <si>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</si>
  <si>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</si>
  <si>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</si>
  <si>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</si>
  <si>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</si>
  <si>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</si>
  <si>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</si>
  <si>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</si>
  <si>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</si>
  <si>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</si>
  <si>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</si>
  <si>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</si>
  <si>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</si>
  <si>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</si>
  <si>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</si>
  <si>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</si>
  <si>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</si>
  <si>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</si>
  <si>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</si>
  <si>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</si>
  <si>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</si>
  <si>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</si>
  <si>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</si>
  <si>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</si>
  <si>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</si>
  <si>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</si>
  <si>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</si>
  <si>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</si>
  <si>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</si>
  <si>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</si>
  <si>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</si>
  <si>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</si>
  <si>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</si>
  <si>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</si>
  <si>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</si>
  <si>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</si>
  <si>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</si>
  <si>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</si>
  <si>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</si>
  <si>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</si>
  <si>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</si>
  <si>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</si>
  <si>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</si>
  <si>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</si>
  <si>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</si>
  <si>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</si>
  <si>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</si>
  <si>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</si>
  <si>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</si>
  <si>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</si>
  <si>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</si>
  <si>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</si>
  <si>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</si>
  <si>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</si>
  <si>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</si>
  <si>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</si>
  <si>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</si>
  <si>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</si>
  <si>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</si>
  <si>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</si>
  <si>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</si>
  <si>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</si>
  <si>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</si>
  <si>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</si>
  <si>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</si>
  <si>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</si>
  <si>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</si>
  <si>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</si>
  <si>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</si>
  <si>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</si>
  <si>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</si>
  <si>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</si>
  <si>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</si>
  <si>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</si>
  <si>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</si>
  <si>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</si>
  <si>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</si>
  <si>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</si>
  <si>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</si>
  <si>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</si>
  <si>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</si>
  <si>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</si>
  <si>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</si>
  <si>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</si>
  <si>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</si>
  <si>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</si>
  <si>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</si>
  <si>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</si>
  <si>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</si>
  <si>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</si>
  <si>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</si>
  <si>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</si>
  <si>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</si>
  <si>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</si>
  <si>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</si>
  <si>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</si>
  <si>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</si>
  <si>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</si>
  <si>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</si>
  <si>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</si>
  <si>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</si>
  <si>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</si>
  <si>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</si>
  <si>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</si>
  <si>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</si>
  <si>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</si>
  <si>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</si>
  <si>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</si>
  <si>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</si>
  <si>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</si>
  <si>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</si>
  <si>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</si>
  <si>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</si>
  <si>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</si>
  <si>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</si>
  <si>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</si>
  <si>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</si>
  <si>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</si>
  <si>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</si>
  <si>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</si>
  <si>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</si>
  <si>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</si>
  <si>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</si>
  <si>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</si>
  <si>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</si>
  <si>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</si>
  <si>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</si>
  <si>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</si>
  <si>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</si>
  <si>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</si>
  <si>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</si>
  <si>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</si>
  <si>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</si>
  <si>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</si>
  <si>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</si>
  <si>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</si>
  <si>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</si>
  <si>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</si>
  <si>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</si>
  <si>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</si>
  <si>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</si>
  <si>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</si>
  <si>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</si>
  <si>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</si>
  <si>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</si>
  <si>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</si>
  <si>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</si>
  <si>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</si>
  <si>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</si>
  <si>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</si>
  <si>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</si>
  <si>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</si>
  <si>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</si>
  <si>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</si>
  <si>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</si>
  <si>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</si>
  <si>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</si>
  <si>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</si>
  <si>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</si>
  <si>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</si>
  <si>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</si>
  <si>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</si>
  <si>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</si>
  <si>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</si>
  <si>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</si>
  <si>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</si>
  <si>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</si>
  <si>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</si>
  <si>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</si>
  <si>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</si>
  <si>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</si>
  <si>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</si>
  <si>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</si>
  <si>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</si>
  <si>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</si>
  <si>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</si>
  <si>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</si>
  <si>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</si>
  <si>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</si>
  <si>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</si>
  <si>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</si>
  <si>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</si>
  <si>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</si>
  <si>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</si>
  <si>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</si>
  <si>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</si>
  <si>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</si>
  <si>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</si>
  <si>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</si>
  <si>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</si>
  <si>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</si>
  <si>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</si>
  <si>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</si>
  <si>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</si>
  <si>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</si>
  <si>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</si>
  <si>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</si>
  <si>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</si>
  <si>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</si>
  <si>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</si>
  <si>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</si>
  <si>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</si>
  <si>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</si>
  <si>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</si>
  <si>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</si>
  <si>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</si>
  <si>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</si>
  <si>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</si>
  <si>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</si>
  <si>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</si>
  <si>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</si>
  <si>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</si>
  <si>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</si>
  <si>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</si>
  <si>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</si>
  <si>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</si>
  <si>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</si>
  <si>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</si>
  <si>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</si>
  <si>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</si>
  <si>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</si>
  <si>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</si>
  <si>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</si>
  <si>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</si>
  <si>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</si>
  <si>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</si>
  <si>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</si>
  <si>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</si>
  <si>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</si>
  <si>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</si>
  <si>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</si>
  <si>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</si>
  <si>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</si>
  <si>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</si>
  <si>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</si>
  <si>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</si>
  <si>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</si>
  <si>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</si>
  <si>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</si>
  <si>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</si>
  <si>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</si>
  <si>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</si>
  <si>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</si>
  <si>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</si>
  <si>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</si>
  <si>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</si>
  <si>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</si>
  <si>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</si>
  <si>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</si>
  <si>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</si>
  <si>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</si>
  <si>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</si>
  <si>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</si>
  <si>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</si>
  <si>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</si>
  <si>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</si>
  <si>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</si>
  <si>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</si>
  <si>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</si>
  <si>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</si>
  <si>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</si>
  <si>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</si>
  <si>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</si>
  <si>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</si>
  <si>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</si>
  <si>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</si>
  <si>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</si>
  <si>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</si>
  <si>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</si>
  <si>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</si>
  <si>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</si>
  <si>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</si>
  <si>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</si>
  <si>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</si>
  <si>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</si>
  <si>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</si>
  <si>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</si>
  <si>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</si>
  <si>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</si>
  <si>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</si>
  <si>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</si>
  <si>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</si>
  <si>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</si>
  <si>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</si>
  <si>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</si>
  <si>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</si>
  <si>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</si>
  <si>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</si>
  <si>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</si>
  <si>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</si>
  <si>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</si>
  <si>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</si>
  <si>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</si>
  <si>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</si>
  <si>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</si>
  <si>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</si>
  <si>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</si>
  <si>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</si>
  <si>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</si>
  <si>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</si>
  <si>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</si>
  <si>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</si>
  <si>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</si>
  <si>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</si>
  <si>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</si>
  <si>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</si>
  <si>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</si>
  <si>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</si>
  <si>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</si>
  <si>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</si>
  <si>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</si>
  <si>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</si>
  <si>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</si>
  <si>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</si>
  <si>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</si>
  <si>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</si>
  <si>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</si>
  <si>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</si>
  <si>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</si>
  <si>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</si>
  <si>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</si>
  <si>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</si>
  <si>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</si>
  <si>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</si>
  <si>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</si>
  <si>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</si>
  <si>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</si>
  <si>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</si>
  <si>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</si>
  <si>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</si>
  <si>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</si>
  <si>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</si>
  <si>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</si>
  <si>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</si>
  <si>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</si>
  <si>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</si>
  <si>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</si>
  <si>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</si>
  <si>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</si>
  <si>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</si>
  <si>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</si>
  <si>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</si>
  <si>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</si>
  <si>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</si>
  <si>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</si>
  <si>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</si>
  <si>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</si>
  <si>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</si>
  <si>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</si>
  <si>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</si>
  <si>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</si>
  <si>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</si>
  <si>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</si>
  <si>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</si>
  <si>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</si>
  <si>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</si>
  <si>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</si>
  <si>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</si>
  <si>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</si>
  <si>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</si>
  <si>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</si>
  <si>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</si>
  <si>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</si>
  <si>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</si>
  <si>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</si>
  <si>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</si>
  <si>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</si>
  <si>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</si>
  <si>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</si>
  <si>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</si>
  <si>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</si>
  <si>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</si>
  <si>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</si>
  <si>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</si>
  <si>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</si>
  <si>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</si>
  <si>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</si>
  <si>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</si>
  <si>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</si>
  <si>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</si>
  <si>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</si>
  <si>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</si>
  <si>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</si>
  <si>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</si>
  <si>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</si>
  <si>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</si>
  <si>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</si>
  <si>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</si>
  <si>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</si>
  <si>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</si>
  <si>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</si>
  <si>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</si>
  <si>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</si>
  <si>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</si>
  <si>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</si>
  <si>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</si>
  <si>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</si>
  <si>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</si>
  <si>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</si>
  <si>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</si>
  <si>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</si>
  <si>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</si>
  <si>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</si>
  <si>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</si>
  <si>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</si>
  <si>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</si>
  <si>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</si>
  <si>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</si>
  <si>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</si>
  <si>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</si>
  <si>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</si>
  <si>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</si>
  <si>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</si>
  <si>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</si>
  <si>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</si>
  <si>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</si>
  <si>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</si>
  <si>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</si>
  <si>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</si>
  <si>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</si>
  <si>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</si>
  <si>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</si>
  <si>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</si>
  <si>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</si>
  <si>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</si>
  <si>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</si>
  <si>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</si>
  <si>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</si>
  <si>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</si>
  <si>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</si>
  <si>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</si>
  <si>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</si>
  <si>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</si>
  <si>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</si>
  <si>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</si>
  <si>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</si>
  <si>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</si>
  <si>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</si>
  <si>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</si>
  <si>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</si>
  <si>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</si>
  <si>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</si>
  <si>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</si>
  <si>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</si>
  <si>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</si>
  <si>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</si>
  <si>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</si>
  <si>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</si>
  <si>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</si>
  <si>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</si>
  <si>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</si>
  <si>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</si>
  <si>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</si>
  <si>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</si>
  <si>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</si>
  <si>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</si>
  <si>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</si>
  <si>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</si>
  <si>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</si>
  <si>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</si>
  <si>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</si>
  <si>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</si>
  <si>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</si>
  <si>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</si>
  <si>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</si>
  <si>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</si>
  <si>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</si>
  <si>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</si>
  <si>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</si>
  <si>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</si>
  <si>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</si>
  <si>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</si>
  <si>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</si>
  <si>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</si>
  <si>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</si>
  <si>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</si>
  <si>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</si>
  <si>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</si>
  <si>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</si>
  <si>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</si>
  <si>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</si>
  <si>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</si>
  <si>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</si>
  <si>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</si>
  <si>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</si>
  <si>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</si>
  <si>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</si>
  <si>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</si>
  <si>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</si>
  <si>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</si>
  <si>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</si>
  <si>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</si>
  <si>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</si>
  <si>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</si>
  <si>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</si>
  <si>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</si>
  <si>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</si>
  <si>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</si>
  <si>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</si>
  <si>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</si>
  <si>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</si>
  <si>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</si>
  <si>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</si>
  <si>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</si>
  <si>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</si>
  <si>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</si>
  <si>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</si>
  <si>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</si>
  <si>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</si>
  <si>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</si>
  <si>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</si>
  <si>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</si>
  <si>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</si>
  <si>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</si>
  <si>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</si>
  <si>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</si>
  <si>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</si>
  <si>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</si>
  <si>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</si>
  <si>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</si>
  <si>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</si>
  <si>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</si>
  <si>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</si>
  <si>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</si>
  <si>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</si>
  <si>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</si>
  <si>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</si>
  <si>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</si>
  <si>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</si>
  <si>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</si>
  <si>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</si>
  <si>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</si>
  <si>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</si>
  <si>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</si>
  <si>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</si>
  <si>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</si>
  <si>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</si>
  <si>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</si>
  <si>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</si>
  <si>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</si>
  <si>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</si>
  <si>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</si>
  <si>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</si>
  <si>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</si>
  <si>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</si>
  <si>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</si>
  <si>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</si>
  <si>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</si>
  <si>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</si>
  <si>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</si>
  <si>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</si>
  <si>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</si>
  <si>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</si>
  <si>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</si>
  <si>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</si>
  <si>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</si>
  <si>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</si>
  <si>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</si>
  <si>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</si>
  <si>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</si>
  <si>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</si>
  <si>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</si>
  <si>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</si>
  <si>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</si>
  <si>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</si>
  <si>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</si>
  <si>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</si>
  <si>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</si>
  <si>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</si>
  <si>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</si>
  <si>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</si>
  <si>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</si>
  <si>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</si>
  <si>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</si>
  <si>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</si>
  <si>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</si>
  <si>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</si>
  <si>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</si>
  <si>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Ⅵ-BDA核心</t>
  </si>
  <si>
    <t>土地面积</t>
    <phoneticPr fontId="134" type="noConversion"/>
  </si>
  <si>
    <t>1号楼、2号楼</t>
    <phoneticPr fontId="134" type="noConversion"/>
  </si>
  <si>
    <t>研发楼、生产楼</t>
    <phoneticPr fontId="134" type="noConversion"/>
  </si>
  <si>
    <t>地下车库</t>
    <phoneticPr fontId="134" type="noConversion"/>
  </si>
  <si>
    <t>3号楼</t>
    <phoneticPr fontId="134" type="noConversion"/>
  </si>
  <si>
    <t>门房</t>
    <phoneticPr fontId="134" type="noConversion"/>
  </si>
  <si>
    <t>是</t>
  </si>
  <si>
    <t>地上</t>
  </si>
  <si>
    <t>地下</t>
  </si>
  <si>
    <t>朗致</t>
  </si>
  <si>
    <t>朗致</t>
    <phoneticPr fontId="7" type="noConversion"/>
  </si>
  <si>
    <t>成新度</t>
  </si>
  <si>
    <t>收益法</t>
  </si>
  <si>
    <t>押一</t>
  </si>
  <si>
    <t>钢混</t>
  </si>
  <si>
    <t>非生产用房</t>
  </si>
  <si>
    <t>否</t>
  </si>
  <si>
    <t>研发生产</t>
    <phoneticPr fontId="3" type="noConversion"/>
  </si>
  <si>
    <t>车库</t>
    <phoneticPr fontId="3" type="noConversion"/>
  </si>
  <si>
    <t>车库单价</t>
    <phoneticPr fontId="3" type="noConversion"/>
  </si>
  <si>
    <t>车位数量</t>
    <phoneticPr fontId="3" type="noConversion"/>
  </si>
  <si>
    <t>车库年收入</t>
    <phoneticPr fontId="3" type="noConversion"/>
  </si>
  <si>
    <t>通路</t>
  </si>
  <si>
    <t>通电</t>
  </si>
  <si>
    <t>通讯</t>
  </si>
  <si>
    <t>通上水</t>
  </si>
  <si>
    <t>通下水</t>
  </si>
  <si>
    <t>平整</t>
  </si>
  <si>
    <t>燃气</t>
  </si>
  <si>
    <t>按公示增长率计算</t>
  </si>
  <si>
    <t>中心城区</t>
  </si>
  <si>
    <t>估价对象容积率</t>
  </si>
  <si>
    <t>好</t>
  </si>
  <si>
    <t>较好</t>
  </si>
  <si>
    <t>一般</t>
  </si>
  <si>
    <t>较差</t>
  </si>
  <si>
    <t>未包含在土地购买价格中</t>
  </si>
  <si>
    <t>全部缴纳</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</si>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</sst>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1" fillId="0" borderId="0" xfId="0" applyFont="1" applyAlignment="1">
      <alignment horizontal="left" vertical="center"/>
    </xf>
    <xf numFmtId="0" fontId="77" fillId="12" borderId="0" xfId="0" applyFont="1" applyFill="1" applyProtection="1">
      <alignment vertical="center"/>
      <protection locked="0"/>
    </xf>
    <xf numFmtId="0" fontId="77" fillId="5" borderId="0" xfId="0" applyFont="1" applyFill="1" applyProtection="1">
      <alignment vertical="center"/>
      <protection locked="0"/>
    </xf>
    <xf numFmtId="0" fontId="77" fillId="14" borderId="0" xfId="0" applyFont="1" applyFill="1" applyProtection="1">
      <alignment vertical="center"/>
      <protection locked="0"/>
    </xf>
    <xf numFmtId="0" fontId="47" fillId="14" borderId="0" xfId="0" applyFont="1" applyFill="1" applyProtection="1">
      <alignment vertical="center"/>
      <protection locked="0"/>
    </xf>
    <xf numFmtId="0" fontId="77" fillId="22" borderId="0" xfId="0" applyFont="1" applyFill="1" applyProtection="1">
      <alignment vertical="center"/>
      <protection locked="0"/>
    </xf>
    <xf numFmtId="0" fontId="47" fillId="22"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估价对象为北京市房地产，为所有。根据《国有土地使用证》[]，估价对象（分摊）出让国有建设用地使用权面积为20352.8平方米，建筑面积为35200.39平方米。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估价对象为北京市房地产,属开发建设的，该项目尚在开发建设中。根据《国有土地使用证》[]，估价对象（分摊）出让国有建设用地使用权面积为20352.8平方米，规划建筑面积为35200.39平方米。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2025年12月16日</v>
      </c>
    </row>
    <row r="13" spans="1:2">
      <c r="A13" s="1119" t="s">
        <v>529</v>
      </c>
      <c r="B13" s="1120" t="str">
        <f>'预评函-1'!A18</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35200.39</v>
      </c>
    </row>
    <row r="44" spans="1:2">
      <c r="A44" s="1119" t="s">
        <v>575</v>
      </c>
      <c r="B44" s="1120" t="str">
        <f>'预评函-3'!C2</f>
        <v>(分摊)土地面积</v>
      </c>
    </row>
    <row r="45" spans="1:2">
      <c r="A45" s="1119" t="s">
        <v>547</v>
      </c>
      <c r="B45" s="1120">
        <f>'预评函-3'!C4</f>
        <v>20352.8</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2" sqref="B2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C53" sqref="C53"/>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1" t="s">
        <v>2580</v>
      </c>
      <c r="J2" s="3211"/>
      <c r="K2" s="3211"/>
      <c r="L2" s="3211"/>
      <c r="M2" s="3211"/>
      <c r="N2" s="3211"/>
      <c r="O2" s="3211"/>
      <c r="P2" s="3211"/>
      <c r="Q2" s="3211"/>
      <c r="R2" s="3211"/>
    </row>
    <row r="3" spans="1:18">
      <c r="A3" s="2763" t="s">
        <v>2501</v>
      </c>
      <c r="B3" s="2764">
        <f>项目基本情况!D3</f>
        <v>46007</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v>
      </c>
      <c r="D5" s="2768">
        <f>IF(ISERROR(ROUND(POWER(1+E5,A5-C5)*(POWER(1+E5,C5)-1)/(POWER(1+E5,A5)-1),3)),0,ROUND(POWER(1+E5,A5-C5)*(POWER(1+E5,C5)-1)/(POWER(1+E5,A5)-1),4))</f>
        <v>4.8599999999999997E-2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11.01</v>
      </c>
      <c r="D6" s="2768">
        <f>IF(ISERROR(ROUND(POWER(1+E6,A6-C6)*(POWER(1+E6,C6)-1)/(POWER(1+E6,A6)-1),3)),0,ROUND(POWER(1+E6,A6-C6)*(POWER(1+E6,C6)-1)/(POWER(1+E6,A6)-1),4))</f>
        <v>0.40810000000000002</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31.03</v>
      </c>
      <c r="D7" s="2768">
        <f>IF(ISERROR(ROUND(POWER(1+E7,A7-C7)*(POWER(1+E7,C7)-1)/(POWER(1+E7,A7)-1),3)),0,ROUND(POWER(1+E7,A7-C7)*(POWER(1+E7,C7)-1)/(POWER(1+E7,A7)-1),4))</f>
        <v>0.75219999999999998</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35200.39</v>
      </c>
      <c r="C51" s="3146">
        <f>D51/B51</f>
        <v>2764.0689492360739</v>
      </c>
      <c r="D51" s="2765">
        <f>D52+D53</f>
        <v>97296305</v>
      </c>
    </row>
    <row r="52" spans="1:4">
      <c r="A52" s="3147" t="s">
        <v>3391</v>
      </c>
      <c r="B52" s="3148">
        <f>'数据-汇总表'!F31</f>
        <v>24442.18</v>
      </c>
      <c r="C52" s="3148">
        <v>2000</v>
      </c>
      <c r="D52" s="3149">
        <f>C52*B52</f>
        <v>48884360</v>
      </c>
    </row>
    <row r="53" spans="1:4">
      <c r="A53" s="3147" t="s">
        <v>3392</v>
      </c>
      <c r="B53" s="3148">
        <f>'数据-汇总表'!G31</f>
        <v>10758.21</v>
      </c>
      <c r="C53" s="3148">
        <v>4500</v>
      </c>
      <c r="D53" s="3149">
        <f>C53*B53</f>
        <v>48411944.999999993</v>
      </c>
    </row>
    <row r="54" spans="1:4">
      <c r="A54" s="3145" t="s">
        <v>3393</v>
      </c>
      <c r="B54" s="2765">
        <f>B51</f>
        <v>35200.39</v>
      </c>
      <c r="C54" s="2771">
        <v>1000</v>
      </c>
      <c r="D54" s="2765">
        <f t="shared" ref="D54:D55" si="5">C54*B54</f>
        <v>35200390</v>
      </c>
    </row>
    <row r="55" spans="1:4">
      <c r="A55" s="3145" t="s">
        <v>3394</v>
      </c>
      <c r="B55" s="2765">
        <f>B51</f>
        <v>35200.39</v>
      </c>
      <c r="C55" s="2771">
        <v>600</v>
      </c>
      <c r="D55" s="2765">
        <f t="shared" si="5"/>
        <v>21120234</v>
      </c>
    </row>
    <row r="56" spans="1:4">
      <c r="A56" s="3145" t="s">
        <v>3395</v>
      </c>
      <c r="B56" s="2765">
        <f>B51</f>
        <v>35200.39</v>
      </c>
      <c r="C56" s="3150">
        <f>C51+C54+C55</f>
        <v>4364.0689492360743</v>
      </c>
      <c r="D56" s="2765">
        <f>D51+D54+D55</f>
        <v>153616929</v>
      </c>
    </row>
    <row r="58" spans="1:4">
      <c r="A58" s="3145" t="s">
        <v>3396</v>
      </c>
      <c r="B58" s="3151">
        <v>0.05</v>
      </c>
      <c r="C58" s="2765">
        <f>C56*(1+B58)</f>
        <v>4582.2723966978783</v>
      </c>
      <c r="D58" s="2765">
        <f>D56*B58</f>
        <v>7680846.4500000002</v>
      </c>
    </row>
    <row r="60" spans="1:4">
      <c r="A60" s="3145" t="s">
        <v>3397</v>
      </c>
      <c r="B60" s="2771">
        <v>0</v>
      </c>
      <c r="C60" s="2771">
        <f>C53</f>
        <v>4500</v>
      </c>
      <c r="D60" s="2765">
        <f>C60*B60</f>
        <v>0</v>
      </c>
    </row>
    <row r="62" spans="1:4">
      <c r="A62" s="3145" t="s">
        <v>3398</v>
      </c>
      <c r="B62" s="2771">
        <f>B51</f>
        <v>35200.39</v>
      </c>
      <c r="C62" s="3152">
        <f>D62/B62</f>
        <v>4582.2723966978774</v>
      </c>
      <c r="D62" s="2771">
        <f>D56+D58+D60</f>
        <v>161297775.44999999</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7" zoomScaleNormal="100" zoomScaleSheetLayoutView="100" workbookViewId="0">
      <selection activeCell="E38" sqref="E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46007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3417</v>
      </c>
      <c r="C8" s="2201"/>
      <c r="D8" s="3222"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23"/>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3420</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c r="E13" s="803"/>
      <c r="F13" s="803"/>
      <c r="G13" s="803"/>
      <c r="H13" s="803">
        <v>55664</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26.45</v>
      </c>
      <c r="I15" s="2221" t="str">
        <f>IF(A13="出让",IF(I13="","",ROUNDDOWN(MIN((I13-$D$3)/365,I14),2)),I14)</f>
        <v/>
      </c>
      <c r="J15" s="2805"/>
      <c r="K15" s="1670"/>
      <c r="L15" s="1670"/>
      <c r="M15" s="2245"/>
      <c r="N15" s="1670"/>
      <c r="O15" s="2245"/>
      <c r="P15" s="2245"/>
      <c r="Q15" s="2245"/>
      <c r="AD15" s="1618"/>
    </row>
    <row r="16" spans="1:30">
      <c r="A16" s="2211" t="s">
        <v>2193</v>
      </c>
      <c r="B16" s="3229"/>
      <c r="C16" s="3230"/>
      <c r="D16" s="3231"/>
      <c r="E16" s="2222" t="s">
        <v>2194</v>
      </c>
      <c r="F16" s="3232"/>
      <c r="G16" s="3233"/>
      <c r="H16" s="3233"/>
      <c r="I16" s="3234"/>
      <c r="J16" s="2245"/>
      <c r="K16" s="2403"/>
      <c r="L16" s="1670"/>
      <c r="M16" s="1670"/>
      <c r="N16" s="2245"/>
      <c r="O16" s="1670"/>
      <c r="P16" s="2245"/>
      <c r="Q16" s="2245"/>
      <c r="R16" s="2245"/>
    </row>
    <row r="17" spans="1:28">
      <c r="A17" s="305" t="s">
        <v>2195</v>
      </c>
      <c r="B17" s="294" t="s">
        <v>2196</v>
      </c>
      <c r="C17" s="8">
        <f>'数据-汇总表'!E3</f>
        <v>35200.39</v>
      </c>
      <c r="D17" s="1256" t="s">
        <v>2197</v>
      </c>
      <c r="E17" s="3235" t="s">
        <v>2198</v>
      </c>
      <c r="F17" s="3236"/>
      <c r="G17" s="3236"/>
      <c r="H17" s="3236"/>
      <c r="I17" s="3237"/>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20352.8</v>
      </c>
      <c r="D18" s="1029" t="s">
        <v>2201</v>
      </c>
      <c r="E18" s="3238" t="s">
        <v>2202</v>
      </c>
      <c r="F18" s="3239"/>
      <c r="G18" s="3239"/>
      <c r="H18" s="3239"/>
      <c r="I18" s="324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5" t="s">
        <v>2206</v>
      </c>
      <c r="C20" s="3226"/>
      <c r="D20" s="3227" t="s">
        <v>2207</v>
      </c>
      <c r="E20" s="3228"/>
      <c r="F20" s="2430" t="s">
        <v>1056</v>
      </c>
      <c r="G20" s="2442"/>
      <c r="H20" s="2442"/>
      <c r="I20" s="2442"/>
      <c r="J20" s="2245"/>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4"/>
      <c r="B30" s="294" t="s">
        <v>2218</v>
      </c>
      <c r="C30" s="3215"/>
      <c r="D30" s="3216"/>
      <c r="E30" s="2442"/>
      <c r="F30" s="2442"/>
      <c r="G30" s="2442"/>
      <c r="H30" s="2442"/>
      <c r="I30" s="2442"/>
      <c r="J30" s="2245"/>
      <c r="K30" s="2402"/>
      <c r="L30" s="2399"/>
      <c r="M30" s="2399"/>
      <c r="N30" s="2245"/>
      <c r="O30" s="1670"/>
      <c r="P30" s="2245"/>
      <c r="Q30" s="2245"/>
      <c r="R30" s="2245"/>
      <c r="S30" s="2245"/>
      <c r="T30" s="2245"/>
      <c r="U30" s="2245"/>
      <c r="V30" s="2245"/>
    </row>
    <row r="31" spans="1:28">
      <c r="A31" s="321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2" t="s">
        <v>2228</v>
      </c>
      <c r="T34" s="315" t="str">
        <f>NUMBERSTRING(7-K34,1)&amp;"通"</f>
        <v>七通</v>
      </c>
      <c r="U34" s="2245"/>
      <c r="V34" s="2245"/>
    </row>
    <row r="35" spans="1:30">
      <c r="A35" s="2236"/>
      <c r="B35" s="3212" t="s">
        <v>2229</v>
      </c>
      <c r="C35" s="3212"/>
      <c r="D35" s="3212"/>
      <c r="E35" s="321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29</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3421</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Sheet1!C2</f>
        <v>20352.8</v>
      </c>
      <c r="B3" s="11">
        <f>IF(C3="否",G5-AT5,G5)</f>
        <v>35200.39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35200.39</v>
      </c>
      <c r="H5" s="13">
        <f t="shared" ref="H5:AT5" si="0">SUM(H13:H656)</f>
        <v>35200.39</v>
      </c>
      <c r="I5" s="13">
        <f t="shared" si="0"/>
        <v>24442.18</v>
      </c>
      <c r="J5" s="13">
        <f t="shared" si="0"/>
        <v>0</v>
      </c>
      <c r="K5" s="13">
        <f t="shared" si="0"/>
        <v>10758.21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35200.39</v>
      </c>
      <c r="BA5" s="15">
        <f t="shared" si="1"/>
        <v>35200.39</v>
      </c>
      <c r="BB5" s="15">
        <f t="shared" si="1"/>
        <v>24442.18</v>
      </c>
      <c r="BC5" s="15">
        <f t="shared" si="1"/>
        <v>10758.21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20352.8</v>
      </c>
      <c r="F6" s="13" t="s">
        <v>0</v>
      </c>
      <c r="G6" s="13" t="s">
        <v>1</v>
      </c>
      <c r="H6" s="17">
        <f>SUMIF(I$12:AB$12,"总值",I6:AB6)</f>
        <v>20352.8</v>
      </c>
      <c r="I6" s="13">
        <f t="shared" ref="I6:AB6" si="2">ROUND($A$3*I5/$B$3,2)</f>
        <v>14132.42</v>
      </c>
      <c r="J6" s="13">
        <f t="shared" si="2"/>
        <v>0</v>
      </c>
      <c r="K6" s="13">
        <f t="shared" si="2"/>
        <v>6220.38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20352.8</v>
      </c>
      <c r="AZ6" s="13" t="s">
        <v>2</v>
      </c>
      <c r="BA6" s="13">
        <f>ROUND($AY$6*BA5/$AZ$5,2)</f>
        <v>20352.8</v>
      </c>
      <c r="BB6" s="13">
        <f>ROUND($AY$6*BB5/$AZ$5,2)</f>
        <v>14132.42</v>
      </c>
      <c r="BC6" s="13">
        <f t="shared" ref="BC6:BH6" si="4">ROUND($AY$6*BC5/$AZ$5,2)</f>
        <v>6220.38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3429</v>
      </c>
      <c r="J9" s="761"/>
      <c r="K9" s="1491" t="s">
        <v>3430</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3331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3428</v>
      </c>
      <c r="E13" s="13">
        <f>IF($C$3="是",ROUND($A$3*G13/$B$3,2),ROUND($A$3*(G13-AT13)/$B$3,2))</f>
        <v>20352.8</v>
      </c>
      <c r="F13" s="29"/>
      <c r="G13" s="30">
        <f>H13+AC13+AT13</f>
        <v>35200.39</v>
      </c>
      <c r="H13" s="17">
        <f>SUMIF(I$12:AB$12,"总值",I13:AB13)</f>
        <v>35200.39</v>
      </c>
      <c r="I13" s="1514">
        <f>Sheet1!D5+Sheet1!D7</f>
        <v>24442.18</v>
      </c>
      <c r="J13" s="1514"/>
      <c r="K13" s="1514">
        <f>Sheet1!D6</f>
        <v>10758.21</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20352.8</v>
      </c>
      <c r="AZ13" s="13">
        <f>BA13+BL13</f>
        <v>35200.39</v>
      </c>
      <c r="BA13" s="13">
        <f>SUM(BB13:BK13)</f>
        <v>35200.39</v>
      </c>
      <c r="BB13" s="13">
        <f>IF($D13="是",I13-J13,0)</f>
        <v>24442.18</v>
      </c>
      <c r="BC13" s="13">
        <f>IF($D13="是",K13-L13,0)</f>
        <v>10758.21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H49" sqref="H4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0" t="s">
        <v>1131</v>
      </c>
      <c r="B2" s="3250"/>
      <c r="C2" s="3250"/>
      <c r="D2" s="748" t="s">
        <v>1107</v>
      </c>
      <c r="E2" s="1523" t="s">
        <v>1108</v>
      </c>
      <c r="F2" s="2439"/>
      <c r="G2" s="2432"/>
      <c r="H2" s="2433"/>
      <c r="I2" s="2146" t="s">
        <v>1132</v>
      </c>
      <c r="J2" s="2439"/>
      <c r="K2" s="2439"/>
      <c r="L2" s="2439"/>
      <c r="M2" s="2439"/>
      <c r="N2" s="2440"/>
      <c r="O2" s="2439"/>
      <c r="P2" s="2439"/>
    </row>
    <row r="3" spans="1:16" ht="15.75" thickBot="1">
      <c r="A3" s="3251" t="s">
        <v>1105</v>
      </c>
      <c r="B3" s="3251"/>
      <c r="C3" s="3251"/>
      <c r="D3" s="41">
        <f>'数据-基础表'!AY6</f>
        <v>20352.8</v>
      </c>
      <c r="E3" s="41">
        <f>'数据-基础表'!AZ5</f>
        <v>35200.39</v>
      </c>
      <c r="F3" s="2439"/>
      <c r="G3" s="42"/>
      <c r="H3" s="43" t="s">
        <v>1106</v>
      </c>
      <c r="I3" s="802">
        <f>ROUND('数据-基础表'!B3/'数据-基础表'!A3,2)</f>
        <v>1.73</v>
      </c>
      <c r="J3" s="2439"/>
      <c r="K3" s="2439"/>
      <c r="L3" s="2439"/>
      <c r="M3" s="2439"/>
      <c r="N3" s="2440"/>
      <c r="O3" s="2439"/>
      <c r="P3" s="2439"/>
    </row>
    <row r="4" spans="1:16" ht="15">
      <c r="A4" s="3252"/>
      <c r="B4" s="3253"/>
      <c r="C4" s="3254"/>
      <c r="D4" s="1524" t="s">
        <v>1107</v>
      </c>
      <c r="E4" s="1525" t="s">
        <v>1108</v>
      </c>
      <c r="F4" s="2439"/>
      <c r="G4" s="2434" t="s">
        <v>1133</v>
      </c>
      <c r="H4" s="43" t="s">
        <v>1113</v>
      </c>
      <c r="I4" s="802">
        <f>ROUND(SUMIF('数据-基础表'!I9:AS9,"地上",'数据-基础表'!I5:AS5)/'数据-基础表'!A3,2)</f>
        <v>1.2</v>
      </c>
      <c r="J4" s="2439"/>
      <c r="K4" s="2439"/>
      <c r="L4" s="2439"/>
      <c r="M4" s="2439"/>
      <c r="N4" s="2440"/>
      <c r="O4" s="2439"/>
      <c r="P4" s="2439"/>
    </row>
    <row r="5" spans="1:16">
      <c r="A5" s="42" t="s">
        <v>1109</v>
      </c>
      <c r="B5" s="3255" t="s">
        <v>1110</v>
      </c>
      <c r="C5" s="3255"/>
      <c r="D5" s="43">
        <f>ROUND($D$3*E5/$E$3,2)</f>
        <v>0</v>
      </c>
      <c r="E5" s="44">
        <f>SUMIF('数据-基础表'!$11:$11,"住宅",'数据-基础表'!$5:$5)</f>
        <v>0</v>
      </c>
      <c r="F5" s="2439"/>
      <c r="G5" s="42"/>
      <c r="H5" s="43" t="s">
        <v>1106</v>
      </c>
      <c r="I5" s="802">
        <f>ROUND(E31/D31,2)</f>
        <v>1.73</v>
      </c>
      <c r="J5" s="2439"/>
      <c r="K5" s="2439"/>
      <c r="L5" s="2439"/>
      <c r="M5" s="2439"/>
      <c r="N5" s="2439"/>
      <c r="O5" s="2439"/>
      <c r="P5" s="2439"/>
    </row>
    <row r="6" spans="1:16" ht="15" thickBot="1">
      <c r="A6" s="1527"/>
      <c r="B6" s="3255" t="s">
        <v>1111</v>
      </c>
      <c r="C6" s="3255"/>
      <c r="D6" s="43">
        <f>ROUND($D$3*E6/$E$3,2)</f>
        <v>20352.8</v>
      </c>
      <c r="E6" s="44">
        <f>E3-E5</f>
        <v>35200.39</v>
      </c>
      <c r="F6" s="2439"/>
      <c r="G6" s="1529" t="s">
        <v>1112</v>
      </c>
      <c r="H6" s="45" t="s">
        <v>1113</v>
      </c>
      <c r="I6" s="2435">
        <f>ROUND(F31/D31,2)</f>
        <v>1.2</v>
      </c>
      <c r="J6" s="2439"/>
      <c r="K6" s="2439"/>
      <c r="L6" s="2439"/>
      <c r="M6" s="2439"/>
      <c r="N6" s="2439"/>
      <c r="O6" s="2439"/>
      <c r="P6" s="2439"/>
    </row>
    <row r="7" spans="1:16" ht="15.75" thickBot="1">
      <c r="A7" s="3247"/>
      <c r="B7" s="3248"/>
      <c r="C7" s="3249"/>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14132.42</v>
      </c>
      <c r="E8" s="46">
        <f>SUMIF('数据-基础表'!BB10:BK10,"地上",'数据-基础表'!BB5:BK5)</f>
        <v>24442.18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6220.38</v>
      </c>
      <c r="E13" s="46">
        <f>SUMPRODUCT(('数据-基础表'!BB10:BK10="地下")*('数据-基础表'!BB11:BK11="车库")*('数据-基础表'!BB5:BK5))</f>
        <v>10758.21</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20352.8</v>
      </c>
      <c r="E16" s="48">
        <f>SUM(E8:E15)</f>
        <v>35200.39</v>
      </c>
      <c r="F16" s="2439"/>
      <c r="G16" s="2439"/>
      <c r="H16" s="1531" t="s">
        <v>1135</v>
      </c>
      <c r="I16" s="1532"/>
      <c r="J16" s="1071"/>
      <c r="K16" s="3244" t="s">
        <v>1135</v>
      </c>
      <c r="L16" s="3245"/>
      <c r="M16" s="3245"/>
      <c r="N16" s="3245"/>
      <c r="O16" s="3245"/>
      <c r="P16" s="3246"/>
    </row>
    <row r="17" spans="1:19" ht="15">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3432</v>
      </c>
      <c r="D19" s="43">
        <f>ROUND($D$3*E19/$E$3,2)</f>
        <v>20352.8</v>
      </c>
      <c r="E19" s="51">
        <f t="shared" ref="E19:E26" si="1">SUM(F19:G19)</f>
        <v>35200.39</v>
      </c>
      <c r="F19" s="2558">
        <f>'数据-基础表'!I13</f>
        <v>24442.18</v>
      </c>
      <c r="G19" s="1243">
        <f>'数据-基础表'!K13</f>
        <v>10758.21</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20352.8</v>
      </c>
      <c r="S19" s="51">
        <f t="shared" si="5"/>
        <v>35200.39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20352.8</v>
      </c>
      <c r="E27" s="1073">
        <f>IF(SUM(E19:E26)='数据-基础表'!BA5,SUM(E19:E26),IF(F27="地上面积有误","面积有误","地下面积有误"))</f>
        <v>35200.39</v>
      </c>
      <c r="F27" s="1072">
        <f>IF(SUM(F19:F26)=E8,SUM(F19:F26),"地上面积有误")</f>
        <v>24442.18</v>
      </c>
      <c r="G27" s="1074">
        <f>SUM(G19:G26)</f>
        <v>10758.21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20352.8</v>
      </c>
      <c r="S27" s="43">
        <f>IF(SUM(S19:S26)=$E$3,SUM(S19:S26),SUM(S19:S26)&amp;"误差"&amp;ROUND(SUM(S19:S26)-E3,2))</f>
        <v>35200.39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20352.8</v>
      </c>
      <c r="E31" s="643">
        <f>E27+E30</f>
        <v>35200.39</v>
      </c>
      <c r="F31" s="644">
        <f>F27+F30</f>
        <v>24442.18</v>
      </c>
      <c r="G31" s="645">
        <f>G27+G30</f>
        <v>10758.21</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A25" sqref="AA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46007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朗致</v>
      </c>
      <c r="B6" s="1587" t="str">
        <f>IF(A6=0,"","经营性")</f>
        <v>经营性</v>
      </c>
      <c r="C6" s="1588" t="s">
        <v>3</v>
      </c>
      <c r="D6" s="805">
        <f>SUMIF(项目基本情况!C$12:I$12,C6,项目基本情况!C$14:I$14)</f>
        <v>50</v>
      </c>
      <c r="E6" s="804">
        <f>IF(B6="","",SUMIF(项目基本情况!C$12:I$12,C6,项目基本情况!C$13:I$13))</f>
        <v>55664</v>
      </c>
      <c r="F6" s="61">
        <f>SUMIF(项目基本情况!C$12:I$12,C6,项目基本情况!C$15:I$15)</f>
        <v>26.45</v>
      </c>
      <c r="G6" s="62">
        <f>IF(ISERROR(ROUND(POWER(1+H6,D6-F6)*(POWER(1+H6,F6)-1)/(POWER(1+H6,D6)-1),3)),0,ROUND(POWER(1+H6,D6-F6)*(POWER(1+H6,F6)-1)/(POWER(1+H6,D6)-1),3))</f>
        <v>0.79400000000000004</v>
      </c>
      <c r="H6" s="691">
        <v>0.05</v>
      </c>
      <c r="I6" s="691">
        <v>5.5E-2</v>
      </c>
      <c r="J6" s="63">
        <v>7.0000000000000007E-2</v>
      </c>
      <c r="K6" s="970">
        <f>SUMIF('数据-汇总表'!C$19:C$33,A6,'数据-汇总表'!E$19:E$33)</f>
        <v>35200.39</v>
      </c>
      <c r="L6" s="692">
        <v>4500</v>
      </c>
      <c r="M6" s="64">
        <f t="shared" ref="M6:M14" si="0">ROUND(K6*L6/10000,0)</f>
        <v>15840</v>
      </c>
      <c r="N6" s="690">
        <v>0.98</v>
      </c>
      <c r="O6" s="64" t="str">
        <f>IF($N$5="成新度","——",ROUND(M6*N6,0))</f>
        <v>——</v>
      </c>
      <c r="P6" s="65" t="str">
        <f>IF($N$5="成新度","——",M6-O6)</f>
        <v>——</v>
      </c>
      <c r="Q6" s="693">
        <v>0.1</v>
      </c>
      <c r="R6" s="66">
        <f ca="1">SUMIF('数据-汇总表'!C$19:C$33,A6,'数据-汇总表'!R$19:R$27)</f>
        <v>20352.8</v>
      </c>
      <c r="S6" s="49">
        <f>IF('数据-汇总表'!$I$17="按面积比例",SUMIF('数据-汇总表'!C$19:C$33,A6,'数据-汇总表'!K$19:K$33),SUMIF('数据-汇总表'!C$19:C$33,A6,'数据-汇总表'!N$19:N$33))</f>
        <v>0</v>
      </c>
      <c r="T6" s="1092">
        <f>ROUND($L$14*S6/10000,0)</f>
        <v>0</v>
      </c>
      <c r="U6" s="3127">
        <v>2.7</v>
      </c>
      <c r="V6" s="67">
        <v>0.02</v>
      </c>
      <c r="W6" s="67">
        <v>0.1</v>
      </c>
      <c r="X6" s="979"/>
      <c r="Y6" s="68">
        <f>N6</f>
        <v>0.98</v>
      </c>
      <c r="Z6" s="69"/>
      <c r="AA6" s="63"/>
      <c r="AB6" s="63"/>
      <c r="AC6" s="979"/>
      <c r="AD6" s="70"/>
      <c r="AE6" s="980">
        <f ca="1">IF(AN6="",0,SUMIF(INDIRECT("'"&amp;AN6&amp;"'"&amp;"!E:E"),$AE$5,INDIRECT("'"&amp;AN6&amp;"'"&amp;"!F:F")))</f>
        <v>26.45</v>
      </c>
      <c r="AF6" s="74"/>
      <c r="AG6" s="130">
        <f>IF(AF6="",0,AE6-AF6)</f>
        <v>0</v>
      </c>
      <c r="AH6" s="71">
        <f>Sheet1!D5</f>
        <v>24412.78</v>
      </c>
      <c r="AI6" s="73">
        <v>365</v>
      </c>
      <c r="AJ6" s="74"/>
      <c r="AK6" s="75">
        <v>2E-3</v>
      </c>
      <c r="AL6" s="76">
        <v>1E-3</v>
      </c>
      <c r="AM6" s="77">
        <v>5.0000000000000001E-3</v>
      </c>
      <c r="AN6" s="1589" t="s">
        <v>3434</v>
      </c>
      <c r="AO6" s="50">
        <f ca="1">SUMIF(INDIRECT("'"&amp;AN6&amp;"'"&amp;"!A:A"),"总价",INDIRECT("'"&amp;AN6&amp;"'"&amp;"!B:B"))</f>
        <v>30864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0.79400000000000004</v>
      </c>
      <c r="H16" s="84">
        <f>ROUND(SUMPRODUCT(H6:H13,K6:K13)/SUMPRODUCT((H6:H13&gt;0)*(K6:K13)),3)</f>
        <v>0.05</v>
      </c>
      <c r="I16" s="85"/>
      <c r="J16" s="85"/>
      <c r="K16" s="86">
        <f>SUM(K6:K15)</f>
        <v>35200.39</v>
      </c>
      <c r="L16" s="87">
        <f>ROUND(M16*10000/SUM(K6:K14),0)</f>
        <v>4500</v>
      </c>
      <c r="M16" s="87">
        <f>SUM(M6:M14)</f>
        <v>15840</v>
      </c>
      <c r="N16" s="88">
        <f>ROUND(SUMPRODUCT(M6:M14,N6:N14)/M16,3)</f>
        <v>0.98</v>
      </c>
      <c r="O16" s="87">
        <f>SUM(O6:O14)</f>
        <v>0</v>
      </c>
      <c r="P16" s="87">
        <f>SUM(P6:P14)</f>
        <v>0</v>
      </c>
      <c r="Q16" s="89">
        <f>ROUND(SUMPRODUCT(Q6:Q13,K6:K13)/SUMPRODUCT((Q6:Q13&gt;0)*(K6:K13)),2)</f>
        <v>0.1</v>
      </c>
      <c r="R16" s="974">
        <f ca="1">SUM(R6:R13)</f>
        <v>20352.8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f>1-(2026-2025)/60</f>
        <v>0.98333333333333328</v>
      </c>
      <c r="O18" s="2449"/>
      <c r="P18" s="2449"/>
      <c r="Q18" s="2449"/>
      <c r="R18" s="2449"/>
      <c r="S18" s="2449"/>
      <c r="T18" s="3508" t="s">
        <v>3439</v>
      </c>
      <c r="U18" s="2449">
        <f>Sheet1!D5</f>
        <v>24412.78</v>
      </c>
      <c r="V18" s="2449">
        <v>2.5</v>
      </c>
      <c r="W18" s="2449"/>
      <c r="X18" s="3509" t="s">
        <v>3442</v>
      </c>
      <c r="Y18" s="3510" t="s">
        <v>3443</v>
      </c>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3508" t="s">
        <v>3440</v>
      </c>
      <c r="U19" s="2449">
        <f>Sheet1!D6</f>
        <v>10758.21</v>
      </c>
      <c r="V19" s="2449">
        <v>0.4</v>
      </c>
      <c r="W19" s="2449"/>
      <c r="X19" s="1620">
        <f>U19/35</f>
        <v>307.37742857142854</v>
      </c>
      <c r="Y19" s="3511">
        <f>300*500*12*0.9</f>
        <v>1620000</v>
      </c>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f>ROUND((U18*V18+U19*V19)/U18,2)</f>
        <v>2.68</v>
      </c>
      <c r="W20" s="2449"/>
      <c r="X20" s="3512" t="s">
        <v>3441</v>
      </c>
      <c r="Y20" s="3513">
        <f>Y19/365/U19</f>
        <v>0.41255526378306079</v>
      </c>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303</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6" t="s">
        <v>2286</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K16" sqref="K16"/>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35200.39</v>
      </c>
      <c r="C1" s="2462"/>
      <c r="D1" s="2462"/>
      <c r="E1" s="2462"/>
      <c r="F1" s="2462"/>
      <c r="G1" s="2463"/>
      <c r="H1" s="2463"/>
      <c r="I1" s="2463"/>
      <c r="J1" s="2463"/>
      <c r="K1" s="2463"/>
    </row>
    <row r="2" spans="1:11" ht="16.5">
      <c r="A2" s="2300" t="s">
        <v>653</v>
      </c>
      <c r="B2" s="2300">
        <f>SUM(C14:C23)</f>
        <v>20352.8</v>
      </c>
      <c r="C2" s="2462"/>
      <c r="D2" s="2462"/>
      <c r="E2" s="2462"/>
      <c r="F2" s="2462"/>
      <c r="G2" s="2463"/>
      <c r="H2" s="2463"/>
      <c r="I2" s="2463"/>
      <c r="J2" s="2463"/>
      <c r="K2" s="2463"/>
    </row>
    <row r="3" spans="1:11" ht="16.5">
      <c r="A3" s="2300" t="s">
        <v>662</v>
      </c>
      <c r="B3" s="2302">
        <f>项目基本情况!D3</f>
        <v>46007</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29994</v>
      </c>
      <c r="C5" s="2300">
        <f ca="1">IF(B5=D14,结果表!H102,ROUND(B5*10000/$B$1,0))</f>
        <v>0</v>
      </c>
      <c r="D5" s="2300">
        <f ca="1">ROUND(B5*10000/$B$2,0)</f>
        <v>14737</v>
      </c>
      <c r="E5" s="2462"/>
      <c r="F5" s="2463"/>
      <c r="G5" s="2463"/>
      <c r="H5" s="2463"/>
      <c r="I5" s="2463"/>
      <c r="J5" s="2463"/>
      <c r="K5" s="2463"/>
    </row>
    <row r="6" spans="1:11" ht="16.5">
      <c r="A6" s="2300" t="s">
        <v>656</v>
      </c>
      <c r="B6" s="2300">
        <f ca="1">SUM(G14:G23)</f>
        <v>29994</v>
      </c>
      <c r="C6" s="2300">
        <f ca="1">IF(B6=G14,结果表!H108,ROUND(B6*10000/$B$1,0))</f>
        <v>0</v>
      </c>
      <c r="D6" s="2300">
        <f ca="1">ROUND(B6*10000/$B$2,0)</f>
        <v>14737</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'数据-汇总表'!E31</f>
        <v>35200.39</v>
      </c>
      <c r="C14" s="2306">
        <f>'数据-汇总表'!D31</f>
        <v>20352.8</v>
      </c>
      <c r="D14" s="2306">
        <f ca="1">结果表!G19</f>
        <v>29994</v>
      </c>
      <c r="E14" s="2306">
        <f ca="1">ROUND(D14*10000/B14,0)</f>
        <v>8521</v>
      </c>
      <c r="F14" s="2306">
        <f ca="1">ROUND(D14*10000/C14,0)</f>
        <v>14737</v>
      </c>
      <c r="G14" s="2306">
        <f ca="1">D14</f>
        <v>29994</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2" t="str">
        <f>项目基本情况!S2</f>
        <v>北京市房地产</v>
      </c>
      <c r="B2" s="3293"/>
      <c r="C2" s="3293"/>
      <c r="D2" s="3293"/>
      <c r="E2" s="3293"/>
      <c r="F2" s="3293"/>
      <c r="G2" s="3293"/>
      <c r="H2" s="3293"/>
      <c r="I2" s="3294"/>
    </row>
    <row r="3" spans="1:12" ht="12.75">
      <c r="A3" s="3296" t="s">
        <v>1264</v>
      </c>
      <c r="B3" s="3297"/>
      <c r="C3" s="3297"/>
      <c r="D3" s="3297"/>
      <c r="E3" s="3297"/>
      <c r="F3" s="3297"/>
      <c r="G3" s="3297"/>
      <c r="H3" s="3297"/>
      <c r="I3" s="3297"/>
    </row>
    <row r="4" spans="1:12" ht="14.25">
      <c r="A4" s="1624" t="s">
        <v>1265</v>
      </c>
      <c r="B4" s="1625" t="s">
        <v>1266</v>
      </c>
      <c r="C4" s="1626" t="s">
        <v>3461</v>
      </c>
      <c r="D4" s="1626" t="s">
        <v>3434</v>
      </c>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2" t="s">
        <v>1268</v>
      </c>
      <c r="B5" s="3259">
        <v>25</v>
      </c>
      <c r="C5" s="3275"/>
      <c r="D5" s="3295"/>
      <c r="E5" s="123" t="s">
        <v>1269</v>
      </c>
      <c r="F5" s="1627"/>
      <c r="G5" s="1627"/>
      <c r="H5" s="1627"/>
      <c r="I5" s="1281"/>
    </row>
    <row r="6" spans="1:12" ht="12.75">
      <c r="A6" s="3272"/>
      <c r="B6" s="3259"/>
      <c r="C6" s="3276"/>
      <c r="D6" s="3295"/>
      <c r="E6" s="123" t="s">
        <v>1270</v>
      </c>
      <c r="F6" s="1627"/>
      <c r="G6" s="1627"/>
      <c r="H6" s="1627"/>
      <c r="I6" s="1281"/>
    </row>
    <row r="7" spans="1:12" ht="12.75">
      <c r="A7" s="3272"/>
      <c r="B7" s="3259"/>
      <c r="C7" s="3277"/>
      <c r="D7" s="3295"/>
      <c r="E7" s="123" t="s">
        <v>1271</v>
      </c>
      <c r="F7" s="1627"/>
      <c r="G7" s="1627"/>
      <c r="H7" s="1627"/>
      <c r="I7" s="1281"/>
    </row>
    <row r="8" spans="1:12" ht="12.75">
      <c r="A8" s="3272" t="s">
        <v>1272</v>
      </c>
      <c r="B8" s="3259">
        <v>15</v>
      </c>
      <c r="C8" s="3275"/>
      <c r="D8" s="3295"/>
      <c r="E8" s="123" t="s">
        <v>1273</v>
      </c>
      <c r="F8" s="1627"/>
      <c r="G8" s="1627"/>
      <c r="H8" s="1627"/>
      <c r="I8" s="1281"/>
    </row>
    <row r="9" spans="1:12" ht="12.75">
      <c r="A9" s="3272"/>
      <c r="B9" s="3259"/>
      <c r="C9" s="3277"/>
      <c r="D9" s="3295"/>
      <c r="E9" s="123" t="s">
        <v>1274</v>
      </c>
      <c r="F9" s="1627"/>
      <c r="G9" s="1627"/>
      <c r="H9" s="1627"/>
      <c r="I9" s="1281"/>
    </row>
    <row r="10" spans="1:12" ht="12.75">
      <c r="A10" s="3272" t="s">
        <v>1275</v>
      </c>
      <c r="B10" s="3259">
        <v>15</v>
      </c>
      <c r="C10" s="3275"/>
      <c r="D10" s="3295"/>
      <c r="E10" s="123" t="s">
        <v>1276</v>
      </c>
      <c r="F10" s="1627"/>
      <c r="G10" s="1627"/>
      <c r="H10" s="1627"/>
      <c r="I10" s="1281"/>
    </row>
    <row r="11" spans="1:12" ht="12.75">
      <c r="A11" s="3272"/>
      <c r="B11" s="3259"/>
      <c r="C11" s="3277"/>
      <c r="D11" s="3295"/>
      <c r="E11" s="123" t="s">
        <v>1277</v>
      </c>
      <c r="F11" s="1627"/>
      <c r="G11" s="1627"/>
      <c r="H11" s="1627"/>
      <c r="I11" s="1281"/>
    </row>
    <row r="12" spans="1:12" ht="12.75">
      <c r="A12" s="3272" t="s">
        <v>1278</v>
      </c>
      <c r="B12" s="3259">
        <v>15</v>
      </c>
      <c r="C12" s="3275"/>
      <c r="D12" s="3295"/>
      <c r="E12" s="123" t="s">
        <v>1279</v>
      </c>
      <c r="F12" s="1627"/>
      <c r="G12" s="1627"/>
      <c r="H12" s="1627"/>
      <c r="I12" s="1281"/>
    </row>
    <row r="13" spans="1:12" ht="12.75">
      <c r="A13" s="3272"/>
      <c r="B13" s="3259"/>
      <c r="C13" s="3277"/>
      <c r="D13" s="3295"/>
      <c r="E13" s="123" t="s">
        <v>1280</v>
      </c>
      <c r="F13" s="1627"/>
      <c r="G13" s="1627"/>
      <c r="H13" s="1627"/>
      <c r="I13" s="1281"/>
    </row>
    <row r="14" spans="1:12" ht="12.75">
      <c r="A14" s="3272" t="s">
        <v>1281</v>
      </c>
      <c r="B14" s="3259">
        <v>30</v>
      </c>
      <c r="C14" s="3275">
        <v>5</v>
      </c>
      <c r="D14" s="3295">
        <v>5</v>
      </c>
      <c r="E14" s="123" t="s">
        <v>1282</v>
      </c>
      <c r="F14" s="1627"/>
      <c r="G14" s="1627"/>
      <c r="H14" s="1627"/>
      <c r="I14" s="1281"/>
    </row>
    <row r="15" spans="1:12" ht="12.75">
      <c r="A15" s="3272"/>
      <c r="B15" s="3259"/>
      <c r="C15" s="3276"/>
      <c r="D15" s="3295"/>
      <c r="E15" s="123" t="s">
        <v>1283</v>
      </c>
      <c r="F15" s="1627"/>
      <c r="G15" s="1627"/>
      <c r="H15" s="1627"/>
      <c r="I15" s="1281"/>
    </row>
    <row r="16" spans="1:12" ht="12.75">
      <c r="A16" s="3272"/>
      <c r="B16" s="3259"/>
      <c r="C16" s="3277"/>
      <c r="D16" s="3295"/>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82" t="s">
        <v>2131</v>
      </c>
      <c r="F18" s="3283"/>
      <c r="G18" s="3283"/>
      <c r="H18" s="3283"/>
      <c r="I18" s="3283"/>
      <c r="K18" s="294" t="s">
        <v>1289</v>
      </c>
      <c r="L18" s="294">
        <f>IF(C1="",'数据-汇总表'!E3,SUMIF(项目类型,C1,'数据-汇总表'!E17:E26)+SUMIF(项目类型,C1,'数据-汇总表'!I17:I26))</f>
        <v>35200.39</v>
      </c>
      <c r="M18" s="294">
        <f>IF(C1="",'数据-汇总表'!E3,SUMIF(项目类型,C1,'数据-汇总表'!E17:E26))</f>
        <v>35200.39</v>
      </c>
    </row>
    <row r="19" spans="1:36" ht="15">
      <c r="A19" s="1630" t="s">
        <v>1290</v>
      </c>
      <c r="B19" s="1631" t="s">
        <v>1291</v>
      </c>
      <c r="C19" s="126">
        <f ca="1">SUMIF(INDIRECT("'"&amp;C4&amp;"'"&amp;"!A:A"),结果表!B19,INDIRECT("'"&amp;C4&amp;"'"&amp;"!B:B"))</f>
        <v>29123</v>
      </c>
      <c r="D19" s="127">
        <f ca="1">SUMIF(INDIRECT("'"&amp;D4&amp;"'"&amp;"!A:A"),结果表!B19,INDIRECT("'"&amp;D4&amp;"'"&amp;"!B:B"))</f>
        <v>30864</v>
      </c>
      <c r="E19" s="1630" t="s">
        <v>1292</v>
      </c>
      <c r="F19" s="1631" t="s">
        <v>1291</v>
      </c>
      <c r="G19" s="128">
        <f ca="1">ROUND(C19*$C$18+D19*$D$18,0)</f>
        <v>29994</v>
      </c>
      <c r="H19" s="1632" t="s">
        <v>1293</v>
      </c>
      <c r="I19" s="121"/>
      <c r="K19" s="294" t="s">
        <v>1294</v>
      </c>
      <c r="L19" s="294">
        <f>IF(C1="",'数据-汇总表'!D3,SUMIF(项目类型,C1,'数据-汇总表'!D17:D26)+SUMIF(项目类型,C1,'数据-汇总表'!H17:H27))</f>
        <v>20352.8</v>
      </c>
      <c r="M19" s="294">
        <f>IF(C1="",'数据-汇总表'!D3,SUMIF(项目类型,C1,'数据-汇总表'!D17:D26))</f>
        <v>20352.8</v>
      </c>
    </row>
    <row r="20" spans="1:36" ht="15">
      <c r="A20" s="1633"/>
      <c r="B20" s="43" t="s">
        <v>1295</v>
      </c>
      <c r="C20" s="129">
        <f ca="1">SUMIF(INDIRECT("'"&amp;C4&amp;"'"&amp;"!A:A"),结果表!B20,INDIRECT("'"&amp;C4&amp;"'"&amp;"!B:B"))</f>
        <v>8273</v>
      </c>
      <c r="D20" s="130">
        <f ca="1">SUMIF(INDIRECT("'"&amp;D4&amp;"'"&amp;"!A:A"),结果表!B20,INDIRECT("'"&amp;D4&amp;"'"&amp;"!B:B"))</f>
        <v>8768</v>
      </c>
      <c r="E20" s="1633"/>
      <c r="F20" s="43" t="s">
        <v>1295</v>
      </c>
      <c r="G20" s="131">
        <f ca="1">ROUND(C20*$C$18+D20*$D$18,0)</f>
        <v>8521</v>
      </c>
      <c r="H20" s="760" t="s">
        <v>1296</v>
      </c>
      <c r="I20" s="121"/>
    </row>
    <row r="21" spans="1:36" ht="15" customHeight="1" thickBot="1">
      <c r="A21" s="449"/>
      <c r="B21" s="93" t="s">
        <v>1297</v>
      </c>
      <c r="C21" s="678">
        <f ca="1">ROUND(C19*10000/L19,0)</f>
        <v>14309</v>
      </c>
      <c r="D21" s="679">
        <f ca="1">ROUND(D19*10000/L19,0)</f>
        <v>15164</v>
      </c>
      <c r="E21" s="449"/>
      <c r="F21" s="93" t="s">
        <v>1297</v>
      </c>
      <c r="G21" s="132">
        <f ca="1">ROUND(G19*10000/L19,0)</f>
        <v>14737</v>
      </c>
      <c r="H21" s="1634" t="s">
        <v>1296</v>
      </c>
      <c r="I21" s="121"/>
    </row>
    <row r="22" spans="1:36" ht="15" thickBot="1">
      <c r="A22" s="1564" t="s">
        <v>1298</v>
      </c>
      <c r="B22" s="1635"/>
      <c r="C22" s="1636"/>
      <c r="D22" s="680">
        <f ca="1">IF(C19&lt;D19,D19/C19-1,C19/D19-1)</f>
        <v>5.9780929162517538E-2</v>
      </c>
      <c r="E22" s="121"/>
      <c r="F22" s="121"/>
      <c r="G22" s="121"/>
      <c r="H22" s="121"/>
      <c r="I22" s="121"/>
    </row>
    <row r="23" spans="1:36" ht="13.5" thickBot="1">
      <c r="A23" s="646"/>
      <c r="B23" s="646"/>
      <c r="C23" s="646"/>
      <c r="D23" s="646"/>
      <c r="E23" s="121"/>
      <c r="F23" s="121"/>
      <c r="G23" s="121"/>
      <c r="H23" s="121"/>
      <c r="I23" s="121"/>
    </row>
    <row r="24" spans="1:36" ht="14.25">
      <c r="A24" s="3266" t="s">
        <v>1299</v>
      </c>
      <c r="B24" s="1631" t="s">
        <v>1291</v>
      </c>
      <c r="C24" s="128">
        <f>IF(B30=0,0,D30)</f>
        <v>0</v>
      </c>
      <c r="D24" s="1637"/>
      <c r="E24" s="121"/>
      <c r="F24" s="121"/>
      <c r="G24" s="121"/>
      <c r="H24" s="121"/>
      <c r="I24" s="121"/>
    </row>
    <row r="25" spans="1:36" ht="14.25">
      <c r="A25" s="326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8521</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86" t="s">
        <v>1312</v>
      </c>
      <c r="B36" s="1652" t="s">
        <v>1313</v>
      </c>
      <c r="C36" s="137"/>
      <c r="D36" s="1653"/>
      <c r="E36" s="1567"/>
      <c r="F36" s="1654"/>
      <c r="G36" s="121"/>
      <c r="H36" s="121"/>
      <c r="I36" s="121"/>
    </row>
    <row r="37" spans="1:15" ht="15.75" thickBot="1">
      <c r="A37" s="3287"/>
      <c r="B37" s="1555" t="s">
        <v>1314</v>
      </c>
      <c r="C37" s="139"/>
      <c r="D37" s="1071"/>
      <c r="E37" s="1071"/>
      <c r="F37" s="1654"/>
      <c r="G37" s="121"/>
      <c r="H37" s="121"/>
      <c r="I37" s="121"/>
    </row>
    <row r="38" spans="1:15" ht="15.75" thickBot="1">
      <c r="A38" s="328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3" t="s">
        <v>1326</v>
      </c>
      <c r="B45" s="3264"/>
      <c r="C45" s="3265"/>
      <c r="D45" s="147" t="e">
        <f ca="1">ROUND(H101*F45,0)</f>
        <v>#REF!</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8"/>
      <c r="I46" s="151"/>
      <c r="J46" s="2310">
        <v>1</v>
      </c>
      <c r="K46" s="3322" t="s">
        <v>1331</v>
      </c>
      <c r="L46" s="3322"/>
      <c r="M46" s="3342"/>
      <c r="N46" s="3342"/>
      <c r="O46" s="3342"/>
    </row>
    <row r="47" spans="1:15" ht="12" customHeight="1">
      <c r="A47" s="152" t="s">
        <v>1332</v>
      </c>
      <c r="B47" s="153"/>
      <c r="C47" s="154"/>
      <c r="D47" s="1024" t="s">
        <v>1333</v>
      </c>
      <c r="E47" s="294" t="s">
        <v>1334</v>
      </c>
      <c r="F47" s="155" t="s">
        <v>1335</v>
      </c>
      <c r="G47" s="2333" t="s">
        <v>1336</v>
      </c>
      <c r="H47" s="2334"/>
      <c r="I47" s="151"/>
      <c r="J47" s="2310">
        <v>2</v>
      </c>
      <c r="K47" s="3322" t="s">
        <v>1337</v>
      </c>
      <c r="L47" s="3322"/>
      <c r="M47" s="3343">
        <f>'数据-取费表'!B2</f>
        <v>46007</v>
      </c>
      <c r="N47" s="3343"/>
      <c r="O47" s="3343"/>
    </row>
    <row r="48" spans="1:15" ht="25.5">
      <c r="A48" s="3291" t="s">
        <v>1338</v>
      </c>
      <c r="B48" s="3274"/>
      <c r="C48" s="3274"/>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2" t="s">
        <v>1340</v>
      </c>
      <c r="L48" s="3322"/>
      <c r="M48" s="3344" t="e">
        <f ca="1">H101</f>
        <v>#REF!</v>
      </c>
      <c r="N48" s="3344"/>
      <c r="O48" s="3344"/>
    </row>
    <row r="49" spans="1:35" ht="25.5" customHeight="1">
      <c r="A49" s="2152" t="s">
        <v>1341</v>
      </c>
      <c r="B49" s="3258" t="s">
        <v>1342</v>
      </c>
      <c r="C49" s="3258"/>
      <c r="D49" s="1478">
        <v>0</v>
      </c>
      <c r="E49" s="316" t="s">
        <v>1343</v>
      </c>
      <c r="F49" s="2233" t="s">
        <v>28</v>
      </c>
      <c r="G49" s="3328"/>
      <c r="H49" s="2134" t="s">
        <v>2134</v>
      </c>
      <c r="I49" s="2135"/>
      <c r="J49" s="2310">
        <v>4</v>
      </c>
      <c r="K49" s="3322" t="str">
        <f>IF(项目基本情况!E8="房地产抵押价值","房地产抵押价值","抵押担保权已注销时的房地产抵押价值")</f>
        <v>房地产抵押价值</v>
      </c>
      <c r="L49" s="3322"/>
      <c r="M49" s="3344" t="str">
        <f ca="1">IF(项目基本情况!E8="房地产抵押价值",H107,H109)</f>
        <v>——</v>
      </c>
      <c r="N49" s="3344"/>
      <c r="O49" s="3344"/>
    </row>
    <row r="50" spans="1:35" ht="25.5" customHeight="1">
      <c r="A50" s="2338"/>
      <c r="B50" s="3258" t="s">
        <v>1344</v>
      </c>
      <c r="C50" s="3258"/>
      <c r="D50" s="2189"/>
      <c r="E50" s="323"/>
      <c r="F50" s="2233"/>
      <c r="G50" s="3329"/>
      <c r="H50" s="2136" t="s">
        <v>2135</v>
      </c>
      <c r="I50" s="2135"/>
      <c r="J50" s="3341" t="s">
        <v>1345</v>
      </c>
      <c r="K50" s="3341"/>
      <c r="L50" s="3341"/>
      <c r="M50" s="3341"/>
      <c r="N50" s="3341"/>
      <c r="O50" s="3341"/>
    </row>
    <row r="51" spans="1:35" ht="20.45" customHeight="1">
      <c r="A51" s="2339"/>
      <c r="B51" s="3258" t="s">
        <v>1346</v>
      </c>
      <c r="C51" s="3258"/>
      <c r="D51" s="1024"/>
      <c r="E51" s="319"/>
      <c r="F51" s="2233"/>
      <c r="G51" s="3330"/>
      <c r="H51" s="2136" t="s">
        <v>2136</v>
      </c>
      <c r="I51" s="2135"/>
      <c r="J51" s="2311" t="s">
        <v>1347</v>
      </c>
      <c r="K51" s="3322" t="s">
        <v>1348</v>
      </c>
      <c r="L51" s="3322"/>
      <c r="M51" s="2311" t="s">
        <v>1349</v>
      </c>
      <c r="N51" s="2311" t="s">
        <v>1350</v>
      </c>
      <c r="O51" s="2311" t="s">
        <v>1351</v>
      </c>
    </row>
    <row r="52" spans="1:35" ht="24" customHeight="1">
      <c r="A52" s="2153" t="s">
        <v>1352</v>
      </c>
      <c r="B52" s="3258" t="s">
        <v>1353</v>
      </c>
      <c r="C52" s="3258"/>
      <c r="D52" s="1024" t="e">
        <f ca="1">ROUND(D45*'数据-取费表'!B41/(1+'数据-取费表'!C42),0)</f>
        <v>#REF!</v>
      </c>
      <c r="E52" s="1256" t="s">
        <v>1354</v>
      </c>
      <c r="F52" s="2340">
        <f>'数据-取费表'!B41</f>
        <v>5.6000000000000001E-2</v>
      </c>
      <c r="G52" s="2341"/>
      <c r="H52" s="2331"/>
      <c r="I52" s="1669"/>
      <c r="J52" s="2310">
        <v>1</v>
      </c>
      <c r="K52" s="3323" t="s">
        <v>1355</v>
      </c>
      <c r="L52" s="3323"/>
      <c r="M52" s="2312" t="b">
        <f>D48</f>
        <v>0</v>
      </c>
      <c r="N52" s="2310" t="str">
        <f>E48</f>
        <v>销售额×税（费）率</v>
      </c>
      <c r="O52" s="2313">
        <f>F48</f>
        <v>5.6000000000000001E-2</v>
      </c>
    </row>
    <row r="53" spans="1:35" ht="12" customHeight="1">
      <c r="A53" s="2153" t="s">
        <v>1356</v>
      </c>
      <c r="B53" s="3284" t="s">
        <v>2291</v>
      </c>
      <c r="C53" s="3285"/>
      <c r="D53" s="1024" t="e">
        <f ca="1">ROUND(D45*'数据-取费表'!B41/(1+'数据-取费表'!C42),0)</f>
        <v>#REF!</v>
      </c>
      <c r="E53" s="1256" t="s">
        <v>1354</v>
      </c>
      <c r="F53" s="2340">
        <f>'数据-取费表'!B41</f>
        <v>5.6000000000000001E-2</v>
      </c>
      <c r="G53" s="2341"/>
      <c r="H53" s="2331"/>
      <c r="I53" s="1669"/>
      <c r="J53" s="2310">
        <v>2</v>
      </c>
      <c r="K53" s="3323" t="s">
        <v>1357</v>
      </c>
      <c r="L53" s="3323"/>
      <c r="M53" s="2312" t="e">
        <f t="shared" ref="M53:O54" ca="1" si="0">D55</f>
        <v>#REF!</v>
      </c>
      <c r="N53" s="2310" t="str">
        <f t="shared" si="0"/>
        <v>销售额×税（费）率</v>
      </c>
      <c r="O53" s="2313" t="str">
        <f t="shared" si="0"/>
        <v>免征</v>
      </c>
    </row>
    <row r="54" spans="1:35" ht="12" customHeight="1">
      <c r="A54" s="2153" t="s">
        <v>1358</v>
      </c>
      <c r="B54" s="3284" t="s">
        <v>2292</v>
      </c>
      <c r="C54" s="3285"/>
      <c r="D54" s="1024" t="e">
        <f ca="1">C68</f>
        <v>#REF!</v>
      </c>
      <c r="E54" s="319" t="s">
        <v>1359</v>
      </c>
      <c r="F54" s="2340">
        <f>'数据-取费表'!B41</f>
        <v>5.6000000000000001E-2</v>
      </c>
      <c r="G54" s="2341"/>
      <c r="H54" s="2342"/>
      <c r="I54" s="1669"/>
      <c r="J54" s="2310">
        <v>3</v>
      </c>
      <c r="K54" s="3323" t="s">
        <v>1360</v>
      </c>
      <c r="L54" s="3323"/>
      <c r="M54" s="2312" t="e">
        <f t="shared" ca="1" si="0"/>
        <v>#REF!</v>
      </c>
      <c r="N54" s="2310" t="str">
        <f t="shared" si="0"/>
        <v>增值额×税（费）率</v>
      </c>
      <c r="O54" s="2314" t="str">
        <f t="shared" si="0"/>
        <v>免征</v>
      </c>
    </row>
    <row r="55" spans="1:35" ht="24" customHeight="1">
      <c r="A55" s="3273" t="s">
        <v>1361</v>
      </c>
      <c r="B55" s="3274"/>
      <c r="C55" s="3274"/>
      <c r="D55" s="12" t="e">
        <f ca="1">IF(H55="个人住宅",0,ROUND(D45*I55,0))</f>
        <v>#REF!</v>
      </c>
      <c r="E55" s="1256" t="s">
        <v>1362</v>
      </c>
      <c r="F55" s="2340" t="str">
        <f>IF(H55="正常",I55,"免征")</f>
        <v>免征</v>
      </c>
      <c r="G55" s="2341"/>
      <c r="H55" s="2337"/>
      <c r="I55" s="157">
        <f>'数据-取费表'!B49</f>
        <v>5.0000000000000001E-4</v>
      </c>
      <c r="J55" s="2310">
        <f>IF(H59="非个人房产","",4)</f>
        <v>4</v>
      </c>
      <c r="K55" s="3323" t="str">
        <f>IF(H59="非个人房产","——","个人所得税")</f>
        <v>个人所得税</v>
      </c>
      <c r="L55" s="3323"/>
      <c r="M55" s="2315" t="e">
        <f ca="1">D59</f>
        <v>#REF!</v>
      </c>
      <c r="N55" s="1883" t="str">
        <f>E59</f>
        <v>差额计税</v>
      </c>
      <c r="O55" s="2316">
        <f>F59</f>
        <v>0.01</v>
      </c>
    </row>
    <row r="56" spans="1:35" ht="24.75">
      <c r="A56" s="3273" t="s">
        <v>1363</v>
      </c>
      <c r="B56" s="3274"/>
      <c r="C56" s="3274"/>
      <c r="D56" s="12" t="e">
        <f ca="1">IF(H56="个人住宅",D57,D58)</f>
        <v>#REF!</v>
      </c>
      <c r="E56" s="1256" t="s">
        <v>1364</v>
      </c>
      <c r="F56" s="2340" t="str">
        <f>IF(H56="正常",F58,"免征")</f>
        <v>免征</v>
      </c>
      <c r="G56" s="2343" t="s">
        <v>1365</v>
      </c>
      <c r="H56" s="2344"/>
      <c r="I56" s="1670"/>
      <c r="J56" s="2310" t="str">
        <f>IF(项目基本情况!K6="上海银行",IF(J55="",4,J55+1),"")</f>
        <v/>
      </c>
      <c r="K56" s="3346" t="str">
        <f>IF(项目基本情况!K6="上海银行","其他处置费用","")</f>
        <v/>
      </c>
      <c r="L56" s="3347"/>
      <c r="M56" s="2312" t="str">
        <f>IF(项目基本情况!K6="上海银行",M69,"")</f>
        <v/>
      </c>
      <c r="N56" s="3346" t="str">
        <f>IF(项目基本情况!K6="上海银行","包含处置中涉及的律师、诉讼、拍卖、评估等费用","")</f>
        <v/>
      </c>
      <c r="O56" s="3349"/>
    </row>
    <row r="57" spans="1:35" ht="12.75">
      <c r="A57" s="2153" t="s">
        <v>1341</v>
      </c>
      <c r="B57" s="3284" t="s">
        <v>1366</v>
      </c>
      <c r="C57" s="3285"/>
      <c r="D57" s="1478">
        <v>0</v>
      </c>
      <c r="E57" s="316" t="s">
        <v>1343</v>
      </c>
      <c r="F57" s="294"/>
      <c r="G57" s="2341"/>
      <c r="H57" s="2345"/>
      <c r="I57" s="1670"/>
      <c r="J57" s="3323">
        <f>IF(AND(J55="",J56=""),4,IF(项目基本情况!K6="上海银行",结果表!J56+1,结果表!J55+1))</f>
        <v>5</v>
      </c>
      <c r="K57" s="3323" t="s">
        <v>1367</v>
      </c>
      <c r="L57" s="2317" t="s">
        <v>1368</v>
      </c>
      <c r="M57" s="2318"/>
      <c r="N57" s="2319">
        <f ca="1">SUMIF(M52:M56,"&lt;9e307")</f>
        <v>0</v>
      </c>
      <c r="O57" s="2320"/>
      <c r="P57" s="2465" t="e">
        <f ca="1">N57/M49</f>
        <v>#VALUE!</v>
      </c>
    </row>
    <row r="58" spans="1:35" ht="24.75">
      <c r="A58" s="2153" t="s">
        <v>1352</v>
      </c>
      <c r="B58" s="3284" t="s">
        <v>1369</v>
      </c>
      <c r="C58" s="3258"/>
      <c r="D58" s="12" t="e">
        <f ca="1">IF(H58="转让取得",C81,C97)</f>
        <v>#REF!</v>
      </c>
      <c r="E58" s="1256" t="s">
        <v>1364</v>
      </c>
      <c r="F58" s="294" t="s">
        <v>28</v>
      </c>
      <c r="G58" s="2341"/>
      <c r="H58" s="2344"/>
      <c r="I58" s="1670"/>
      <c r="J58" s="3323"/>
      <c r="K58" s="3323"/>
      <c r="L58" s="2317" t="s">
        <v>1370</v>
      </c>
      <c r="M58" s="2321"/>
      <c r="N58" s="2322" t="str">
        <f ca="1">NUMBERSTRING(INT(N57*10000),2)&amp;"元整"</f>
        <v>零元整</v>
      </c>
      <c r="O58" s="2323"/>
    </row>
    <row r="59" spans="1:35" ht="24.75" thickBot="1">
      <c r="A59" s="3326" t="s">
        <v>1371</v>
      </c>
      <c r="B59" s="3327"/>
      <c r="C59" s="3327"/>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4">
        <f>J57+1</f>
        <v>6</v>
      </c>
      <c r="K59" s="3323" t="s">
        <v>1372</v>
      </c>
      <c r="L59" s="2310" t="s">
        <v>1368</v>
      </c>
      <c r="M59" s="2324"/>
      <c r="N59" s="2325" t="e">
        <f ca="1">M49-N57</f>
        <v>#VALUE!</v>
      </c>
      <c r="O59" s="2326"/>
    </row>
    <row r="60" spans="1:35" ht="12" customHeight="1">
      <c r="A60" s="1671"/>
      <c r="B60" s="646"/>
      <c r="C60" s="646"/>
      <c r="D60" s="646"/>
      <c r="E60" s="1466"/>
      <c r="F60" s="1670"/>
      <c r="G60" s="1670"/>
      <c r="H60" s="151"/>
      <c r="I60" s="121"/>
      <c r="J60" s="3325"/>
      <c r="K60" s="3323"/>
      <c r="L60" s="2317" t="s">
        <v>1370</v>
      </c>
      <c r="M60" s="2321"/>
      <c r="N60" s="2322" t="e">
        <f ca="1">NUMBERSTRING(INT(N59*10000),2)&amp;"元整"</f>
        <v>#VALUE!</v>
      </c>
      <c r="O60" s="2323"/>
    </row>
    <row r="61" spans="1:35" ht="13.5" thickBot="1">
      <c r="A61" s="3271" t="s">
        <v>1373</v>
      </c>
      <c r="B61" s="3271"/>
      <c r="C61" s="3271"/>
      <c r="D61" s="3271"/>
      <c r="E61" s="3271"/>
      <c r="F61" s="1670"/>
      <c r="G61" s="1670"/>
      <c r="H61" s="151"/>
      <c r="I61" s="121"/>
      <c r="J61" s="2310">
        <f>J59+1</f>
        <v>7</v>
      </c>
      <c r="K61" s="3323" t="s">
        <v>1374</v>
      </c>
      <c r="L61" s="3323"/>
      <c r="M61" s="2327"/>
      <c r="N61" s="2328" t="e">
        <f ca="1">ROUND(N59*10000/'数据-汇总表'!E3,0)</f>
        <v>#VALUE!</v>
      </c>
      <c r="O61" s="2329"/>
    </row>
    <row r="62" spans="1:35" ht="12.75">
      <c r="A62" s="3289" t="s">
        <v>1375</v>
      </c>
      <c r="B62" s="3290"/>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48"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48"/>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48"/>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48"/>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8"/>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48"/>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48"/>
      <c r="K69" s="1245" t="s">
        <v>1393</v>
      </c>
      <c r="L69" s="1245"/>
      <c r="M69" s="294" t="e">
        <f ca="1">ROUND(SUM(M63:M68),0)</f>
        <v>#VALUE!</v>
      </c>
      <c r="N69" s="2332" t="e">
        <f ca="1">M69/M49</f>
        <v>#VALUE!</v>
      </c>
      <c r="Z69" s="1623"/>
      <c r="AI69" s="1561"/>
    </row>
    <row r="70" spans="1:35" s="642" customFormat="1" ht="15"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4" t="s">
        <v>1402</v>
      </c>
      <c r="F76" s="3258"/>
      <c r="G76" s="3258"/>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68" t="s">
        <v>1406</v>
      </c>
      <c r="F78" s="3269"/>
      <c r="G78" s="3269"/>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0" t="s">
        <v>2129</v>
      </c>
      <c r="H90" s="3351"/>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8" t="s">
        <v>1419</v>
      </c>
      <c r="F91" s="3269"/>
      <c r="G91" s="326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8" t="s">
        <v>1422</v>
      </c>
      <c r="F92" s="3269"/>
      <c r="G92" s="3269"/>
      <c r="H92" s="3278"/>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68" t="s">
        <v>1406</v>
      </c>
      <c r="F93" s="3269"/>
      <c r="G93" s="3269"/>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9" t="s">
        <v>1426</v>
      </c>
      <c r="F94" s="3280"/>
      <c r="G94" s="3280"/>
      <c r="H94" s="32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70"/>
      <c r="E100" s="3253" t="s">
        <v>1429</v>
      </c>
      <c r="F100" s="3253"/>
      <c r="G100" s="3253"/>
      <c r="H100" s="3270"/>
      <c r="I100" s="121"/>
    </row>
    <row r="101" spans="1:35" ht="18.75" customHeight="1">
      <c r="A101" s="3331" t="s">
        <v>1430</v>
      </c>
      <c r="B101" s="3332"/>
      <c r="C101" s="2371" t="str">
        <f>C4</f>
        <v>成本法</v>
      </c>
      <c r="D101" s="2372" t="str">
        <f>D4</f>
        <v>收益法</v>
      </c>
      <c r="E101" s="3345" t="s">
        <v>1431</v>
      </c>
      <c r="F101" s="3302"/>
      <c r="G101" s="1687" t="s">
        <v>1432</v>
      </c>
      <c r="H101" s="2381" t="e">
        <f ca="1">H118</f>
        <v>#REF!</v>
      </c>
      <c r="I101" s="121"/>
    </row>
    <row r="102" spans="1:35" ht="18.75" customHeight="1">
      <c r="A102" s="3304" t="s">
        <v>1433</v>
      </c>
      <c r="B102" s="2370" t="s">
        <v>1432</v>
      </c>
      <c r="C102" s="2371">
        <f ca="1">IF(D32="楼面单价",ROUND(C19,0),C19)</f>
        <v>29123</v>
      </c>
      <c r="D102" s="2372">
        <f ca="1">IF(D32="楼面单价",ROUND(D19,0),D19)</f>
        <v>30864</v>
      </c>
      <c r="E102" s="3345"/>
      <c r="F102" s="3302"/>
      <c r="G102" s="1687" t="s">
        <v>1434</v>
      </c>
      <c r="H102" s="2341" t="e">
        <f ca="1">I118</f>
        <v>#REF!</v>
      </c>
      <c r="I102" s="121"/>
    </row>
    <row r="103" spans="1:35" ht="42.75" customHeight="1">
      <c r="A103" s="3304"/>
      <c r="B103" s="2370" t="s">
        <v>1434</v>
      </c>
      <c r="C103" s="2373">
        <f ca="1">C20</f>
        <v>8273</v>
      </c>
      <c r="D103" s="2374">
        <f ca="1">D20</f>
        <v>8768</v>
      </c>
      <c r="E103" s="3339" t="s">
        <v>1435</v>
      </c>
      <c r="F103" s="3340"/>
      <c r="G103" s="1688" t="s">
        <v>1436</v>
      </c>
      <c r="H103" s="2381">
        <f>IF(D36="正常操作",H104+H105+H106,H105+H106)</f>
        <v>0</v>
      </c>
      <c r="I103" s="121"/>
    </row>
    <row r="104" spans="1:35" ht="18.75" customHeight="1">
      <c r="A104" s="330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5"/>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302"/>
      <c r="G107" s="1687" t="s">
        <v>1432</v>
      </c>
      <c r="H107" s="2381" t="e">
        <f ca="1">IF(E107="——","——",H101-H103)</f>
        <v>#REF!</v>
      </c>
      <c r="I107" s="121"/>
    </row>
    <row r="108" spans="1:35" ht="18.75" customHeight="1">
      <c r="A108" s="121"/>
      <c r="B108" s="121"/>
      <c r="C108" s="121"/>
      <c r="D108" s="121"/>
      <c r="E108" s="3301"/>
      <c r="F108" s="3302"/>
      <c r="G108" s="1687" t="s">
        <v>1434</v>
      </c>
      <c r="H108" s="2341">
        <f ca="1">IF(H107=H101,H102,ROUND(H107*10000/'数据-汇总表'!E3,0))</f>
        <v>0</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7" t="s">
        <v>1432</v>
      </c>
      <c r="H109" s="2384" t="str">
        <f>IF(E109="——","——",H101-H105-H106)</f>
        <v>——</v>
      </c>
      <c r="I109" s="121"/>
    </row>
    <row r="110" spans="1:35" ht="18.75" customHeight="1">
      <c r="A110" s="121"/>
      <c r="B110" s="121"/>
      <c r="C110" s="121"/>
      <c r="D110" s="121"/>
      <c r="E110" s="3301"/>
      <c r="F110" s="3302"/>
      <c r="G110" s="1687" t="s">
        <v>1434</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03"/>
      <c r="G111" s="1687" t="s">
        <v>1432</v>
      </c>
      <c r="H111" s="2381" t="str">
        <f>IF(E111="——","——",N59)</f>
        <v>——</v>
      </c>
      <c r="I111" s="121"/>
    </row>
    <row r="112" spans="1:35" ht="18.75" customHeight="1" thickBot="1">
      <c r="A112" s="121"/>
      <c r="B112" s="121"/>
      <c r="C112" s="121"/>
      <c r="D112" s="121"/>
      <c r="E112" s="3334"/>
      <c r="F112" s="3335"/>
      <c r="G112" s="1690" t="s">
        <v>1434</v>
      </c>
      <c r="H112" s="2385"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1444</v>
      </c>
      <c r="C116" s="3307" t="s">
        <v>1445</v>
      </c>
      <c r="D116" s="3320" t="s">
        <v>1446</v>
      </c>
      <c r="E116" s="3321"/>
      <c r="F116" s="3315" t="s">
        <v>1447</v>
      </c>
      <c r="G116" s="3315"/>
      <c r="H116" s="3272" t="s">
        <v>1448</v>
      </c>
      <c r="I116" s="3272"/>
    </row>
    <row r="117" spans="1:27" ht="18.75" customHeight="1">
      <c r="A117" s="3272"/>
      <c r="B117" s="3308"/>
      <c r="C117" s="330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35200.39</v>
      </c>
      <c r="C118" s="2150">
        <f>M19</f>
        <v>20352.8</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2" t="s">
        <v>1452</v>
      </c>
      <c r="B119" s="3272"/>
      <c r="C119" s="3272"/>
      <c r="D119" s="3312" t="e">
        <f ca="1">NUMBERSTRING(INT(D118*10000),2)&amp;"元整"</f>
        <v>#REF!</v>
      </c>
      <c r="E119" s="3314"/>
      <c r="F119" s="3312" t="e">
        <f ca="1">NUMBERSTRING(INT(F118*10000),2)&amp;"元整"</f>
        <v>#REF!</v>
      </c>
      <c r="G119" s="3314"/>
      <c r="H119" s="3312" t="e">
        <f ca="1">NUMBERSTRING(INT(H118*10000),2)&amp;"元整"</f>
        <v>#REF!</v>
      </c>
      <c r="I119" s="3314"/>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1452</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房地产抵押价值</v>
      </c>
      <c r="B122" s="3303"/>
      <c r="C122" s="3303"/>
      <c r="D122" s="3336" t="e">
        <f ca="1">H107</f>
        <v>#REF!</v>
      </c>
      <c r="E122" s="3337"/>
      <c r="F122" s="3337"/>
      <c r="G122" s="3337"/>
      <c r="H122" s="3337"/>
      <c r="I122" s="3338"/>
      <c r="AA122" s="684"/>
    </row>
    <row r="123" spans="1:27" ht="18.75" customHeight="1">
      <c r="A123" s="3272" t="s">
        <v>1452</v>
      </c>
      <c r="B123" s="3272"/>
      <c r="C123" s="3272"/>
      <c r="D123" s="3312" t="e">
        <f ca="1">NUMBERSTRING(INT(D122*10000),2)&amp;"元整"</f>
        <v>#REF!</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1452</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
      </c>
      <c r="B126" s="3303"/>
      <c r="C126" s="3303"/>
      <c r="D126" s="3336" t="str">
        <f>H111</f>
        <v>——</v>
      </c>
      <c r="E126" s="3337"/>
      <c r="F126" s="3337"/>
      <c r="G126" s="3337"/>
      <c r="H126" s="3337"/>
      <c r="I126" s="3338"/>
      <c r="AA126" s="684"/>
    </row>
    <row r="127" spans="1:27" ht="18.75" customHeight="1">
      <c r="A127" s="3272" t="s">
        <v>1452</v>
      </c>
      <c r="B127" s="3272"/>
      <c r="C127" s="3272"/>
      <c r="D127" s="3312" t="e">
        <f>NUMBERSTRING(INT(D126*10000),2)&amp;"元整"</f>
        <v>#VALUE!</v>
      </c>
      <c r="E127" s="3313"/>
      <c r="F127" s="3313"/>
      <c r="G127" s="3313"/>
      <c r="H127" s="3313"/>
      <c r="I127" s="3314"/>
      <c r="AA127" s="684"/>
    </row>
    <row r="128" spans="1:27" ht="21.75" customHeight="1">
      <c r="A128" s="3319" t="s">
        <v>1453</v>
      </c>
      <c r="B128" s="3319"/>
      <c r="C128" s="3319"/>
      <c r="D128" s="3319"/>
      <c r="E128" s="3319"/>
      <c r="F128" s="3319"/>
      <c r="G128" s="3319"/>
      <c r="H128" s="3319"/>
      <c r="I128" s="331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B1" sqref="B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3431</v>
      </c>
      <c r="C1" s="190"/>
      <c r="D1" s="190"/>
      <c r="E1" s="190"/>
      <c r="F1" s="190"/>
      <c r="G1" s="1062">
        <f>MATCH(B1,'数据-取费表'!A6:A16,0)+5</f>
        <v>6</v>
      </c>
    </row>
    <row r="2" spans="1:9" s="192" customFormat="1" ht="18" customHeight="1">
      <c r="A2" s="193" t="s">
        <v>1462</v>
      </c>
      <c r="B2" s="194">
        <f ca="1">IF(D2="——",C52,C52-E2)</f>
        <v>29123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8273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5858</v>
      </c>
      <c r="D5" s="203" t="s">
        <v>1469</v>
      </c>
      <c r="E5" s="204" t="s">
        <v>1470</v>
      </c>
      <c r="F5" s="204" t="s">
        <v>1471</v>
      </c>
      <c r="G5" s="205"/>
    </row>
    <row r="6" spans="1:9" s="206" customFormat="1" ht="13.5" customHeight="1">
      <c r="A6" s="732" t="s">
        <v>1472</v>
      </c>
      <c r="B6" s="207" t="s">
        <v>1473</v>
      </c>
      <c r="C6" s="208">
        <f>基准地价修正!B2</f>
        <v>5001</v>
      </c>
      <c r="D6" s="209"/>
      <c r="E6" s="210"/>
      <c r="F6" s="210"/>
      <c r="G6" s="211"/>
    </row>
    <row r="7" spans="1:9" s="206" customFormat="1" ht="13.5" customHeight="1">
      <c r="A7" s="732" t="s">
        <v>1474</v>
      </c>
      <c r="B7" s="207" t="s">
        <v>1475</v>
      </c>
      <c r="C7" s="212">
        <f>ROUND(C6*F7,0)</f>
        <v>153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704</v>
      </c>
      <c r="D8" s="214"/>
      <c r="E8" s="212"/>
      <c r="F8" s="213"/>
      <c r="G8" s="1714" t="s">
        <v>3458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3459</v>
      </c>
      <c r="H9" s="1070"/>
      <c r="I9" s="1716" t="s">
        <v>1479</v>
      </c>
    </row>
    <row r="10" spans="1:9" s="206" customFormat="1" ht="13.5" customHeight="1">
      <c r="A10" s="733" t="s">
        <v>356</v>
      </c>
      <c r="B10" s="216" t="s">
        <v>1480</v>
      </c>
      <c r="C10" s="217">
        <f ca="1">ROUND(D10*E10/10000,0)</f>
        <v>704</v>
      </c>
      <c r="D10" s="795">
        <f ca="1">IF(B1="",'数据-汇总表'!E6,IF(INDIRECT("'数据-取费表'!c"&amp;$G$1)="住宅",INDIRECT("'数据-取费表'!s"&amp;$G$1),INDIRECT("'数据-取费表'!k"&amp;$G$1)+INDIRECT("'数据-取费表'!s"&amp;$G$1)))</f>
        <v>35200.39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35200.39</v>
      </c>
      <c r="E19" s="203">
        <f>'数据-取费表'!B31</f>
        <v>200</v>
      </c>
      <c r="F19" s="223"/>
      <c r="G19" s="1714" t="s">
        <v>3460</v>
      </c>
    </row>
    <row r="20" spans="1:7" s="206" customFormat="1" ht="13.5" customHeight="1">
      <c r="A20" s="247" t="s">
        <v>1493</v>
      </c>
      <c r="B20" s="202" t="s">
        <v>1494</v>
      </c>
      <c r="C20" s="224">
        <f ca="1">ROUND((C5+C19)*F20,0)</f>
        <v>117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376</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372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598</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598</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7520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17653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15840</v>
      </c>
      <c r="D34" s="209"/>
      <c r="E34" s="212"/>
      <c r="F34" s="249">
        <f ca="1">IF('数据-取费表'!B24=0,1,IF(B1="",'数据-取费表'!N16,INDIRECT("'数据-取费表'!n"&amp;$G$1)))</f>
        <v>1</v>
      </c>
      <c r="G34" s="211" t="s">
        <v>1526</v>
      </c>
    </row>
    <row r="35" spans="1:7" ht="13.5" customHeight="1">
      <c r="A35" s="734" t="s">
        <v>351</v>
      </c>
      <c r="B35" s="207" t="s">
        <v>1527</v>
      </c>
      <c r="C35" s="212">
        <f ca="1">ROUND(C34*F35,0)</f>
        <v>792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704</v>
      </c>
      <c r="D37" s="209">
        <f ca="1">D19</f>
        <v>35200.39</v>
      </c>
      <c r="E37" s="241">
        <f>'数据-取费表'!B35</f>
        <v>200</v>
      </c>
      <c r="F37" s="251"/>
      <c r="G37" s="253" t="s">
        <v>1532</v>
      </c>
    </row>
    <row r="38" spans="1:7" ht="13.5" customHeight="1">
      <c r="A38" s="734" t="s">
        <v>354</v>
      </c>
      <c r="B38" s="207" t="s">
        <v>1533</v>
      </c>
      <c r="C38" s="212">
        <f ca="1">ROUND(C34*F38,0)</f>
        <v>317</v>
      </c>
      <c r="D38" s="212"/>
      <c r="E38" s="212"/>
      <c r="F38" s="251">
        <f>'数据-取费表'!B36</f>
        <v>0.02</v>
      </c>
      <c r="G38" s="211" t="s">
        <v>1528</v>
      </c>
    </row>
    <row r="39" spans="1:7" s="206" customFormat="1" ht="13.5" customHeight="1">
      <c r="A39" s="247" t="s">
        <v>1534</v>
      </c>
      <c r="B39" s="202" t="s">
        <v>1535</v>
      </c>
      <c r="C39" s="224">
        <f ca="1">ROUND(C33*F20,0)</f>
        <v>353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564</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553</v>
      </c>
      <c r="D42" s="230"/>
      <c r="E42" s="230"/>
      <c r="F42" s="231"/>
      <c r="G42" s="3352" t="s">
        <v>1544</v>
      </c>
    </row>
    <row r="43" spans="1:7" ht="13.5" customHeight="1">
      <c r="A43" s="734" t="s">
        <v>347</v>
      </c>
      <c r="B43" s="207" t="s">
        <v>1545</v>
      </c>
      <c r="C43" s="230">
        <f ca="1">ROUND(IF('数据-取费表'!B22&lt;=1,C39*F22*'数据-取费表'!B21/2,C39*(POWER((1+F22),'数据-取费表'!B21/2)-1)),0)</f>
        <v>11</v>
      </c>
      <c r="D43" s="230"/>
      <c r="E43" s="230"/>
      <c r="F43" s="231"/>
      <c r="G43" s="3353"/>
    </row>
    <row r="44" spans="1:7" ht="13.5" customHeight="1">
      <c r="A44" s="734" t="s">
        <v>348</v>
      </c>
      <c r="B44" s="207" t="s">
        <v>1546</v>
      </c>
      <c r="C44" s="230">
        <f ca="1">ROUND(IF('数据-取费表'!B22&lt;=1,C40*F22*'数据-取费表'!B21/2,C40*(POWER((1+F22),'数据-取费表'!B21/2)-1)),4)</f>
        <v>5.9999999999999995E-4</v>
      </c>
      <c r="D44" s="230"/>
      <c r="E44" s="230"/>
      <c r="F44" s="231"/>
      <c r="G44" s="3354"/>
    </row>
    <row r="45" spans="1:7" s="206" customFormat="1" ht="13.5" customHeight="1">
      <c r="A45" s="247" t="s">
        <v>1547</v>
      </c>
      <c r="B45" s="236" t="s">
        <v>1513</v>
      </c>
      <c r="C45" s="237">
        <f ca="1">C46</f>
        <v>1801</v>
      </c>
      <c r="D45" s="227">
        <f ca="1">C47</f>
        <v>2E-3</v>
      </c>
      <c r="E45" s="228" t="s">
        <v>1539</v>
      </c>
      <c r="F45" s="238">
        <f ca="1">F27</f>
        <v>0.1</v>
      </c>
      <c r="G45" s="239" t="s">
        <v>1548</v>
      </c>
    </row>
    <row r="46" spans="1:7" s="206" customFormat="1" ht="13.5" customHeight="1">
      <c r="A46" s="734" t="s">
        <v>346</v>
      </c>
      <c r="B46" s="240" t="s">
        <v>1549</v>
      </c>
      <c r="C46" s="241">
        <f ca="1">ROUND((C33+C39)*F27,0)</f>
        <v>1801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22044</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f ca="1">ROUND(C49*F50,0)</f>
        <v>21603</v>
      </c>
      <c r="D51" s="224"/>
      <c r="E51" s="224"/>
      <c r="F51" s="256"/>
      <c r="G51" s="226" t="s">
        <v>1560</v>
      </c>
    </row>
    <row r="52" spans="1:7" s="200" customFormat="1" ht="16.5" thickBot="1">
      <c r="A52" s="257" t="s">
        <v>1561</v>
      </c>
      <c r="B52" s="258"/>
      <c r="C52" s="259">
        <f ca="1">C31+C51</f>
        <v>29123</v>
      </c>
      <c r="D52" s="258"/>
      <c r="E52" s="258"/>
      <c r="F52" s="258"/>
      <c r="G52" s="260"/>
    </row>
    <row r="55" spans="1:7" ht="15">
      <c r="B55" s="262" t="s">
        <v>1562</v>
      </c>
      <c r="C55" s="263"/>
    </row>
    <row r="56" spans="1:7">
      <c r="B56" s="265" t="s">
        <v>802</v>
      </c>
      <c r="C56" s="267">
        <f ca="1">1-C57</f>
        <v>0.25800000000000001</v>
      </c>
    </row>
    <row r="57" spans="1:7">
      <c r="B57" s="265" t="s">
        <v>803</v>
      </c>
      <c r="C57" s="266">
        <f ca="1">ROUND(C51/C52,3)</f>
        <v>0.74199999999999999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北京市房地产抵押价值预评估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23409.849300000002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6650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7040078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7040078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7040078</v>
      </c>
      <c r="D10" s="795">
        <f ca="1">IF(B1="",'数据-汇总表'!E6,IF(INDIRECT("'数据-取费表'!c"&amp;$G$1)="住宅",INDIRECT("'数据-取费表'!s"&amp;$G$1),INDIRECT("'数据-取费表'!k"&amp;$G$1)+INDIRECT("'数据-取费表'!s"&amp;$G$1)))</f>
        <v>35200.39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7040078</v>
      </c>
      <c r="D19" s="204">
        <f ca="1">D9+D10</f>
        <v>35200.39</v>
      </c>
      <c r="E19" s="203">
        <f>'数据-取费表'!B31</f>
        <v>200</v>
      </c>
      <c r="F19" s="223"/>
      <c r="G19" s="1714"/>
    </row>
    <row r="20" spans="1:7" s="206" customFormat="1" ht="13.5" customHeight="1">
      <c r="A20" s="247" t="s">
        <v>1574</v>
      </c>
      <c r="B20" s="202" t="s">
        <v>1575</v>
      </c>
      <c r="C20" s="224">
        <f ca="1">ROUND((C5+C19)*F20,0)</f>
        <v>281603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904026</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447606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447606</v>
      </c>
      <c r="D24" s="230"/>
      <c r="E24" s="230"/>
      <c r="F24" s="231"/>
      <c r="G24" s="232" t="s">
        <v>1586</v>
      </c>
    </row>
    <row r="25" spans="1:7" s="206" customFormat="1" ht="24">
      <c r="A25" s="734" t="s">
        <v>1476</v>
      </c>
      <c r="B25" s="207" t="s">
        <v>1587</v>
      </c>
      <c r="C25" s="230">
        <f ca="1">ROUND(IF('数据-取费表'!B22&lt;=1,C20*F22*'数据-取费表'!B22/2,C20*(POWER((1+F22),'数据-取费表'!B22/2)-1)),0)</f>
        <v>8814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1436176</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1436176</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18073759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176529956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158401755</v>
      </c>
      <c r="D34" s="209"/>
      <c r="E34" s="212"/>
      <c r="F34" s="249"/>
      <c r="G34" s="211"/>
    </row>
    <row r="35" spans="1:7" ht="13.5" customHeight="1">
      <c r="A35" s="734" t="s">
        <v>351</v>
      </c>
      <c r="B35" s="207" t="s">
        <v>1527</v>
      </c>
      <c r="C35" s="212">
        <f ca="1">ROUND(C34*F35,0)</f>
        <v>7920088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7040078</v>
      </c>
      <c r="D37" s="209">
        <f ca="1">D19</f>
        <v>35200.39</v>
      </c>
      <c r="E37" s="241">
        <f>'数据-取费表'!B35</f>
        <v>200</v>
      </c>
      <c r="F37" s="251"/>
      <c r="G37" s="253"/>
    </row>
    <row r="38" spans="1:7" ht="13.5" customHeight="1">
      <c r="A38" s="734" t="s">
        <v>354</v>
      </c>
      <c r="B38" s="207" t="s">
        <v>1533</v>
      </c>
      <c r="C38" s="212">
        <f ca="1">ROUND(C34*F38,0)</f>
        <v>3168035</v>
      </c>
      <c r="D38" s="212"/>
      <c r="E38" s="212"/>
      <c r="F38" s="251">
        <f>'数据-取费表'!B36</f>
        <v>0.02</v>
      </c>
      <c r="G38" s="211" t="s">
        <v>1528</v>
      </c>
    </row>
    <row r="39" spans="1:7" s="206" customFormat="1" ht="13.5" customHeight="1">
      <c r="A39" s="247" t="s">
        <v>1534</v>
      </c>
      <c r="B39" s="202" t="s">
        <v>1535</v>
      </c>
      <c r="C39" s="224">
        <f ca="1">ROUND(C33*F20,0)</f>
        <v>3530599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5635896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5525388</v>
      </c>
      <c r="D42" s="230"/>
      <c r="E42" s="230"/>
      <c r="F42" s="231"/>
      <c r="G42" s="3352" t="s">
        <v>1591</v>
      </c>
    </row>
    <row r="43" spans="1:7" ht="13.5" customHeight="1">
      <c r="A43" s="734" t="s">
        <v>347</v>
      </c>
      <c r="B43" s="207" t="s">
        <v>1545</v>
      </c>
      <c r="C43" s="230">
        <f ca="1">ROUND(IF('数据-取费表'!B22&lt;=1,C39*F22*'数据-取费表'!B20/2,C39*(POWER((1+F22),'数据-取费表'!B20/2)-1)),0)</f>
        <v>110508</v>
      </c>
      <c r="D43" s="230"/>
      <c r="E43" s="230"/>
      <c r="F43" s="231"/>
      <c r="G43" s="3353"/>
    </row>
    <row r="44" spans="1:7" ht="13.5" customHeight="1">
      <c r="A44" s="734" t="s">
        <v>348</v>
      </c>
      <c r="B44" s="207" t="s">
        <v>1546</v>
      </c>
      <c r="C44" s="230">
        <f ca="1">ROUND(IF('数据-取费表'!B22&lt;=1,C40*F22*'数据-取费表'!B20/2,C40*(POWER((1+F22),'数据-取费表'!B20/2)-1)),4)</f>
        <v>5.9999999999999995E-4</v>
      </c>
      <c r="D44" s="230"/>
      <c r="E44" s="230"/>
      <c r="F44" s="231"/>
      <c r="G44" s="3354"/>
    </row>
    <row r="45" spans="1:7" s="206" customFormat="1" ht="13.5" customHeight="1">
      <c r="A45" s="247" t="s">
        <v>1547</v>
      </c>
      <c r="B45" s="236" t="s">
        <v>1513</v>
      </c>
      <c r="C45" s="237">
        <f ca="1">C46</f>
        <v>18006056</v>
      </c>
      <c r="D45" s="227">
        <f ca="1">C47</f>
        <v>2E-3</v>
      </c>
      <c r="E45" s="228" t="s">
        <v>1539</v>
      </c>
      <c r="F45" s="238">
        <f ca="1">F27</f>
        <v>0.1</v>
      </c>
      <c r="G45" s="239" t="s">
        <v>1548</v>
      </c>
    </row>
    <row r="46" spans="1:7" s="206" customFormat="1" ht="13.5" customHeight="1">
      <c r="A46" s="734" t="s">
        <v>346</v>
      </c>
      <c r="B46" s="240" t="s">
        <v>1549</v>
      </c>
      <c r="C46" s="241">
        <f ca="1">ROUND((C33+C39)*F27,0)</f>
        <v>18006056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220433402</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216024734</v>
      </c>
      <c r="D51" s="224"/>
      <c r="E51" s="224"/>
      <c r="F51" s="256"/>
      <c r="G51" s="226" t="s">
        <v>1560</v>
      </c>
    </row>
    <row r="52" spans="1:7" s="200" customFormat="1" ht="16.5" thickBot="1">
      <c r="A52" s="257" t="s">
        <v>1561</v>
      </c>
      <c r="B52" s="258"/>
      <c r="C52" s="259">
        <f ca="1">C31+C51</f>
        <v>234098493</v>
      </c>
      <c r="D52" s="258"/>
      <c r="E52" s="258"/>
      <c r="F52" s="258"/>
      <c r="G52" s="260"/>
    </row>
    <row r="55" spans="1:7" ht="15">
      <c r="B55" s="262" t="s">
        <v>1562</v>
      </c>
      <c r="C55" s="263"/>
    </row>
    <row r="56" spans="1:7">
      <c r="B56" s="265" t="s">
        <v>802</v>
      </c>
      <c r="C56" s="267">
        <f ca="1">1-C57</f>
        <v>7.6999999999999957E-2</v>
      </c>
    </row>
    <row r="57" spans="1:7">
      <c r="B57" s="265" t="s">
        <v>803</v>
      </c>
      <c r="C57" s="266">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-768</v>
      </c>
      <c r="C2" s="268" t="s">
        <v>1595</v>
      </c>
      <c r="D2" s="268"/>
      <c r="E2" s="2568"/>
      <c r="F2" s="2568"/>
      <c r="G2" s="2568"/>
      <c r="H2" s="2568"/>
      <c r="I2" s="2568"/>
      <c r="J2" s="2568"/>
      <c r="K2" s="2568"/>
    </row>
    <row r="3" spans="1:33" ht="18" customHeight="1" thickBot="1">
      <c r="A3" s="195" t="s">
        <v>1464</v>
      </c>
      <c r="B3" s="196">
        <f ca="1">ROUND(B2*10000/IF(C1="",'数据-汇总表'!E3,INDIRECT("'数据-取费表'!K"&amp;$K$1)),0)</f>
        <v>-218</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35200.39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35200.39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704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704</v>
      </c>
      <c r="D20" s="796">
        <f ca="1">IF(C1="",'数据-汇总表'!E6,IF(INDIRECT("'数据-取费表'!c"&amp;$K$1)="住宅",INDIRECT("'数据-取费表'!s"&amp;$K$1),INDIRECT("'数据-取费表'!k"&amp;$K$1)+INDIRECT("'数据-取费表'!s"&amp;$K$1)))</f>
        <v>35200.39</v>
      </c>
      <c r="E20" s="21">
        <f>'数据-取费表'!B28</f>
        <v>200</v>
      </c>
      <c r="F20" s="756"/>
      <c r="G20" s="12"/>
      <c r="H20" s="761"/>
      <c r="I20" s="761"/>
      <c r="J20" s="761"/>
      <c r="K20" s="762"/>
    </row>
    <row r="21" spans="1:33" s="755" customFormat="1" ht="13.5" customHeight="1">
      <c r="A21" s="744" t="s">
        <v>357</v>
      </c>
      <c r="B21" s="765" t="s">
        <v>1628</v>
      </c>
      <c r="C21" s="766">
        <f ca="1">C16+C17+C18</f>
        <v>704</v>
      </c>
      <c r="D21" s="767"/>
      <c r="E21" s="273"/>
      <c r="F21" s="273"/>
      <c r="G21" s="123" t="s">
        <v>1629</v>
      </c>
      <c r="H21" s="759"/>
      <c r="I21" s="759"/>
      <c r="J21" s="759"/>
      <c r="K21" s="760"/>
    </row>
    <row r="22" spans="1:33" s="755" customFormat="1" ht="13.5" customHeight="1">
      <c r="A22" s="744" t="s">
        <v>1601</v>
      </c>
      <c r="B22" s="765" t="s">
        <v>1630</v>
      </c>
      <c r="C22" s="766">
        <f ca="1">ROUND(C21*F22,0)</f>
        <v>14</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72</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72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-768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3431</v>
      </c>
      <c r="D1" s="1271" t="s">
        <v>43</v>
      </c>
      <c r="E1" s="1272" t="s">
        <v>678</v>
      </c>
      <c r="F1" s="999">
        <f ca="1">J53</f>
        <v>26.45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30864</v>
      </c>
      <c r="C2" s="1289" t="s">
        <v>805</v>
      </c>
      <c r="D2" s="1289"/>
      <c r="E2" s="1295"/>
      <c r="F2" s="1296"/>
      <c r="G2" s="2479"/>
      <c r="H2" s="2469"/>
      <c r="I2" s="2469"/>
      <c r="J2" s="2469"/>
      <c r="K2" s="2470"/>
      <c r="L2" s="2469"/>
      <c r="M2" s="2469"/>
    </row>
    <row r="3" spans="1:37" ht="18" customHeight="1" thickBot="1">
      <c r="A3" s="1297" t="s">
        <v>806</v>
      </c>
      <c r="B3" s="1298">
        <f ca="1">IF(ISERROR(B2*10000/F43),0,ROUND(B2*10000/F43,0))</f>
        <v>8768</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2168</v>
      </c>
      <c r="D5" s="1273" t="s">
        <v>693</v>
      </c>
      <c r="E5" s="1008"/>
      <c r="F5" s="1009"/>
      <c r="G5" s="1292"/>
      <c r="H5" s="291">
        <v>1</v>
      </c>
      <c r="I5" s="292" t="s">
        <v>692</v>
      </c>
      <c r="J5" s="1007">
        <f ca="1">J6+J10+J12</f>
        <v>0</v>
      </c>
      <c r="K5" s="1273" t="s">
        <v>693</v>
      </c>
      <c r="L5" s="1008"/>
      <c r="M5" s="1009"/>
    </row>
    <row r="6" spans="1:37" ht="18" customHeight="1">
      <c r="A6" s="1006" t="s">
        <v>398</v>
      </c>
      <c r="B6" s="3357" t="s">
        <v>694</v>
      </c>
      <c r="C6" s="1011">
        <f ca="1">ROUND(F6*F8*F7*(1-F9)/10000,0)</f>
        <v>2165</v>
      </c>
      <c r="D6" s="147" t="s">
        <v>2109</v>
      </c>
      <c r="E6" s="294" t="s">
        <v>696</v>
      </c>
      <c r="F6" s="295">
        <f ca="1">INDIRECT("'数据-取费表'!u"&amp;$G$1)</f>
        <v>2.7</v>
      </c>
      <c r="G6" s="1292"/>
      <c r="H6" s="1006" t="s">
        <v>398</v>
      </c>
      <c r="I6" s="3357" t="s">
        <v>694</v>
      </c>
      <c r="J6" s="293">
        <f ca="1">ROUND(M6*M8*M7*(1-M9)/10000,0)</f>
        <v>0</v>
      </c>
      <c r="K6" s="147" t="s">
        <v>2108</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24412.78</v>
      </c>
      <c r="G7" s="1292"/>
      <c r="H7" s="296"/>
      <c r="I7" s="3358"/>
      <c r="J7" s="298"/>
      <c r="K7" s="299"/>
      <c r="L7" s="294" t="s">
        <v>697</v>
      </c>
      <c r="M7" s="295">
        <f ca="1">F7</f>
        <v>24412.78</v>
      </c>
    </row>
    <row r="8" spans="1:37" ht="18" customHeight="1">
      <c r="A8" s="296"/>
      <c r="B8" s="3358"/>
      <c r="C8" s="298"/>
      <c r="D8" s="299"/>
      <c r="E8" s="294" t="s">
        <v>698</v>
      </c>
      <c r="F8" s="295">
        <f ca="1">INDIRECT("'数据-取费表'!ai"&amp;$G$1)</f>
        <v>365</v>
      </c>
      <c r="G8" s="1292"/>
      <c r="H8" s="296"/>
      <c r="I8" s="3358"/>
      <c r="J8" s="298"/>
      <c r="K8" s="299"/>
      <c r="L8" s="294" t="s">
        <v>698</v>
      </c>
      <c r="M8" s="295">
        <f ca="1">INDIRECT("'数据-取费表'!ai"&amp;$G$1)</f>
        <v>365</v>
      </c>
    </row>
    <row r="9" spans="1:37" ht="18" customHeight="1">
      <c r="A9" s="296"/>
      <c r="B9" s="3359"/>
      <c r="C9" s="298"/>
      <c r="D9" s="299"/>
      <c r="E9" s="294" t="s">
        <v>699</v>
      </c>
      <c r="F9" s="304">
        <f ca="1">INDIRECT("'数据-取费表'!w"&amp;$G$1)</f>
        <v>0.1</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3</v>
      </c>
      <c r="D10" s="150" t="s">
        <v>2117</v>
      </c>
      <c r="E10" s="305" t="s">
        <v>701</v>
      </c>
      <c r="F10" s="1053" t="s">
        <v>3435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21603</v>
      </c>
      <c r="D13" s="1018" t="s">
        <v>705</v>
      </c>
      <c r="E13" s="1018" t="s">
        <v>706</v>
      </c>
      <c r="F13" s="1019">
        <f ca="1">INDIRECT("'数据-取费表'!y"&amp;$G$1)</f>
        <v>0.98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15840</v>
      </c>
      <c r="D14" s="1257" t="s">
        <v>708</v>
      </c>
      <c r="E14" s="1255"/>
      <c r="F14" s="311"/>
      <c r="G14" s="1292"/>
      <c r="H14" s="928" t="s">
        <v>398</v>
      </c>
      <c r="I14" s="294" t="s">
        <v>709</v>
      </c>
      <c r="J14" s="21">
        <f ca="1">C29</f>
        <v>22044</v>
      </c>
      <c r="K14" s="12"/>
      <c r="L14" s="759"/>
      <c r="M14" s="760"/>
    </row>
    <row r="15" spans="1:37" s="1304" customFormat="1" ht="18" customHeight="1" thickBot="1">
      <c r="A15" s="928" t="s">
        <v>399</v>
      </c>
      <c r="B15" s="294" t="s">
        <v>710</v>
      </c>
      <c r="C15" s="21">
        <f ca="1">ROUND(C14*F15,0)</f>
        <v>792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50</v>
      </c>
      <c r="K16" s="1024" t="s">
        <v>715</v>
      </c>
      <c r="L16" s="1025"/>
      <c r="M16" s="1009"/>
    </row>
    <row r="17" spans="1:37" s="1304" customFormat="1" ht="18" customHeight="1">
      <c r="A17" s="928" t="s">
        <v>681</v>
      </c>
      <c r="B17" s="294" t="s">
        <v>716</v>
      </c>
      <c r="C17" s="21">
        <f ca="1">ROUND(F17*(F43+INDIRECT("'数据-取费表'!S"&amp;$G$1))/10000,0)</f>
        <v>704</v>
      </c>
      <c r="D17" s="294" t="s">
        <v>717</v>
      </c>
      <c r="E17" s="294" t="s">
        <v>718</v>
      </c>
      <c r="F17" s="23">
        <f>'数据-取费表'!B35</f>
        <v>200</v>
      </c>
      <c r="G17" s="1303"/>
      <c r="H17" s="928" t="s">
        <v>398</v>
      </c>
      <c r="I17" s="294" t="s">
        <v>719</v>
      </c>
      <c r="J17" s="2140">
        <f ca="1">ROUND(IF(AND(项目基本情况!B11="自然人",项目基本情况!B10="北京市"),J6*M17/(1+'数据-取费表'!C42),J18+J19+J20),2)</f>
        <v>6.11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317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17653</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353</v>
      </c>
      <c r="D20" s="315" t="s">
        <v>729</v>
      </c>
      <c r="E20" s="294" t="s">
        <v>712</v>
      </c>
      <c r="F20" s="314">
        <f>'数据-取费表'!B37</f>
        <v>0.02</v>
      </c>
      <c r="G20" s="1303"/>
      <c r="H20" s="928" t="s">
        <v>680</v>
      </c>
      <c r="I20" s="147" t="s">
        <v>730</v>
      </c>
      <c r="J20" s="22">
        <f ca="1">ROUND(M20*M21/10000,2)</f>
        <v>6.11</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20352.8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44.09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564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-50</v>
      </c>
      <c r="K25" s="1032" t="s">
        <v>753</v>
      </c>
      <c r="L25" s="1033"/>
      <c r="M25" s="1034"/>
    </row>
    <row r="26" spans="1:37">
      <c r="A26" s="928" t="s">
        <v>397</v>
      </c>
      <c r="B26" s="294" t="s">
        <v>754</v>
      </c>
      <c r="C26" s="21">
        <f ca="1">ROUND((C19+C20)*F26,0)</f>
        <v>1801</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22044</v>
      </c>
      <c r="D29" s="1029"/>
      <c r="E29" s="1027"/>
      <c r="F29" s="1030"/>
      <c r="G29" s="1303"/>
      <c r="H29" s="325" t="s">
        <v>396</v>
      </c>
      <c r="I29" s="326" t="s">
        <v>768</v>
      </c>
      <c r="J29" s="327">
        <f ca="1">ROUND(J26/(1+F40)^F41,0)</f>
        <v>0</v>
      </c>
      <c r="K29" s="328" t="s">
        <v>769</v>
      </c>
      <c r="L29" s="329"/>
      <c r="M29" s="330">
        <f ca="1">INDIRECT("'数据-取费表'!k"&amp;$G$1)</f>
        <v>35200.39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446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369.01</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115.47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247.43</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6.11</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20352.8</v>
      </c>
      <c r="G35" s="1292"/>
      <c r="H35" s="2471"/>
      <c r="I35" s="1305"/>
      <c r="J35" s="1306"/>
      <c r="K35" s="2475"/>
      <c r="L35" s="2474"/>
      <c r="M35" s="2474"/>
    </row>
    <row r="36" spans="1:18" ht="18" customHeight="1">
      <c r="A36" s="1039" t="s">
        <v>402</v>
      </c>
      <c r="B36" s="294" t="s">
        <v>738</v>
      </c>
      <c r="C36" s="21">
        <f ca="1">ROUND(C29*F36,2)</f>
        <v>44.09</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21.6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10.84</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1722</v>
      </c>
      <c r="D39" s="1032" t="s">
        <v>773</v>
      </c>
      <c r="E39" s="1033"/>
      <c r="F39" s="1034"/>
      <c r="G39" s="1292"/>
      <c r="H39" s="2474"/>
      <c r="I39" s="1305"/>
      <c r="J39" s="1306"/>
      <c r="K39" s="2472"/>
      <c r="L39" s="2474"/>
      <c r="M39" s="2474"/>
    </row>
    <row r="40" spans="1:18" ht="18" customHeight="1">
      <c r="A40" s="291" t="s">
        <v>395</v>
      </c>
      <c r="B40" s="292" t="s">
        <v>774</v>
      </c>
      <c r="C40" s="293">
        <f ca="1">ROUND(C39*(1-((1+F42)/(1+F40))^F41)/(F40-F42),0)</f>
        <v>29044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26.45</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8251</v>
      </c>
      <c r="D43" s="328" t="s">
        <v>777</v>
      </c>
      <c r="E43" s="329" t="s">
        <v>778</v>
      </c>
      <c r="F43" s="330">
        <f ca="1">INDIRECT("'数据-取费表'!k"&amp;$G$1)</f>
        <v>35200.39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-30035</v>
      </c>
      <c r="D46" s="1313" t="str">
        <f>C2</f>
        <v>万元</v>
      </c>
      <c r="E46" s="1307"/>
      <c r="F46" s="1307"/>
      <c r="I46" s="1314" t="s">
        <v>810</v>
      </c>
      <c r="J46" s="1315"/>
      <c r="K46" s="1316"/>
      <c r="L46" s="1317">
        <f ca="1">IF(M47="住宅",0,IF(L48&gt;J51,L60,J60))</f>
        <v>1820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3436</v>
      </c>
      <c r="K47" s="1323" t="s">
        <v>816</v>
      </c>
      <c r="L47" s="1324">
        <f ca="1">INDIRECT("'数据-取费表'!d"&amp;$G$1)</f>
        <v>50</v>
      </c>
      <c r="M47" s="1288" t="str">
        <f>IF(ISNUMBER(FIND("住宅",C1)),"住宅","非住宅")</f>
        <v>非住宅</v>
      </c>
      <c r="O47" s="1325" t="s">
        <v>403</v>
      </c>
      <c r="P47" s="1326" t="s">
        <v>817</v>
      </c>
      <c r="Q47" s="1327">
        <f ca="1">C40+J29</f>
        <v>29044</v>
      </c>
      <c r="R47" s="1327" t="s">
        <v>818</v>
      </c>
    </row>
    <row r="48" spans="1:18" s="1292" customFormat="1" ht="28.5" thickBot="1">
      <c r="A48" s="1047" t="s">
        <v>438</v>
      </c>
      <c r="B48" s="292" t="s">
        <v>692</v>
      </c>
      <c r="C48" s="1268">
        <f ca="1">C49+C53+C55</f>
        <v>0</v>
      </c>
      <c r="D48" s="1049"/>
      <c r="E48" s="1050"/>
      <c r="F48" s="908"/>
      <c r="G48" s="681"/>
      <c r="H48" s="682"/>
      <c r="I48" s="1328" t="s">
        <v>819</v>
      </c>
      <c r="J48" s="1329" t="s">
        <v>3437</v>
      </c>
      <c r="K48" s="1330" t="s">
        <v>820</v>
      </c>
      <c r="L48" s="1331">
        <f ca="1">INDIRECT("'数据-取费表'!f"&amp;$G$1)</f>
        <v>26.45</v>
      </c>
      <c r="O48" s="1325" t="s">
        <v>404</v>
      </c>
      <c r="P48" s="1326" t="s">
        <v>821</v>
      </c>
      <c r="Q48" s="1327">
        <f ca="1">J60</f>
        <v>1820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2025</v>
      </c>
      <c r="K49" s="1330" t="s">
        <v>824</v>
      </c>
      <c r="L49" s="1333"/>
      <c r="O49" s="1334" t="s">
        <v>405</v>
      </c>
      <c r="P49" s="1326" t="s">
        <v>825</v>
      </c>
      <c r="Q49" s="1327">
        <f ca="1">C29</f>
        <v>22044</v>
      </c>
      <c r="R49" s="1327" t="s">
        <v>818</v>
      </c>
    </row>
    <row r="50" spans="1:18" s="1292" customFormat="1" ht="13.5" thickBot="1">
      <c r="A50" s="922"/>
      <c r="B50" s="925"/>
      <c r="C50" s="1055"/>
      <c r="D50" s="899"/>
      <c r="E50" s="993" t="s">
        <v>697</v>
      </c>
      <c r="F50" s="994">
        <f ca="1">F7</f>
        <v>24412.78</v>
      </c>
      <c r="H50" s="682"/>
      <c r="I50" s="1328" t="s">
        <v>826</v>
      </c>
      <c r="J50" s="1335">
        <f>SUMPRODUCT((I63:I65=J47)*(J62:L62=J48)*(J63:L65))</f>
        <v>60</v>
      </c>
      <c r="K50" s="1330" t="s">
        <v>827</v>
      </c>
      <c r="L50" s="1333"/>
      <c r="M50" s="1336"/>
      <c r="O50" s="1334" t="s">
        <v>406</v>
      </c>
      <c r="P50" s="1326" t="s">
        <v>828</v>
      </c>
      <c r="Q50" s="1337">
        <f ca="1">J58</f>
        <v>0.55900000000000005</v>
      </c>
      <c r="R50" s="1327"/>
    </row>
    <row r="51" spans="1:18" s="1292" customFormat="1" ht="13.5" thickBot="1">
      <c r="A51" s="923"/>
      <c r="B51" s="925"/>
      <c r="C51" s="926"/>
      <c r="D51" s="899"/>
      <c r="E51" s="927" t="s">
        <v>698</v>
      </c>
      <c r="F51" s="295">
        <f ca="1">F8</f>
        <v>365</v>
      </c>
      <c r="I51" s="1338" t="s">
        <v>829</v>
      </c>
      <c r="J51" s="1331">
        <f>IF(J49="",J50,J49+J50-YEAR('数据-取费表'!B2))</f>
        <v>60</v>
      </c>
      <c r="K51" s="1339" t="s">
        <v>830</v>
      </c>
      <c r="L51" s="1340">
        <f ca="1">ROUND(-PV(INDIRECT("'数据-取费表'!h"&amp;$G$1),J51,(C39-C13*C76),0),0)</f>
        <v>3971</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26.45</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26.45</v>
      </c>
      <c r="K53" s="3355" t="s">
        <v>837</v>
      </c>
      <c r="L53" s="3356"/>
      <c r="O53" s="1325" t="s">
        <v>409</v>
      </c>
      <c r="P53" s="1326" t="s">
        <v>838</v>
      </c>
      <c r="Q53" s="1327">
        <f ca="1">Q47+Q48</f>
        <v>30864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0.55900000000000005</v>
      </c>
      <c r="K55" s="1350" t="s">
        <v>841</v>
      </c>
      <c r="L55" s="1351"/>
      <c r="O55" s="1318" t="s">
        <v>811</v>
      </c>
      <c r="P55" s="1319" t="s">
        <v>812</v>
      </c>
      <c r="Q55" s="1320" t="s">
        <v>813</v>
      </c>
      <c r="R55" s="1320" t="s">
        <v>814</v>
      </c>
    </row>
    <row r="56" spans="1:18" s="1292" customFormat="1" ht="25.5" thickTop="1" thickBot="1">
      <c r="A56" s="903">
        <v>2</v>
      </c>
      <c r="B56" s="904" t="s">
        <v>704</v>
      </c>
      <c r="C56" s="224">
        <f ca="1">C13</f>
        <v>21603</v>
      </c>
      <c r="D56" s="1352"/>
      <c r="E56" s="1353"/>
      <c r="F56" s="1345"/>
      <c r="I56" s="1354" t="s">
        <v>842</v>
      </c>
      <c r="J56" s="1355" t="s">
        <v>3438</v>
      </c>
      <c r="K56" s="1328" t="s">
        <v>843</v>
      </c>
      <c r="L56" s="1331" t="str">
        <f ca="1">IF(L48&lt;J51,"——",L48-J53)</f>
        <v>——</v>
      </c>
      <c r="O56" s="1325" t="s">
        <v>403</v>
      </c>
      <c r="P56" s="1326" t="s">
        <v>817</v>
      </c>
      <c r="Q56" s="1327">
        <f ca="1">C40+J29</f>
        <v>29044</v>
      </c>
      <c r="R56" s="1327" t="s">
        <v>818</v>
      </c>
    </row>
    <row r="57" spans="1:18" s="1292" customFormat="1" ht="24.75" thickBot="1">
      <c r="A57" s="1356"/>
      <c r="B57" s="896" t="s">
        <v>767</v>
      </c>
      <c r="C57" s="230">
        <f ca="1">C29</f>
        <v>22044</v>
      </c>
      <c r="D57" s="1357"/>
      <c r="E57" s="1358"/>
      <c r="F57" s="1359"/>
      <c r="I57" s="1360" t="s">
        <v>844</v>
      </c>
      <c r="J57" s="1361">
        <f ca="1">IF(OR(M47="住宅",J51&lt;L48,J56="是"),"——",J51-L48)</f>
        <v>33.549999999999997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72</v>
      </c>
      <c r="D58" s="906" t="s">
        <v>715</v>
      </c>
      <c r="E58" s="907"/>
      <c r="F58" s="908"/>
      <c r="I58" s="1360" t="s">
        <v>848</v>
      </c>
      <c r="J58" s="1362">
        <f ca="1">IF(J55&lt;0.4,0.4,J55)</f>
        <v>0.55900000000000005</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6</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12323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1820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6.11</v>
      </c>
      <c r="D62" s="911" t="s">
        <v>786</v>
      </c>
      <c r="E62" s="896" t="s">
        <v>787</v>
      </c>
      <c r="F62" s="317">
        <f t="shared" si="0"/>
        <v>3</v>
      </c>
      <c r="I62" s="1367" t="s">
        <v>858</v>
      </c>
      <c r="J62" s="610" t="s">
        <v>859</v>
      </c>
      <c r="K62" s="610" t="s">
        <v>860</v>
      </c>
      <c r="L62" s="610" t="s">
        <v>861</v>
      </c>
      <c r="M62" s="1368" t="s">
        <v>862</v>
      </c>
      <c r="O62" s="1325" t="s">
        <v>409</v>
      </c>
      <c r="P62" s="1326" t="s">
        <v>863</v>
      </c>
      <c r="Q62" s="1327">
        <f ca="1">Q56+Q57</f>
        <v>29044</v>
      </c>
      <c r="R62" s="1327" t="s">
        <v>410</v>
      </c>
    </row>
    <row r="63" spans="1:18" s="1292" customFormat="1" ht="13.5" thickBot="1">
      <c r="A63" s="318"/>
      <c r="B63" s="902"/>
      <c r="C63" s="26"/>
      <c r="D63" s="912"/>
      <c r="E63" s="896" t="s">
        <v>788</v>
      </c>
      <c r="F63" s="295">
        <f t="shared" ca="1" si="0"/>
        <v>20352.8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44.09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21.6</v>
      </c>
      <c r="D65" s="910" t="s">
        <v>743</v>
      </c>
      <c r="E65" s="896" t="s">
        <v>744</v>
      </c>
      <c r="F65" s="321">
        <f t="shared" ca="1" si="0"/>
        <v>1E-3</v>
      </c>
      <c r="I65" s="1367" t="s">
        <v>867</v>
      </c>
      <c r="J65" s="610">
        <v>40</v>
      </c>
      <c r="K65" s="610">
        <v>30</v>
      </c>
      <c r="L65" s="610">
        <v>50</v>
      </c>
      <c r="M65" s="1369">
        <v>0.02</v>
      </c>
      <c r="O65" s="1325" t="s">
        <v>403</v>
      </c>
      <c r="P65" s="1326" t="s">
        <v>868</v>
      </c>
      <c r="Q65" s="1327">
        <f ca="1">C40+J29</f>
        <v>29044</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-72</v>
      </c>
      <c r="D67" s="909" t="s">
        <v>753</v>
      </c>
      <c r="E67" s="914"/>
      <c r="F67" s="915"/>
      <c r="O67" s="1334" t="s">
        <v>405</v>
      </c>
      <c r="P67" s="1326" t="s">
        <v>850</v>
      </c>
      <c r="Q67" s="1370">
        <f ca="1">L51</f>
        <v>3971</v>
      </c>
      <c r="R67" s="1327" t="s">
        <v>870</v>
      </c>
    </row>
    <row r="68" spans="1:18" s="1292" customFormat="1" ht="16.5" thickBot="1">
      <c r="A68" s="893" t="s">
        <v>395</v>
      </c>
      <c r="B68" s="894" t="s">
        <v>774</v>
      </c>
      <c r="C68" s="293">
        <f ca="1">ROUND(C67*(1-((1+F70)/(1+F68))^F69)/(F68-F70),0)</f>
        <v>-991</v>
      </c>
      <c r="D68" s="911" t="s">
        <v>758</v>
      </c>
      <c r="E68" s="896" t="s">
        <v>759</v>
      </c>
      <c r="F68" s="304">
        <f ca="1">F40</f>
        <v>5.5E-2</v>
      </c>
      <c r="O68" s="1334" t="s">
        <v>406</v>
      </c>
      <c r="P68" s="1371" t="s">
        <v>871</v>
      </c>
      <c r="Q68" s="1327">
        <f ca="1">ROUND(Q69-Q70*Q71,0)</f>
        <v>210</v>
      </c>
      <c r="R68" s="1327" t="s">
        <v>414</v>
      </c>
    </row>
    <row r="69" spans="1:18" s="1292" customFormat="1" ht="13.5" thickBot="1">
      <c r="A69" s="897"/>
      <c r="B69" s="898"/>
      <c r="C69" s="298"/>
      <c r="D69" s="916" t="s">
        <v>762</v>
      </c>
      <c r="E69" s="896" t="s">
        <v>763</v>
      </c>
      <c r="F69" s="324">
        <f ca="1">F41</f>
        <v>26.45</v>
      </c>
      <c r="O69" s="1334" t="s">
        <v>411</v>
      </c>
      <c r="P69" s="1371" t="s">
        <v>872</v>
      </c>
      <c r="Q69" s="1327">
        <f ca="1">C39</f>
        <v>1722</v>
      </c>
      <c r="R69" s="1327" t="s">
        <v>818</v>
      </c>
    </row>
    <row r="70" spans="1:18" s="1292" customFormat="1" ht="13.5" thickBot="1">
      <c r="A70" s="900"/>
      <c r="B70" s="901"/>
      <c r="C70" s="302"/>
      <c r="D70" s="912"/>
      <c r="E70" s="896" t="s">
        <v>766</v>
      </c>
      <c r="F70" s="991"/>
      <c r="O70" s="1334" t="s">
        <v>412</v>
      </c>
      <c r="P70" s="1371" t="s">
        <v>873</v>
      </c>
      <c r="Q70" s="1327">
        <f ca="1">C13</f>
        <v>21603</v>
      </c>
      <c r="R70" s="1327" t="s">
        <v>818</v>
      </c>
    </row>
    <row r="71" spans="1:18" s="1292" customFormat="1" ht="13.5" thickBot="1">
      <c r="A71" s="917" t="s">
        <v>396</v>
      </c>
      <c r="B71" s="918" t="s">
        <v>776</v>
      </c>
      <c r="C71" s="327">
        <f ca="1">ROUND(C68*10000/F71,0)</f>
        <v>-282</v>
      </c>
      <c r="D71" s="919" t="s">
        <v>777</v>
      </c>
      <c r="E71" s="920" t="s">
        <v>778</v>
      </c>
      <c r="F71" s="330">
        <f ca="1">F43</f>
        <v>35200.39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1512</v>
      </c>
      <c r="D75" s="1292"/>
      <c r="E75" s="1292"/>
      <c r="F75" s="1292"/>
      <c r="K75" s="1309"/>
      <c r="L75" s="1292"/>
      <c r="O75" s="1325" t="s">
        <v>409</v>
      </c>
      <c r="P75" s="1326" t="s">
        <v>838</v>
      </c>
      <c r="Q75" s="1327">
        <f ca="1">Q65+Q66</f>
        <v>29044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0.122</v>
      </c>
    </row>
    <row r="80" spans="1:18">
      <c r="B80" s="331" t="s">
        <v>800</v>
      </c>
      <c r="C80" s="266">
        <f ca="1">ROUND(C75/C39,3)</f>
        <v>0.878</v>
      </c>
    </row>
    <row r="81" spans="2:3">
      <c r="B81" s="262" t="s">
        <v>801</v>
      </c>
      <c r="C81" s="230"/>
    </row>
    <row r="82" spans="2:3">
      <c r="B82" s="265" t="s">
        <v>802</v>
      </c>
      <c r="C82" s="267">
        <f ca="1">1-C83</f>
        <v>0.25600000000000001</v>
      </c>
    </row>
    <row r="83" spans="2:3">
      <c r="B83" s="265" t="s">
        <v>803</v>
      </c>
      <c r="C83" s="266">
        <f ca="1">ROUND(C13/C40,3)</f>
        <v>0.74399999999999999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0</v>
      </c>
      <c r="D6" s="147" t="s">
        <v>2106</v>
      </c>
      <c r="E6" s="294" t="s">
        <v>696</v>
      </c>
      <c r="F6" s="295">
        <f ca="1">INDIRECT("'数据-取费表'!u"&amp;$G$1)</f>
        <v>0</v>
      </c>
      <c r="G6" s="1292"/>
      <c r="H6" s="1006" t="s">
        <v>398</v>
      </c>
      <c r="I6" s="3357" t="s">
        <v>694</v>
      </c>
      <c r="J6" s="293">
        <f ca="1">ROUND(M6*M8*M7*(1-M9),0)</f>
        <v>0</v>
      </c>
      <c r="K6" s="1284"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66" t="s">
        <v>2317</v>
      </c>
      <c r="K2" s="3367"/>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68" t="s">
        <v>2327</v>
      </c>
      <c r="K3" s="3369"/>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68" t="s">
        <v>2329</v>
      </c>
      <c r="K4" s="3369"/>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74" t="s">
        <v>2333</v>
      </c>
      <c r="B6" s="3375"/>
      <c r="C6" s="3376"/>
      <c r="D6" s="2622"/>
      <c r="E6" s="2623"/>
      <c r="F6" s="2624"/>
      <c r="G6" s="2625"/>
      <c r="H6" s="2600"/>
      <c r="I6" s="2601"/>
      <c r="J6" s="3360">
        <v>1</v>
      </c>
      <c r="K6" s="3361"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0"/>
      <c r="K7" s="3362"/>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77" t="s">
        <v>2347</v>
      </c>
      <c r="C8" s="3378"/>
      <c r="D8" s="2641" t="s">
        <v>2348</v>
      </c>
      <c r="E8" s="2642" t="s">
        <v>2349</v>
      </c>
      <c r="F8" s="2643" t="s">
        <v>2350</v>
      </c>
      <c r="G8" s="2644"/>
      <c r="H8" s="2600"/>
      <c r="I8" s="2601"/>
      <c r="J8" s="3360"/>
      <c r="K8" s="3362"/>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77" t="s">
        <v>2353</v>
      </c>
      <c r="C9" s="3378"/>
      <c r="D9" s="2641">
        <f>ROUND(D6*E9,0)</f>
        <v>0</v>
      </c>
      <c r="E9" s="2645"/>
      <c r="F9" s="2646" t="s">
        <v>2354</v>
      </c>
      <c r="G9" s="2625"/>
      <c r="H9" s="2600"/>
      <c r="I9" s="2601"/>
      <c r="J9" s="3360"/>
      <c r="K9" s="3362"/>
      <c r="L9" s="2635" t="s">
        <v>2355</v>
      </c>
      <c r="M9" s="2636"/>
      <c r="N9" s="2612"/>
      <c r="O9" s="2637"/>
      <c r="P9" s="2637"/>
      <c r="Q9" s="2638">
        <v>365</v>
      </c>
      <c r="R9" s="2639">
        <f t="shared" si="0"/>
        <v>0</v>
      </c>
      <c r="S9" s="2593"/>
      <c r="T9" s="2593"/>
      <c r="U9" s="2593"/>
      <c r="V9" s="2601"/>
    </row>
    <row r="10" spans="1:22" s="2605" customFormat="1" ht="13.15" customHeight="1">
      <c r="A10" s="2640">
        <v>2</v>
      </c>
      <c r="B10" s="3377" t="s">
        <v>2356</v>
      </c>
      <c r="C10" s="3378"/>
      <c r="D10" s="2641">
        <f>ROUND(D6*E10,0)</f>
        <v>0</v>
      </c>
      <c r="E10" s="2645"/>
      <c r="F10" s="2646" t="s">
        <v>2357</v>
      </c>
      <c r="G10" s="2625"/>
      <c r="H10" s="2600"/>
      <c r="I10" s="2601"/>
      <c r="J10" s="3360"/>
      <c r="K10" s="3362"/>
      <c r="L10" s="2635" t="s">
        <v>2358</v>
      </c>
      <c r="M10" s="2636"/>
      <c r="N10" s="2612"/>
      <c r="O10" s="2637"/>
      <c r="P10" s="2637"/>
      <c r="Q10" s="2638">
        <v>365</v>
      </c>
      <c r="R10" s="2639">
        <f t="shared" si="0"/>
        <v>0</v>
      </c>
      <c r="S10" s="2593"/>
      <c r="T10" s="2593"/>
      <c r="U10" s="2593"/>
      <c r="V10" s="2601"/>
    </row>
    <row r="11" spans="1:22" s="2605" customFormat="1" ht="13.15" customHeight="1">
      <c r="A11" s="2640">
        <v>3</v>
      </c>
      <c r="B11" s="3377" t="s">
        <v>2359</v>
      </c>
      <c r="C11" s="3378"/>
      <c r="D11" s="2641">
        <f>D12+D14+D15+D16</f>
        <v>0</v>
      </c>
      <c r="E11" s="2647" t="e">
        <f>D11/D6</f>
        <v>#DIV/0!</v>
      </c>
      <c r="F11" s="2643"/>
      <c r="G11" s="2644"/>
      <c r="H11" s="2600"/>
      <c r="I11" s="2601"/>
      <c r="J11" s="3360"/>
      <c r="K11" s="3362"/>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0" t="s">
        <v>2362</v>
      </c>
      <c r="C12" s="3371"/>
      <c r="D12" s="2649">
        <f>ROUND(D13*1.2%*(1-30%),0)</f>
        <v>0</v>
      </c>
      <c r="E12" s="2650">
        <v>1.2E-2</v>
      </c>
      <c r="F12" s="2643" t="s">
        <v>2363</v>
      </c>
      <c r="G12" s="2644"/>
      <c r="H12" s="2600"/>
      <c r="I12" s="2601"/>
      <c r="J12" s="3360"/>
      <c r="K12" s="3362"/>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0"/>
      <c r="K13" s="3362"/>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0" t="s">
        <v>2368</v>
      </c>
      <c r="C14" s="3371"/>
      <c r="D14" s="2649">
        <f>ROUND(E14*B5/10000,0)</f>
        <v>0</v>
      </c>
      <c r="E14" s="2638"/>
      <c r="F14" s="2643" t="s">
        <v>2369</v>
      </c>
      <c r="G14" s="2644"/>
      <c r="H14" s="2600"/>
      <c r="I14" s="2601"/>
      <c r="J14" s="3360"/>
      <c r="K14" s="3363"/>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0" t="s">
        <v>2372</v>
      </c>
      <c r="C15" s="3371"/>
      <c r="D15" s="2649">
        <f>ROUND(D6*E15,0)</f>
        <v>0</v>
      </c>
      <c r="E15" s="2650">
        <v>5.5E-2</v>
      </c>
      <c r="F15" s="2643" t="s">
        <v>2373</v>
      </c>
      <c r="G15" s="2625"/>
      <c r="H15" s="2600"/>
      <c r="I15" s="2601"/>
      <c r="J15" s="3360">
        <v>2</v>
      </c>
      <c r="K15" s="3361"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0" t="s">
        <v>2381</v>
      </c>
      <c r="C16" s="3371"/>
      <c r="D16" s="2660">
        <f>D6*E16</f>
        <v>0</v>
      </c>
      <c r="E16" s="2661"/>
      <c r="F16" s="2646" t="s">
        <v>2382</v>
      </c>
      <c r="G16" s="2625"/>
      <c r="H16" s="2600"/>
      <c r="I16" s="2601"/>
      <c r="J16" s="3360"/>
      <c r="K16" s="3362"/>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72" t="s">
        <v>2384</v>
      </c>
      <c r="C17" s="3373"/>
      <c r="D17" s="2663">
        <f>ROUND(D6*E17,0)</f>
        <v>0</v>
      </c>
      <c r="E17" s="2664"/>
      <c r="F17" s="2665" t="s">
        <v>2385</v>
      </c>
      <c r="G17" s="2625"/>
      <c r="H17" s="2600"/>
      <c r="I17" s="2601"/>
      <c r="J17" s="3360"/>
      <c r="K17" s="3362"/>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0"/>
      <c r="K18" s="3362"/>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0"/>
      <c r="K19" s="3363"/>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0"/>
      <c r="K21" s="3362"/>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0"/>
      <c r="K22" s="3362"/>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0"/>
      <c r="K23" s="3362"/>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0"/>
      <c r="K24" s="3363"/>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64">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6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66" t="s">
        <v>2317</v>
      </c>
      <c r="K32" s="3367"/>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68" t="s">
        <v>2327</v>
      </c>
      <c r="K33" s="3369"/>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68" t="s">
        <v>2329</v>
      </c>
      <c r="K34" s="336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0">
        <v>1</v>
      </c>
      <c r="K36" s="3361"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0"/>
      <c r="K40" s="3363"/>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4">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6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30864</v>
      </c>
      <c r="C2" s="1729" t="s">
        <v>1651</v>
      </c>
      <c r="D2" s="1730" t="s">
        <v>1652</v>
      </c>
      <c r="E2" s="2393">
        <f>SUM(E6:E13)</f>
        <v>35200.39</v>
      </c>
      <c r="F2" s="2480"/>
      <c r="G2" s="459"/>
      <c r="H2" s="459"/>
      <c r="I2" s="459"/>
      <c r="J2" s="459"/>
      <c r="K2" s="459"/>
      <c r="L2" s="459"/>
      <c r="M2" s="459"/>
      <c r="N2" s="459"/>
      <c r="O2" s="459"/>
      <c r="P2" s="459"/>
      <c r="Q2" s="459"/>
      <c r="R2" s="459"/>
      <c r="S2" s="459"/>
    </row>
    <row r="3" spans="1:22" ht="15.75">
      <c r="A3" s="1728" t="s">
        <v>686</v>
      </c>
      <c r="B3" s="2387">
        <f ca="1">ROUND(B2*10000/E2,0)</f>
        <v>8768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9" t="s">
        <v>1654</v>
      </c>
      <c r="C5" s="3380"/>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30864</v>
      </c>
      <c r="C6" s="1729" t="s">
        <v>1651</v>
      </c>
      <c r="D6" s="2480"/>
      <c r="E6" s="2392">
        <f>IF(OR(A6=0,F6="否"),0,'数据-取费表'!K6+'数据-取费表'!S6)</f>
        <v>35200.39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35200.39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9" t="s">
        <v>1667</v>
      </c>
      <c r="D4" s="3400"/>
      <c r="E4" s="3401" t="s">
        <v>1668</v>
      </c>
      <c r="F4" s="3402"/>
      <c r="G4" s="3399" t="s">
        <v>1669</v>
      </c>
      <c r="H4" s="3400"/>
      <c r="I4" s="3399" t="s">
        <v>1670</v>
      </c>
      <c r="J4" s="3400"/>
      <c r="K4" s="1744" t="s">
        <v>1671</v>
      </c>
      <c r="L4" s="2487"/>
      <c r="M4" s="2488"/>
      <c r="N4" s="2488"/>
      <c r="O4" s="2488"/>
      <c r="P4" s="3403" t="s">
        <v>1672</v>
      </c>
      <c r="Q4" s="3404"/>
      <c r="R4" s="3409" t="s">
        <v>1668</v>
      </c>
      <c r="S4" s="3410"/>
      <c r="T4" s="3409" t="s">
        <v>1669</v>
      </c>
      <c r="U4" s="3410"/>
      <c r="V4" s="3385" t="s">
        <v>1670</v>
      </c>
      <c r="W4" s="3385"/>
      <c r="X4" s="1265"/>
      <c r="Y4" s="3409" t="s">
        <v>1672</v>
      </c>
      <c r="Z4" s="3410"/>
      <c r="AA4" s="3396" t="s">
        <v>1668</v>
      </c>
      <c r="AB4" s="3396" t="s">
        <v>1669</v>
      </c>
      <c r="AC4" s="3396" t="s">
        <v>1670</v>
      </c>
    </row>
    <row r="5" spans="1:29" ht="15">
      <c r="A5" s="348"/>
      <c r="B5" s="349"/>
      <c r="C5" s="3417" t="s">
        <v>1673</v>
      </c>
      <c r="D5" s="3418"/>
      <c r="E5" s="3424" t="s">
        <v>1674</v>
      </c>
      <c r="F5" s="3425"/>
      <c r="G5" s="3417" t="s">
        <v>1675</v>
      </c>
      <c r="H5" s="3418"/>
      <c r="I5" s="3417" t="s">
        <v>1676</v>
      </c>
      <c r="J5" s="3418"/>
      <c r="K5" s="1745"/>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1745"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46007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9" t="s">
        <v>1680</v>
      </c>
      <c r="Q7" s="3421"/>
      <c r="R7" s="664" t="s">
        <v>20</v>
      </c>
      <c r="S7" s="665">
        <f t="shared" ref="S7:S15" si="0">F7</f>
        <v>0</v>
      </c>
      <c r="T7" s="664" t="s">
        <v>20</v>
      </c>
      <c r="U7" s="665">
        <f t="shared" ref="U7:U15" si="1">H7</f>
        <v>0</v>
      </c>
      <c r="V7" s="664" t="s">
        <v>20</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5"/>
      <c r="Q11" s="530" t="str">
        <f t="shared" si="6"/>
        <v>容积率</v>
      </c>
      <c r="R11" s="664" t="s">
        <v>18</v>
      </c>
      <c r="S11" s="665" t="e">
        <f t="shared" si="0"/>
        <v>#N/A</v>
      </c>
      <c r="T11" s="664" t="s">
        <v>18</v>
      </c>
      <c r="U11" s="665" t="e">
        <f t="shared" si="1"/>
        <v>#N/A</v>
      </c>
      <c r="V11" s="664" t="s">
        <v>18</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5"/>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5"/>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5"/>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3" t="s">
        <v>1691</v>
      </c>
      <c r="Q15" s="1263" t="str">
        <f t="shared" si="6"/>
        <v>居住社区成熟度</v>
      </c>
      <c r="R15" s="667" t="s">
        <v>18</v>
      </c>
      <c r="S15" s="668">
        <f t="shared" si="0"/>
        <v>100</v>
      </c>
      <c r="T15" s="667" t="s">
        <v>18</v>
      </c>
      <c r="U15" s="668">
        <f t="shared" si="1"/>
        <v>100</v>
      </c>
      <c r="V15" s="667" t="s">
        <v>18</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4"/>
      <c r="Q16" s="1263"/>
      <c r="R16" s="667"/>
      <c r="S16" s="668"/>
      <c r="T16" s="667"/>
      <c r="U16" s="668"/>
      <c r="V16" s="667"/>
      <c r="W16" s="668"/>
      <c r="X16" s="1265"/>
      <c r="Y16" s="338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4"/>
      <c r="Q17" s="1263" t="str">
        <f>B17</f>
        <v>交通便捷度</v>
      </c>
      <c r="R17" s="667" t="s">
        <v>18</v>
      </c>
      <c r="S17" s="668">
        <f>F17</f>
        <v>100</v>
      </c>
      <c r="T17" s="667" t="s">
        <v>18</v>
      </c>
      <c r="U17" s="668">
        <f>H17</f>
        <v>100</v>
      </c>
      <c r="V17" s="667" t="s">
        <v>18</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4"/>
      <c r="Q18" s="1263"/>
      <c r="R18" s="667"/>
      <c r="S18" s="668"/>
      <c r="T18" s="667"/>
      <c r="U18" s="668"/>
      <c r="V18" s="667"/>
      <c r="W18" s="668"/>
      <c r="X18" s="1265"/>
      <c r="Y18" s="338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4"/>
      <c r="Q19" s="1263" t="str">
        <f>B19</f>
        <v>公共配套设施</v>
      </c>
      <c r="R19" s="667" t="s">
        <v>18</v>
      </c>
      <c r="S19" s="668">
        <f>F19</f>
        <v>100</v>
      </c>
      <c r="T19" s="667" t="s">
        <v>18</v>
      </c>
      <c r="U19" s="668">
        <f>H19</f>
        <v>100</v>
      </c>
      <c r="V19" s="667" t="s">
        <v>18</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4"/>
      <c r="Q20" s="1263"/>
      <c r="R20" s="667"/>
      <c r="S20" s="668"/>
      <c r="T20" s="667"/>
      <c r="U20" s="668"/>
      <c r="V20" s="667"/>
      <c r="W20" s="668"/>
      <c r="X20" s="1265"/>
      <c r="Y20" s="338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4"/>
      <c r="Q22" s="1263"/>
      <c r="R22" s="667"/>
      <c r="S22" s="668"/>
      <c r="T22" s="667"/>
      <c r="U22" s="668"/>
      <c r="V22" s="667"/>
      <c r="W22" s="668"/>
      <c r="X22" s="1265"/>
      <c r="Y22" s="338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4"/>
      <c r="Q23" s="1263" t="str">
        <f>B23</f>
        <v>自然及人文环境</v>
      </c>
      <c r="R23" s="667" t="s">
        <v>18</v>
      </c>
      <c r="S23" s="668">
        <f>F23</f>
        <v>100</v>
      </c>
      <c r="T23" s="667" t="s">
        <v>18</v>
      </c>
      <c r="U23" s="668">
        <f>H23</f>
        <v>100</v>
      </c>
      <c r="V23" s="667" t="s">
        <v>18</v>
      </c>
      <c r="W23" s="668">
        <f>J23</f>
        <v>100</v>
      </c>
      <c r="X23" s="1265"/>
      <c r="Y23" s="338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4"/>
      <c r="Q26" s="1263" t="str">
        <f t="shared" si="11"/>
        <v>朝向</v>
      </c>
      <c r="R26" s="667" t="s">
        <v>18</v>
      </c>
      <c r="S26" s="668">
        <f t="shared" si="12"/>
        <v>100</v>
      </c>
      <c r="T26" s="667" t="s">
        <v>18</v>
      </c>
      <c r="U26" s="668">
        <f t="shared" si="13"/>
        <v>100</v>
      </c>
      <c r="V26" s="667" t="s">
        <v>18</v>
      </c>
      <c r="W26" s="668">
        <f t="shared" si="14"/>
        <v>100</v>
      </c>
      <c r="X26" s="1265"/>
      <c r="Y26" s="338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4"/>
      <c r="Q27" s="530">
        <f t="shared" si="11"/>
        <v>111</v>
      </c>
      <c r="R27" s="664" t="s">
        <v>18</v>
      </c>
      <c r="S27" s="665">
        <f t="shared" si="12"/>
        <v>100</v>
      </c>
      <c r="T27" s="664" t="s">
        <v>18</v>
      </c>
      <c r="U27" s="665">
        <f t="shared" si="13"/>
        <v>100</v>
      </c>
      <c r="V27" s="664" t="s">
        <v>18</v>
      </c>
      <c r="W27" s="665">
        <f t="shared" si="14"/>
        <v>100</v>
      </c>
      <c r="X27" s="666"/>
      <c r="Y27" s="338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4"/>
      <c r="Q28" s="1263">
        <f t="shared" si="11"/>
        <v>111</v>
      </c>
      <c r="R28" s="667" t="s">
        <v>18</v>
      </c>
      <c r="S28" s="668">
        <f t="shared" si="12"/>
        <v>100</v>
      </c>
      <c r="T28" s="667" t="s">
        <v>18</v>
      </c>
      <c r="U28" s="668">
        <f t="shared" si="13"/>
        <v>100</v>
      </c>
      <c r="V28" s="667" t="s">
        <v>18</v>
      </c>
      <c r="W28" s="668">
        <f t="shared" si="14"/>
        <v>100</v>
      </c>
      <c r="X28" s="1265"/>
      <c r="Y28" s="338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4"/>
      <c r="Q29" s="1263">
        <f t="shared" si="11"/>
        <v>111</v>
      </c>
      <c r="R29" s="667" t="s">
        <v>18</v>
      </c>
      <c r="S29" s="668">
        <f t="shared" si="12"/>
        <v>100</v>
      </c>
      <c r="T29" s="667" t="s">
        <v>18</v>
      </c>
      <c r="U29" s="668">
        <f t="shared" si="13"/>
        <v>100</v>
      </c>
      <c r="V29" s="667" t="s">
        <v>18</v>
      </c>
      <c r="W29" s="668">
        <f t="shared" si="14"/>
        <v>100</v>
      </c>
      <c r="X29" s="1265"/>
      <c r="Y29" s="338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4"/>
      <c r="Q30" s="1263">
        <f t="shared" si="11"/>
        <v>111</v>
      </c>
      <c r="R30" s="667" t="s">
        <v>18</v>
      </c>
      <c r="S30" s="668">
        <f t="shared" si="12"/>
        <v>100</v>
      </c>
      <c r="T30" s="667" t="s">
        <v>18</v>
      </c>
      <c r="U30" s="668">
        <f t="shared" si="13"/>
        <v>100</v>
      </c>
      <c r="V30" s="667" t="s">
        <v>18</v>
      </c>
      <c r="W30" s="668">
        <f t="shared" si="14"/>
        <v>100</v>
      </c>
      <c r="X30" s="1265"/>
      <c r="Y30" s="338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4"/>
      <c r="Q31" s="1263">
        <f t="shared" si="11"/>
        <v>111</v>
      </c>
      <c r="R31" s="667" t="s">
        <v>18</v>
      </c>
      <c r="S31" s="668">
        <f t="shared" si="12"/>
        <v>100</v>
      </c>
      <c r="T31" s="667" t="s">
        <v>18</v>
      </c>
      <c r="U31" s="668">
        <f t="shared" si="13"/>
        <v>100</v>
      </c>
      <c r="V31" s="667" t="s">
        <v>18</v>
      </c>
      <c r="W31" s="668">
        <f t="shared" si="14"/>
        <v>100</v>
      </c>
      <c r="X31" s="1265"/>
      <c r="Y31" s="338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8" t="s">
        <v>1696</v>
      </c>
      <c r="Q32" s="1263" t="str">
        <f t="shared" si="11"/>
        <v>建筑类型</v>
      </c>
      <c r="R32" s="667" t="s">
        <v>18</v>
      </c>
      <c r="S32" s="668">
        <f t="shared" si="12"/>
        <v>100</v>
      </c>
      <c r="T32" s="667" t="s">
        <v>18</v>
      </c>
      <c r="U32" s="668">
        <f t="shared" si="13"/>
        <v>100</v>
      </c>
      <c r="V32" s="667" t="s">
        <v>18</v>
      </c>
      <c r="W32" s="668">
        <f t="shared" si="14"/>
        <v>100</v>
      </c>
      <c r="X32" s="1265"/>
      <c r="Y32" s="339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9"/>
      <c r="Q33" s="531" t="str">
        <f t="shared" si="11"/>
        <v>项目建筑规模</v>
      </c>
      <c r="R33" s="669" t="s">
        <v>18</v>
      </c>
      <c r="S33" s="670" t="e">
        <f t="shared" si="12"/>
        <v>#N/A</v>
      </c>
      <c r="T33" s="669" t="s">
        <v>18</v>
      </c>
      <c r="U33" s="670" t="e">
        <f t="shared" si="13"/>
        <v>#N/A</v>
      </c>
      <c r="V33" s="669" t="s">
        <v>18</v>
      </c>
      <c r="W33" s="670" t="e">
        <f t="shared" si="14"/>
        <v>#N/A</v>
      </c>
      <c r="X33" s="671"/>
      <c r="Y33" s="339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9"/>
      <c r="Q34" s="1263" t="str">
        <f t="shared" si="11"/>
        <v>建筑结构</v>
      </c>
      <c r="R34" s="667" t="s">
        <v>18</v>
      </c>
      <c r="S34" s="668">
        <f t="shared" si="12"/>
        <v>100</v>
      </c>
      <c r="T34" s="667" t="s">
        <v>18</v>
      </c>
      <c r="U34" s="668">
        <f t="shared" si="13"/>
        <v>100</v>
      </c>
      <c r="V34" s="667" t="s">
        <v>18</v>
      </c>
      <c r="W34" s="668">
        <f t="shared" si="14"/>
        <v>100</v>
      </c>
      <c r="X34" s="1265"/>
      <c r="Y34" s="339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9"/>
      <c r="Q35" s="1263" t="str">
        <f t="shared" si="11"/>
        <v>建筑品质</v>
      </c>
      <c r="R35" s="667" t="s">
        <v>18</v>
      </c>
      <c r="S35" s="668">
        <f t="shared" si="12"/>
        <v>100</v>
      </c>
      <c r="T35" s="667" t="s">
        <v>18</v>
      </c>
      <c r="U35" s="668">
        <f t="shared" si="13"/>
        <v>100</v>
      </c>
      <c r="V35" s="667" t="s">
        <v>18</v>
      </c>
      <c r="W35" s="668">
        <f t="shared" si="14"/>
        <v>100</v>
      </c>
      <c r="X35" s="1265"/>
      <c r="Y35" s="339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9"/>
      <c r="Q36" s="1263" t="str">
        <f t="shared" si="11"/>
        <v>公共部分装修</v>
      </c>
      <c r="R36" s="667" t="s">
        <v>18</v>
      </c>
      <c r="S36" s="668">
        <f t="shared" si="12"/>
        <v>100</v>
      </c>
      <c r="T36" s="667" t="s">
        <v>18</v>
      </c>
      <c r="U36" s="668">
        <f t="shared" si="13"/>
        <v>100</v>
      </c>
      <c r="V36" s="667" t="s">
        <v>18</v>
      </c>
      <c r="W36" s="668">
        <f t="shared" si="14"/>
        <v>100</v>
      </c>
      <c r="X36" s="1265"/>
      <c r="Y36" s="339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9"/>
      <c r="Q37" s="530" t="str">
        <f t="shared" si="11"/>
        <v>成新度</v>
      </c>
      <c r="R37" s="664" t="s">
        <v>18</v>
      </c>
      <c r="S37" s="665" t="e">
        <f t="shared" si="12"/>
        <v>#N/A</v>
      </c>
      <c r="T37" s="664" t="s">
        <v>18</v>
      </c>
      <c r="U37" s="665" t="e">
        <f t="shared" si="13"/>
        <v>#N/A</v>
      </c>
      <c r="V37" s="664" t="s">
        <v>18</v>
      </c>
      <c r="W37" s="665" t="e">
        <f t="shared" si="14"/>
        <v>#N/A</v>
      </c>
      <c r="X37" s="666"/>
      <c r="Y37" s="339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9" t="s">
        <v>1696</v>
      </c>
      <c r="Q38" s="1263" t="str">
        <f t="shared" si="11"/>
        <v>物业管理</v>
      </c>
      <c r="R38" s="667" t="s">
        <v>18</v>
      </c>
      <c r="S38" s="668">
        <f t="shared" si="12"/>
        <v>100</v>
      </c>
      <c r="T38" s="667" t="s">
        <v>18</v>
      </c>
      <c r="U38" s="668">
        <f t="shared" si="13"/>
        <v>100</v>
      </c>
      <c r="V38" s="667" t="s">
        <v>18</v>
      </c>
      <c r="W38" s="668">
        <f t="shared" si="14"/>
        <v>100</v>
      </c>
      <c r="X38" s="1265"/>
      <c r="Y38" s="339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9"/>
      <c r="Q39" s="1263" t="str">
        <f t="shared" si="11"/>
        <v>市政基础设施</v>
      </c>
      <c r="R39" s="667" t="s">
        <v>18</v>
      </c>
      <c r="S39" s="668">
        <f t="shared" si="12"/>
        <v>100</v>
      </c>
      <c r="T39" s="667" t="s">
        <v>18</v>
      </c>
      <c r="U39" s="668">
        <f t="shared" si="13"/>
        <v>100</v>
      </c>
      <c r="V39" s="667" t="s">
        <v>18</v>
      </c>
      <c r="W39" s="668">
        <f t="shared" si="14"/>
        <v>100</v>
      </c>
      <c r="X39" s="1265"/>
      <c r="Y39" s="339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9"/>
      <c r="Q40" s="1263" t="str">
        <f t="shared" si="11"/>
        <v>房型</v>
      </c>
      <c r="R40" s="667" t="s">
        <v>18</v>
      </c>
      <c r="S40" s="668">
        <f t="shared" si="12"/>
        <v>100</v>
      </c>
      <c r="T40" s="667" t="s">
        <v>18</v>
      </c>
      <c r="U40" s="668">
        <f t="shared" si="13"/>
        <v>100</v>
      </c>
      <c r="V40" s="667" t="s">
        <v>18</v>
      </c>
      <c r="W40" s="668">
        <f t="shared" si="14"/>
        <v>100</v>
      </c>
      <c r="X40" s="1265"/>
      <c r="Y40" s="339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9"/>
      <c r="Q42" s="1263" t="str">
        <f t="shared" si="11"/>
        <v>内部装修</v>
      </c>
      <c r="R42" s="667" t="s">
        <v>18</v>
      </c>
      <c r="S42" s="668">
        <f t="shared" si="12"/>
        <v>100</v>
      </c>
      <c r="T42" s="667" t="s">
        <v>18</v>
      </c>
      <c r="U42" s="668">
        <f t="shared" si="13"/>
        <v>100</v>
      </c>
      <c r="V42" s="667" t="s">
        <v>18</v>
      </c>
      <c r="W42" s="668">
        <f t="shared" si="14"/>
        <v>100</v>
      </c>
      <c r="X42" s="1265"/>
      <c r="Y42" s="339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9"/>
      <c r="Q43" s="1263" t="str">
        <f t="shared" si="11"/>
        <v>内部装修维护情况</v>
      </c>
      <c r="R43" s="667" t="s">
        <v>18</v>
      </c>
      <c r="S43" s="668">
        <f t="shared" si="12"/>
        <v>100</v>
      </c>
      <c r="T43" s="667" t="s">
        <v>18</v>
      </c>
      <c r="U43" s="668">
        <f t="shared" si="13"/>
        <v>100</v>
      </c>
      <c r="V43" s="667" t="s">
        <v>18</v>
      </c>
      <c r="W43" s="668">
        <f t="shared" si="14"/>
        <v>100</v>
      </c>
      <c r="X43" s="1265"/>
      <c r="Y43" s="339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9"/>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9"/>
      <c r="Q45" s="1263">
        <f t="shared" si="11"/>
        <v>111</v>
      </c>
      <c r="R45" s="667" t="s">
        <v>18</v>
      </c>
      <c r="S45" s="668">
        <f t="shared" si="12"/>
        <v>100</v>
      </c>
      <c r="T45" s="667" t="s">
        <v>18</v>
      </c>
      <c r="U45" s="668">
        <f t="shared" si="13"/>
        <v>100</v>
      </c>
      <c r="V45" s="667" t="s">
        <v>18</v>
      </c>
      <c r="W45" s="668">
        <f t="shared" si="14"/>
        <v>100</v>
      </c>
      <c r="X45" s="1265"/>
      <c r="Y45" s="339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0"/>
      <c r="Q46" s="1263">
        <f t="shared" si="11"/>
        <v>111</v>
      </c>
      <c r="R46" s="667" t="s">
        <v>17</v>
      </c>
      <c r="S46" s="668">
        <f t="shared" si="12"/>
        <v>100</v>
      </c>
      <c r="T46" s="667" t="s">
        <v>17</v>
      </c>
      <c r="U46" s="668">
        <f t="shared" si="13"/>
        <v>100</v>
      </c>
      <c r="V46" s="667" t="s">
        <v>17</v>
      </c>
      <c r="W46" s="668">
        <f t="shared" si="14"/>
        <v>100</v>
      </c>
      <c r="X46" s="1265"/>
      <c r="Y46" s="339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35200.39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85"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85"/>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85"/>
      <c r="AC6" s="3398"/>
    </row>
    <row r="7" spans="1:29" s="102" customFormat="1" ht="15.75" thickBot="1">
      <c r="A7" s="352" t="s">
        <v>1679</v>
      </c>
      <c r="B7" s="353"/>
      <c r="C7" s="354">
        <f>'数据-取费表'!B2</f>
        <v>46007</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5"/>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3" t="s">
        <v>1691</v>
      </c>
      <c r="Q15" s="1263" t="str">
        <f t="shared" si="6"/>
        <v>商业繁华度</v>
      </c>
      <c r="R15" s="667" t="s">
        <v>14</v>
      </c>
      <c r="S15" s="668">
        <f t="shared" si="0"/>
        <v>100</v>
      </c>
      <c r="T15" s="667" t="s">
        <v>14</v>
      </c>
      <c r="U15" s="668">
        <f t="shared" si="1"/>
        <v>100</v>
      </c>
      <c r="V15" s="667" t="s">
        <v>14</v>
      </c>
      <c r="W15" s="668">
        <f t="shared" si="2"/>
        <v>100</v>
      </c>
      <c r="X15" s="1265"/>
      <c r="Y15" s="338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4"/>
      <c r="Q22" s="1263"/>
      <c r="R22" s="667"/>
      <c r="S22" s="668"/>
      <c r="T22" s="667"/>
      <c r="U22" s="668"/>
      <c r="V22" s="667"/>
      <c r="W22" s="668"/>
      <c r="X22" s="1265"/>
      <c r="Y22" s="3387"/>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4"/>
      <c r="Q25" s="1263" t="str">
        <f t="shared" ref="Q25:Q46" si="11">B25</f>
        <v>临街状况</v>
      </c>
      <c r="R25" s="667" t="s">
        <v>14</v>
      </c>
      <c r="S25" s="668">
        <f>F25</f>
        <v>100</v>
      </c>
      <c r="T25" s="667" t="s">
        <v>14</v>
      </c>
      <c r="U25" s="668">
        <f>H25</f>
        <v>100</v>
      </c>
      <c r="V25" s="667" t="s">
        <v>14</v>
      </c>
      <c r="W25" s="668">
        <f>J25</f>
        <v>100</v>
      </c>
      <c r="X25" s="1265"/>
      <c r="Y25" s="338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4"/>
      <c r="Q26" s="1263" t="str">
        <f t="shared" si="11"/>
        <v>平面位置/可视性</v>
      </c>
      <c r="R26" s="667" t="s">
        <v>14</v>
      </c>
      <c r="S26" s="668">
        <f>F26</f>
        <v>100</v>
      </c>
      <c r="T26" s="667" t="s">
        <v>14</v>
      </c>
      <c r="U26" s="668">
        <f>H26</f>
        <v>100</v>
      </c>
      <c r="V26" s="667" t="s">
        <v>14</v>
      </c>
      <c r="W26" s="668">
        <f>J26</f>
        <v>100</v>
      </c>
      <c r="X26" s="1265"/>
      <c r="Y26" s="338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4"/>
      <c r="Q27" s="530" t="str">
        <f t="shared" si="11"/>
        <v>人流量</v>
      </c>
      <c r="R27" s="664" t="s">
        <v>14</v>
      </c>
      <c r="S27" s="665">
        <f>F27</f>
        <v>100</v>
      </c>
      <c r="T27" s="664" t="s">
        <v>14</v>
      </c>
      <c r="U27" s="665">
        <f>H27</f>
        <v>100</v>
      </c>
      <c r="V27" s="664" t="s">
        <v>14</v>
      </c>
      <c r="W27" s="665">
        <f>J27</f>
        <v>100</v>
      </c>
      <c r="X27" s="666"/>
      <c r="Y27" s="338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4"/>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8" t="s">
        <v>1696</v>
      </c>
      <c r="Q32" s="1263" t="str">
        <f t="shared" si="11"/>
        <v>商业类型</v>
      </c>
      <c r="R32" s="667" t="s">
        <v>14</v>
      </c>
      <c r="S32" s="668">
        <f t="shared" si="12"/>
        <v>100</v>
      </c>
      <c r="T32" s="667" t="s">
        <v>14</v>
      </c>
      <c r="U32" s="668">
        <f t="shared" si="13"/>
        <v>100</v>
      </c>
      <c r="V32" s="667" t="s">
        <v>14</v>
      </c>
      <c r="W32" s="668">
        <f t="shared" si="14"/>
        <v>100</v>
      </c>
      <c r="X32" s="1265"/>
      <c r="Y32" s="339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9"/>
      <c r="Q33" s="531" t="str">
        <f t="shared" si="11"/>
        <v>项目建筑规模</v>
      </c>
      <c r="R33" s="669" t="s">
        <v>14</v>
      </c>
      <c r="S33" s="670" t="e">
        <f t="shared" si="12"/>
        <v>#N/A</v>
      </c>
      <c r="T33" s="669" t="s">
        <v>14</v>
      </c>
      <c r="U33" s="670" t="e">
        <f t="shared" si="13"/>
        <v>#N/A</v>
      </c>
      <c r="V33" s="669" t="s">
        <v>14</v>
      </c>
      <c r="W33" s="670" t="e">
        <f t="shared" si="14"/>
        <v>#N/A</v>
      </c>
      <c r="X33" s="671"/>
      <c r="Y33" s="339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9"/>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9"/>
      <c r="Q36" s="1263" t="str">
        <f t="shared" si="11"/>
        <v>成新度</v>
      </c>
      <c r="R36" s="667" t="s">
        <v>14</v>
      </c>
      <c r="S36" s="668" t="e">
        <f t="shared" si="12"/>
        <v>#N/A</v>
      </c>
      <c r="T36" s="667" t="s">
        <v>14</v>
      </c>
      <c r="U36" s="668" t="e">
        <f t="shared" si="13"/>
        <v>#N/A</v>
      </c>
      <c r="V36" s="667" t="s">
        <v>14</v>
      </c>
      <c r="W36" s="668" t="e">
        <f t="shared" si="14"/>
        <v>#N/A</v>
      </c>
      <c r="X36" s="1265"/>
      <c r="Y36" s="339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9" t="s">
        <v>1696</v>
      </c>
      <c r="Q38" s="1263" t="str">
        <f t="shared" si="11"/>
        <v>业态</v>
      </c>
      <c r="R38" s="667" t="s">
        <v>14</v>
      </c>
      <c r="S38" s="668">
        <f t="shared" si="12"/>
        <v>100</v>
      </c>
      <c r="T38" s="667" t="s">
        <v>14</v>
      </c>
      <c r="U38" s="668">
        <f t="shared" si="13"/>
        <v>100</v>
      </c>
      <c r="V38" s="667" t="s">
        <v>14</v>
      </c>
      <c r="W38" s="668">
        <f t="shared" si="14"/>
        <v>100</v>
      </c>
      <c r="X38" s="1265"/>
      <c r="Y38" s="339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9"/>
      <c r="Q39" s="1263" t="str">
        <f t="shared" si="11"/>
        <v>层高</v>
      </c>
      <c r="R39" s="667" t="s">
        <v>14</v>
      </c>
      <c r="S39" s="668">
        <f t="shared" si="12"/>
        <v>100</v>
      </c>
      <c r="T39" s="667" t="s">
        <v>14</v>
      </c>
      <c r="U39" s="668">
        <f t="shared" si="13"/>
        <v>100</v>
      </c>
      <c r="V39" s="667" t="s">
        <v>14</v>
      </c>
      <c r="W39" s="668">
        <f t="shared" si="14"/>
        <v>100</v>
      </c>
      <c r="X39" s="1265"/>
      <c r="Y39" s="339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9"/>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9"/>
      <c r="Q42" s="1263" t="str">
        <f t="shared" si="11"/>
        <v>内部装修</v>
      </c>
      <c r="R42" s="667" t="s">
        <v>14</v>
      </c>
      <c r="S42" s="668">
        <f t="shared" si="12"/>
        <v>100</v>
      </c>
      <c r="T42" s="667" t="s">
        <v>14</v>
      </c>
      <c r="U42" s="668">
        <f t="shared" si="13"/>
        <v>100</v>
      </c>
      <c r="V42" s="667" t="s">
        <v>14</v>
      </c>
      <c r="W42" s="668">
        <f t="shared" si="14"/>
        <v>100</v>
      </c>
      <c r="X42" s="1265"/>
      <c r="Y42" s="339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9"/>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35200.39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32" t="s">
        <v>1775</v>
      </c>
      <c r="Q4" s="3433"/>
      <c r="R4" s="3436" t="s">
        <v>1771</v>
      </c>
      <c r="S4" s="3437"/>
      <c r="T4" s="3436" t="s">
        <v>1772</v>
      </c>
      <c r="U4" s="3437"/>
      <c r="V4" s="3438" t="s">
        <v>1773</v>
      </c>
      <c r="W4" s="3438"/>
      <c r="X4" s="1809"/>
      <c r="Y4" s="3436" t="s">
        <v>1775</v>
      </c>
      <c r="Z4" s="3437"/>
      <c r="AA4" s="3440" t="s">
        <v>1771</v>
      </c>
      <c r="AB4" s="3440" t="s">
        <v>1772</v>
      </c>
      <c r="AC4" s="3429" t="s">
        <v>1773</v>
      </c>
    </row>
    <row r="5" spans="1:29" ht="15">
      <c r="A5" s="348"/>
      <c r="B5" s="349"/>
      <c r="C5" s="3417" t="s">
        <v>1673</v>
      </c>
      <c r="D5" s="3418"/>
      <c r="E5" s="3424" t="s">
        <v>1674</v>
      </c>
      <c r="F5" s="3425"/>
      <c r="G5" s="3417" t="s">
        <v>1675</v>
      </c>
      <c r="H5" s="3418"/>
      <c r="I5" s="3417" t="s">
        <v>1676</v>
      </c>
      <c r="J5" s="3418"/>
      <c r="K5" s="537"/>
      <c r="L5" s="2487"/>
      <c r="M5" s="2488"/>
      <c r="N5" s="2488"/>
      <c r="O5" s="2488"/>
      <c r="P5" s="3434"/>
      <c r="Q5" s="3406"/>
      <c r="R5" s="3411"/>
      <c r="S5" s="3412"/>
      <c r="T5" s="3411"/>
      <c r="U5" s="3412"/>
      <c r="V5" s="3385"/>
      <c r="W5" s="3385"/>
      <c r="X5" s="1265"/>
      <c r="Y5" s="3411"/>
      <c r="Z5" s="3412"/>
      <c r="AA5" s="3397"/>
      <c r="AB5" s="3397"/>
      <c r="AC5" s="3430"/>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35"/>
      <c r="Q6" s="3408"/>
      <c r="R6" s="3411"/>
      <c r="S6" s="3412"/>
      <c r="T6" s="3413"/>
      <c r="U6" s="3414"/>
      <c r="V6" s="3385"/>
      <c r="W6" s="3385"/>
      <c r="X6" s="1265"/>
      <c r="Y6" s="3413"/>
      <c r="Z6" s="3414"/>
      <c r="AA6" s="3398"/>
      <c r="AB6" s="3398"/>
      <c r="AC6" s="3431"/>
    </row>
    <row r="7" spans="1:29" s="102" customFormat="1" ht="15.75" thickBot="1">
      <c r="A7" s="352" t="s">
        <v>1679</v>
      </c>
      <c r="B7" s="353"/>
      <c r="C7" s="354">
        <f>'数据-取费表'!B2</f>
        <v>46007</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9" t="s">
        <v>1683</v>
      </c>
      <c r="Q8" s="3420"/>
      <c r="R8" s="664" t="s">
        <v>14</v>
      </c>
      <c r="S8" s="665">
        <f t="shared" si="0"/>
        <v>100</v>
      </c>
      <c r="T8" s="664" t="s">
        <v>14</v>
      </c>
      <c r="U8" s="665">
        <f t="shared" si="1"/>
        <v>100</v>
      </c>
      <c r="V8" s="664" t="s">
        <v>14</v>
      </c>
      <c r="W8" s="665">
        <f t="shared" si="2"/>
        <v>100</v>
      </c>
      <c r="X8" s="666"/>
      <c r="Y8" s="3419" t="s">
        <v>1683</v>
      </c>
      <c r="Z8" s="342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3" t="s">
        <v>1691</v>
      </c>
      <c r="Q15" s="1263" t="str">
        <f t="shared" si="6"/>
        <v>办公集聚程度</v>
      </c>
      <c r="R15" s="667" t="s">
        <v>14</v>
      </c>
      <c r="S15" s="668">
        <f t="shared" si="0"/>
        <v>100</v>
      </c>
      <c r="T15" s="667" t="s">
        <v>14</v>
      </c>
      <c r="U15" s="668">
        <f t="shared" si="1"/>
        <v>100</v>
      </c>
      <c r="V15" s="667" t="s">
        <v>14</v>
      </c>
      <c r="W15" s="668">
        <f t="shared" si="2"/>
        <v>100</v>
      </c>
      <c r="X15" s="1265"/>
      <c r="Y15" s="338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4"/>
      <c r="Q22" s="1263"/>
      <c r="R22" s="667"/>
      <c r="S22" s="668"/>
      <c r="T22" s="667"/>
      <c r="U22" s="668"/>
      <c r="V22" s="667"/>
      <c r="W22" s="668"/>
      <c r="X22" s="1265"/>
      <c r="Y22" s="3387"/>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4"/>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4"/>
      <c r="Q25" s="1263" t="str">
        <f>B25</f>
        <v>毗邻道路的类型与等级</v>
      </c>
      <c r="R25" s="667" t="s">
        <v>14</v>
      </c>
      <c r="S25" s="668">
        <f>F25</f>
        <v>100</v>
      </c>
      <c r="T25" s="667" t="s">
        <v>14</v>
      </c>
      <c r="U25" s="668">
        <f>H25</f>
        <v>100</v>
      </c>
      <c r="V25" s="667" t="s">
        <v>14</v>
      </c>
      <c r="W25" s="668">
        <f>J25</f>
        <v>100</v>
      </c>
      <c r="X25" s="1265"/>
      <c r="Y25" s="338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4"/>
      <c r="Q26" s="1263"/>
      <c r="R26" s="667"/>
      <c r="S26" s="668"/>
      <c r="T26" s="667"/>
      <c r="U26" s="668"/>
      <c r="V26" s="667"/>
      <c r="W26" s="668"/>
      <c r="X26" s="1265"/>
      <c r="Y26" s="338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4"/>
      <c r="Q27" s="1263" t="str">
        <f t="shared" ref="Q27:Q47" si="11">B27</f>
        <v>楼层</v>
      </c>
      <c r="R27" s="667" t="s">
        <v>14</v>
      </c>
      <c r="S27" s="668">
        <f>F27</f>
        <v>100</v>
      </c>
      <c r="T27" s="667" t="s">
        <v>14</v>
      </c>
      <c r="U27" s="668">
        <f>H27</f>
        <v>100</v>
      </c>
      <c r="V27" s="667" t="s">
        <v>14</v>
      </c>
      <c r="W27" s="668">
        <f>J27</f>
        <v>100</v>
      </c>
      <c r="X27" s="1265"/>
      <c r="Y27" s="338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4"/>
      <c r="Q28" s="530" t="str">
        <f t="shared" si="11"/>
        <v>朝向</v>
      </c>
      <c r="R28" s="664" t="s">
        <v>14</v>
      </c>
      <c r="S28" s="665">
        <f>F28</f>
        <v>100</v>
      </c>
      <c r="T28" s="664" t="s">
        <v>14</v>
      </c>
      <c r="U28" s="665">
        <f>H28</f>
        <v>100</v>
      </c>
      <c r="V28" s="664" t="s">
        <v>14</v>
      </c>
      <c r="W28" s="665">
        <f>J28</f>
        <v>100</v>
      </c>
      <c r="X28" s="666"/>
      <c r="Y28" s="338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4"/>
      <c r="Q29" s="1263">
        <f t="shared" si="11"/>
        <v>111</v>
      </c>
      <c r="R29" s="667" t="s">
        <v>14</v>
      </c>
      <c r="S29" s="668">
        <f t="shared" ref="S29:S47" si="12">F29</f>
        <v>100</v>
      </c>
      <c r="T29" s="667" t="s">
        <v>14</v>
      </c>
      <c r="U29" s="668">
        <f t="shared" ref="U29:U47" si="13">H29</f>
        <v>100</v>
      </c>
      <c r="V29" s="667" t="s">
        <v>14</v>
      </c>
      <c r="W29" s="668">
        <f t="shared" ref="W29:W47" si="14">J29</f>
        <v>100</v>
      </c>
      <c r="X29" s="1265"/>
      <c r="Y29" s="338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4"/>
      <c r="Q32" s="1263">
        <f t="shared" si="11"/>
        <v>111</v>
      </c>
      <c r="R32" s="667" t="s">
        <v>14</v>
      </c>
      <c r="S32" s="668">
        <f t="shared" si="12"/>
        <v>100</v>
      </c>
      <c r="T32" s="667" t="s">
        <v>14</v>
      </c>
      <c r="U32" s="668">
        <f t="shared" si="13"/>
        <v>100</v>
      </c>
      <c r="V32" s="667" t="s">
        <v>14</v>
      </c>
      <c r="W32" s="668">
        <f t="shared" si="14"/>
        <v>100</v>
      </c>
      <c r="X32" s="1265"/>
      <c r="Y32" s="338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8" t="s">
        <v>1696</v>
      </c>
      <c r="Q33" s="1263" t="str">
        <f t="shared" si="11"/>
        <v>建筑类型</v>
      </c>
      <c r="R33" s="667" t="s">
        <v>14</v>
      </c>
      <c r="S33" s="668">
        <f t="shared" si="12"/>
        <v>100</v>
      </c>
      <c r="T33" s="667" t="s">
        <v>14</v>
      </c>
      <c r="U33" s="668">
        <f t="shared" si="13"/>
        <v>100</v>
      </c>
      <c r="V33" s="667" t="s">
        <v>14</v>
      </c>
      <c r="W33" s="668">
        <f t="shared" si="14"/>
        <v>100</v>
      </c>
      <c r="X33" s="1265"/>
      <c r="Y33" s="339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9"/>
      <c r="Q34" s="531" t="str">
        <f t="shared" si="11"/>
        <v>项目建筑规模</v>
      </c>
      <c r="R34" s="669" t="s">
        <v>14</v>
      </c>
      <c r="S34" s="670" t="e">
        <f t="shared" si="12"/>
        <v>#N/A</v>
      </c>
      <c r="T34" s="669" t="s">
        <v>14</v>
      </c>
      <c r="U34" s="670" t="e">
        <f t="shared" si="13"/>
        <v>#N/A</v>
      </c>
      <c r="V34" s="669" t="s">
        <v>14</v>
      </c>
      <c r="W34" s="670" t="e">
        <f t="shared" si="14"/>
        <v>#N/A</v>
      </c>
      <c r="X34" s="671"/>
      <c r="Y34" s="339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9"/>
      <c r="Q35" s="1263" t="str">
        <f t="shared" si="11"/>
        <v>建筑结构</v>
      </c>
      <c r="R35" s="667" t="s">
        <v>14</v>
      </c>
      <c r="S35" s="668">
        <f t="shared" si="12"/>
        <v>100</v>
      </c>
      <c r="T35" s="667" t="s">
        <v>14</v>
      </c>
      <c r="U35" s="668">
        <f t="shared" si="13"/>
        <v>100</v>
      </c>
      <c r="V35" s="667" t="s">
        <v>14</v>
      </c>
      <c r="W35" s="668">
        <f t="shared" si="14"/>
        <v>100</v>
      </c>
      <c r="X35" s="1265"/>
      <c r="Y35" s="339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9"/>
      <c r="Q37" s="1263" t="str">
        <f t="shared" si="11"/>
        <v>成新度</v>
      </c>
      <c r="R37" s="667" t="s">
        <v>14</v>
      </c>
      <c r="S37" s="668" t="e">
        <f t="shared" si="12"/>
        <v>#N/A</v>
      </c>
      <c r="T37" s="667" t="s">
        <v>14</v>
      </c>
      <c r="U37" s="668" t="e">
        <f t="shared" si="13"/>
        <v>#N/A</v>
      </c>
      <c r="V37" s="667" t="s">
        <v>14</v>
      </c>
      <c r="W37" s="668" t="e">
        <f t="shared" si="14"/>
        <v>#N/A</v>
      </c>
      <c r="X37" s="1265"/>
      <c r="Y37" s="339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9" t="s">
        <v>1696</v>
      </c>
      <c r="Q39" s="1263" t="str">
        <f t="shared" si="11"/>
        <v>物业管理</v>
      </c>
      <c r="R39" s="667" t="s">
        <v>14</v>
      </c>
      <c r="S39" s="668">
        <f t="shared" si="12"/>
        <v>100</v>
      </c>
      <c r="T39" s="667" t="s">
        <v>14</v>
      </c>
      <c r="U39" s="668">
        <f t="shared" si="13"/>
        <v>100</v>
      </c>
      <c r="V39" s="667" t="s">
        <v>14</v>
      </c>
      <c r="W39" s="668">
        <f t="shared" si="14"/>
        <v>100</v>
      </c>
      <c r="X39" s="1265"/>
      <c r="Y39" s="339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9"/>
      <c r="Q40" s="1263" t="str">
        <f t="shared" si="11"/>
        <v>市政基础设施</v>
      </c>
      <c r="R40" s="667" t="s">
        <v>14</v>
      </c>
      <c r="S40" s="668">
        <f t="shared" si="12"/>
        <v>100</v>
      </c>
      <c r="T40" s="667" t="s">
        <v>14</v>
      </c>
      <c r="U40" s="668">
        <f t="shared" si="13"/>
        <v>100</v>
      </c>
      <c r="V40" s="667" t="s">
        <v>14</v>
      </c>
      <c r="W40" s="668">
        <f t="shared" si="14"/>
        <v>100</v>
      </c>
      <c r="X40" s="1265"/>
      <c r="Y40" s="339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9"/>
      <c r="Q41" s="1263" t="str">
        <f t="shared" si="11"/>
        <v>层高</v>
      </c>
      <c r="R41" s="667" t="s">
        <v>14</v>
      </c>
      <c r="S41" s="668">
        <f t="shared" si="12"/>
        <v>100</v>
      </c>
      <c r="T41" s="667" t="s">
        <v>14</v>
      </c>
      <c r="U41" s="668">
        <f t="shared" si="13"/>
        <v>100</v>
      </c>
      <c r="V41" s="667" t="s">
        <v>14</v>
      </c>
      <c r="W41" s="668">
        <f t="shared" si="14"/>
        <v>100</v>
      </c>
      <c r="X41" s="1265"/>
      <c r="Y41" s="339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9"/>
      <c r="Q43" s="1263" t="str">
        <f t="shared" si="11"/>
        <v>内部装修</v>
      </c>
      <c r="R43" s="667" t="s">
        <v>14</v>
      </c>
      <c r="S43" s="668">
        <f t="shared" si="12"/>
        <v>100</v>
      </c>
      <c r="T43" s="667" t="s">
        <v>14</v>
      </c>
      <c r="U43" s="668">
        <f t="shared" si="13"/>
        <v>100</v>
      </c>
      <c r="V43" s="667" t="s">
        <v>14</v>
      </c>
      <c r="W43" s="668">
        <f t="shared" si="14"/>
        <v>100</v>
      </c>
      <c r="X43" s="1265"/>
      <c r="Y43" s="339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9"/>
      <c r="Q44" s="1263" t="str">
        <f t="shared" si="11"/>
        <v>内部装修维护情况</v>
      </c>
      <c r="R44" s="667" t="s">
        <v>14</v>
      </c>
      <c r="S44" s="668">
        <f t="shared" si="12"/>
        <v>100</v>
      </c>
      <c r="T44" s="667" t="s">
        <v>14</v>
      </c>
      <c r="U44" s="668">
        <f t="shared" si="13"/>
        <v>100</v>
      </c>
      <c r="V44" s="667" t="s">
        <v>14</v>
      </c>
      <c r="W44" s="668">
        <f t="shared" si="14"/>
        <v>100</v>
      </c>
      <c r="X44" s="1265"/>
      <c r="Y44" s="339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9"/>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0"/>
      <c r="Q47" s="1263">
        <f t="shared" si="11"/>
        <v>111</v>
      </c>
      <c r="R47" s="667" t="s">
        <v>14</v>
      </c>
      <c r="S47" s="668">
        <f t="shared" si="12"/>
        <v>100</v>
      </c>
      <c r="T47" s="667" t="s">
        <v>14</v>
      </c>
      <c r="U47" s="668">
        <f t="shared" si="13"/>
        <v>100</v>
      </c>
      <c r="V47" s="667" t="s">
        <v>14</v>
      </c>
      <c r="W47" s="668">
        <f t="shared" si="14"/>
        <v>100</v>
      </c>
      <c r="X47" s="1265"/>
      <c r="Y47" s="339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5" t="str">
        <f>A48</f>
        <v>成交单价（元/平方米）</v>
      </c>
      <c r="Q48" s="3384"/>
      <c r="R48" s="3385">
        <f>E48</f>
        <v>0</v>
      </c>
      <c r="S48" s="3385"/>
      <c r="T48" s="3385">
        <f>G48</f>
        <v>0</v>
      </c>
      <c r="U48" s="3385"/>
      <c r="V48" s="3385">
        <f>I48</f>
        <v>0</v>
      </c>
      <c r="W48" s="338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5" t="str">
        <f>A49</f>
        <v>比较价值（元/平方米）</v>
      </c>
      <c r="Q49" s="3384"/>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35200.39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860"/>
      <c r="M5" s="861"/>
      <c r="N5" s="861"/>
      <c r="O5" s="861"/>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860"/>
      <c r="M6" s="861"/>
      <c r="N6" s="861"/>
      <c r="O6" s="861"/>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46007</v>
      </c>
      <c r="D7" s="355">
        <v>100</v>
      </c>
      <c r="E7" s="356"/>
      <c r="F7" s="357">
        <f>SUMIF(52:52,YEAR(E7)&amp;"-"&amp;MONTH(E7),53:53)</f>
        <v>0</v>
      </c>
      <c r="G7" s="356"/>
      <c r="H7" s="355">
        <f>SUMIF(52:52,YEAR(G7)&amp;"-"&amp;MONTH(G7),53:53)</f>
        <v>0</v>
      </c>
      <c r="I7" s="356"/>
      <c r="J7" s="355">
        <f>SUMIF(52:52,YEAR(I7)&amp;"-"&amp;MONTH(I7),53:53)</f>
        <v>0</v>
      </c>
      <c r="K7" s="38"/>
      <c r="L7" s="862"/>
      <c r="M7" s="863"/>
      <c r="N7" s="863"/>
      <c r="O7" s="863"/>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7"/>
      <c r="Q16" s="1263"/>
      <c r="R16" s="667"/>
      <c r="S16" s="668"/>
      <c r="T16" s="667"/>
      <c r="U16" s="668"/>
      <c r="V16" s="667"/>
      <c r="W16" s="668"/>
      <c r="X16" s="1265"/>
      <c r="Y16" s="338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7"/>
      <c r="Q18" s="1263"/>
      <c r="R18" s="667"/>
      <c r="S18" s="668"/>
      <c r="T18" s="667"/>
      <c r="U18" s="668"/>
      <c r="V18" s="667"/>
      <c r="W18" s="668"/>
      <c r="X18" s="1265"/>
      <c r="Y18" s="338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7"/>
      <c r="Q20" s="1263"/>
      <c r="R20" s="667"/>
      <c r="S20" s="668"/>
      <c r="T20" s="667"/>
      <c r="U20" s="668"/>
      <c r="V20" s="667"/>
      <c r="W20" s="668"/>
      <c r="X20" s="1265"/>
      <c r="Y20" s="338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7"/>
      <c r="Q22" s="1263"/>
      <c r="R22" s="667"/>
      <c r="S22" s="668"/>
      <c r="T22" s="667"/>
      <c r="U22" s="668"/>
      <c r="V22" s="667"/>
      <c r="W22" s="668"/>
      <c r="X22" s="1265"/>
      <c r="Y22" s="338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7"/>
      <c r="Q24" s="1263"/>
      <c r="R24" s="667"/>
      <c r="S24" s="668"/>
      <c r="T24" s="667"/>
      <c r="U24" s="668"/>
      <c r="V24" s="667"/>
      <c r="W24" s="668"/>
      <c r="X24" s="1265"/>
      <c r="Y24" s="338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3">
        <f>B25</f>
        <v>111</v>
      </c>
      <c r="R25" s="667" t="s">
        <v>14</v>
      </c>
      <c r="S25" s="668">
        <f>F25</f>
        <v>100</v>
      </c>
      <c r="T25" s="667" t="s">
        <v>14</v>
      </c>
      <c r="U25" s="668">
        <f>H25</f>
        <v>100</v>
      </c>
      <c r="V25" s="667" t="s">
        <v>14</v>
      </c>
      <c r="W25" s="668">
        <f>J25</f>
        <v>100</v>
      </c>
      <c r="X25" s="1265"/>
      <c r="Y25" s="338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3">
        <f t="shared" ref="Q26:Q40" si="11">B26</f>
        <v>111</v>
      </c>
      <c r="R26" s="667" t="s">
        <v>14</v>
      </c>
      <c r="S26" s="668">
        <f>F26</f>
        <v>100</v>
      </c>
      <c r="T26" s="667" t="s">
        <v>14</v>
      </c>
      <c r="U26" s="668">
        <f>H26</f>
        <v>100</v>
      </c>
      <c r="V26" s="667" t="s">
        <v>14</v>
      </c>
      <c r="W26" s="668">
        <f>J26</f>
        <v>100</v>
      </c>
      <c r="X26" s="1265"/>
      <c r="Y26" s="338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3">
        <f t="shared" si="11"/>
        <v>111</v>
      </c>
      <c r="R28" s="667" t="s">
        <v>14</v>
      </c>
      <c r="S28" s="668">
        <f t="shared" ref="S28:S40" si="12">F28</f>
        <v>100</v>
      </c>
      <c r="T28" s="667" t="s">
        <v>14</v>
      </c>
      <c r="U28" s="668">
        <f t="shared" ref="U28:U40" si="13">H28</f>
        <v>100</v>
      </c>
      <c r="V28" s="667" t="s">
        <v>14</v>
      </c>
      <c r="W28" s="668">
        <f t="shared" ref="W28:W40" si="14">J28</f>
        <v>100</v>
      </c>
      <c r="X28" s="1265"/>
      <c r="Y28" s="338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39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3" t="str">
        <f t="shared" si="11"/>
        <v>建筑结构</v>
      </c>
      <c r="R31" s="667" t="s">
        <v>14</v>
      </c>
      <c r="S31" s="668">
        <f t="shared" si="12"/>
        <v>100</v>
      </c>
      <c r="T31" s="667" t="s">
        <v>14</v>
      </c>
      <c r="U31" s="668">
        <f t="shared" si="13"/>
        <v>100</v>
      </c>
      <c r="V31" s="667" t="s">
        <v>14</v>
      </c>
      <c r="W31" s="668">
        <f t="shared" si="14"/>
        <v>100</v>
      </c>
      <c r="X31" s="1265"/>
      <c r="Y31" s="339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3" t="str">
        <f t="shared" si="11"/>
        <v>公共部分装修</v>
      </c>
      <c r="R32" s="667" t="s">
        <v>14</v>
      </c>
      <c r="S32" s="668">
        <f t="shared" si="12"/>
        <v>100</v>
      </c>
      <c r="T32" s="667" t="s">
        <v>14</v>
      </c>
      <c r="U32" s="668">
        <f t="shared" si="13"/>
        <v>100</v>
      </c>
      <c r="V32" s="667" t="s">
        <v>14</v>
      </c>
      <c r="W32" s="668">
        <f t="shared" si="14"/>
        <v>100</v>
      </c>
      <c r="X32" s="1265"/>
      <c r="Y32" s="339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3" t="str">
        <f t="shared" si="11"/>
        <v>成新度</v>
      </c>
      <c r="R33" s="667" t="s">
        <v>14</v>
      </c>
      <c r="S33" s="668" t="e">
        <f t="shared" si="12"/>
        <v>#N/A</v>
      </c>
      <c r="T33" s="667" t="s">
        <v>14</v>
      </c>
      <c r="U33" s="668" t="e">
        <f t="shared" si="13"/>
        <v>#N/A</v>
      </c>
      <c r="V33" s="667" t="s">
        <v>14</v>
      </c>
      <c r="W33" s="668" t="e">
        <f t="shared" si="14"/>
        <v>#N/A</v>
      </c>
      <c r="X33" s="1265"/>
      <c r="Y33" s="339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3" t="str">
        <f t="shared" si="11"/>
        <v>市政基础设施</v>
      </c>
      <c r="R35" s="667" t="s">
        <v>14</v>
      </c>
      <c r="S35" s="668">
        <f t="shared" si="12"/>
        <v>100</v>
      </c>
      <c r="T35" s="667" t="s">
        <v>14</v>
      </c>
      <c r="U35" s="668">
        <f t="shared" si="13"/>
        <v>100</v>
      </c>
      <c r="V35" s="667" t="s">
        <v>14</v>
      </c>
      <c r="W35" s="668">
        <f t="shared" si="14"/>
        <v>100</v>
      </c>
      <c r="X35" s="1265"/>
      <c r="Y35" s="339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3" t="str">
        <f t="shared" si="11"/>
        <v>内部装修</v>
      </c>
      <c r="R36" s="667" t="s">
        <v>14</v>
      </c>
      <c r="S36" s="668">
        <f t="shared" si="12"/>
        <v>100</v>
      </c>
      <c r="T36" s="667" t="s">
        <v>14</v>
      </c>
      <c r="U36" s="668">
        <f t="shared" si="13"/>
        <v>100</v>
      </c>
      <c r="V36" s="667" t="s">
        <v>14</v>
      </c>
      <c r="W36" s="668">
        <f t="shared" si="14"/>
        <v>100</v>
      </c>
      <c r="X36" s="1265"/>
      <c r="Y36" s="339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3" t="str">
        <f t="shared" si="11"/>
        <v>内部装修状况</v>
      </c>
      <c r="R37" s="667" t="s">
        <v>14</v>
      </c>
      <c r="S37" s="668">
        <f t="shared" si="12"/>
        <v>100</v>
      </c>
      <c r="T37" s="667" t="s">
        <v>14</v>
      </c>
      <c r="U37" s="668">
        <f t="shared" si="13"/>
        <v>100</v>
      </c>
      <c r="V37" s="667" t="s">
        <v>14</v>
      </c>
      <c r="W37" s="668">
        <f t="shared" si="14"/>
        <v>100</v>
      </c>
      <c r="X37" s="1265"/>
      <c r="Y37" s="339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3">
        <f t="shared" si="11"/>
        <v>111</v>
      </c>
      <c r="R39" s="667" t="s">
        <v>14</v>
      </c>
      <c r="S39" s="668">
        <f t="shared" si="12"/>
        <v>100</v>
      </c>
      <c r="T39" s="667" t="s">
        <v>14</v>
      </c>
      <c r="U39" s="668">
        <f t="shared" si="13"/>
        <v>100</v>
      </c>
      <c r="V39" s="667" t="s">
        <v>14</v>
      </c>
      <c r="W39" s="668">
        <f t="shared" si="14"/>
        <v>100</v>
      </c>
      <c r="X39" s="1265"/>
      <c r="Y39" s="339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2"/>
      <c r="Q40" s="1263">
        <f t="shared" si="11"/>
        <v>111</v>
      </c>
      <c r="R40" s="667" t="s">
        <v>14</v>
      </c>
      <c r="S40" s="668">
        <f t="shared" si="12"/>
        <v>100</v>
      </c>
      <c r="T40" s="667" t="s">
        <v>14</v>
      </c>
      <c r="U40" s="668">
        <f t="shared" si="13"/>
        <v>100</v>
      </c>
      <c r="V40" s="667" t="s">
        <v>14</v>
      </c>
      <c r="W40" s="668">
        <f t="shared" si="14"/>
        <v>100</v>
      </c>
      <c r="X40" s="1265"/>
      <c r="Y40" s="339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4" t="str">
        <f>A41</f>
        <v>成交单价（元/平方米）</v>
      </c>
      <c r="Q41" s="3384"/>
      <c r="R41" s="3385">
        <f>E41</f>
        <v>0</v>
      </c>
      <c r="S41" s="3385"/>
      <c r="T41" s="3385">
        <f>G41</f>
        <v>0</v>
      </c>
      <c r="U41" s="3385"/>
      <c r="V41" s="3385">
        <f>I41</f>
        <v>0</v>
      </c>
      <c r="W41" s="338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估价对象为北京市房地产，为所有。根据《国有土地使用证》[]，估价对象（分摊）出让国有建设用地使用权面积为20352.8平方米，建筑面积为35200.39平方米。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估价对象为北京市房地产,属开发建设的，该项目尚在开发建设中。根据《国有土地使用证》[]，估价对象（分摊）出让国有建设用地使用权面积为20352.8平方米，规划建筑面积为35200.39平方米。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2025年12月16日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46007</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7"/>
      <c r="Q15" s="1263"/>
      <c r="R15" s="667"/>
      <c r="S15" s="668"/>
      <c r="T15" s="667"/>
      <c r="U15" s="668"/>
      <c r="V15" s="667"/>
      <c r="W15" s="668"/>
      <c r="X15" s="1265"/>
      <c r="Y15" s="338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7"/>
      <c r="Q17" s="1263"/>
      <c r="R17" s="667"/>
      <c r="S17" s="668"/>
      <c r="T17" s="667"/>
      <c r="U17" s="668"/>
      <c r="V17" s="667"/>
      <c r="W17" s="668"/>
      <c r="X17" s="1265"/>
      <c r="Y17" s="338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7"/>
      <c r="Q19" s="1263"/>
      <c r="R19" s="667"/>
      <c r="S19" s="668"/>
      <c r="T19" s="667"/>
      <c r="U19" s="668"/>
      <c r="V19" s="667"/>
      <c r="W19" s="668"/>
      <c r="X19" s="1265"/>
      <c r="Y19" s="338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7"/>
      <c r="Q21" s="1263"/>
      <c r="R21" s="667"/>
      <c r="S21" s="668"/>
      <c r="T21" s="667"/>
      <c r="U21" s="668"/>
      <c r="V21" s="667"/>
      <c r="W21" s="668"/>
      <c r="X21" s="1265"/>
      <c r="Y21" s="338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7"/>
      <c r="Q24" s="1263">
        <f t="shared" ref="Q24:Q36"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1"/>
      <c r="Q28" s="1263" t="str">
        <f t="shared" si="11"/>
        <v>公共部分装修</v>
      </c>
      <c r="R28" s="667" t="s">
        <v>14</v>
      </c>
      <c r="S28" s="668">
        <f t="shared" si="12"/>
        <v>100</v>
      </c>
      <c r="T28" s="667" t="s">
        <v>14</v>
      </c>
      <c r="U28" s="668">
        <f t="shared" si="13"/>
        <v>100</v>
      </c>
      <c r="V28" s="667" t="s">
        <v>14</v>
      </c>
      <c r="W28" s="668">
        <f t="shared" si="14"/>
        <v>100</v>
      </c>
      <c r="X28" s="1265"/>
      <c r="Y28" s="339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1"/>
      <c r="Q29" s="1263" t="str">
        <f t="shared" si="11"/>
        <v>成新率</v>
      </c>
      <c r="R29" s="667" t="s">
        <v>14</v>
      </c>
      <c r="S29" s="668" t="e">
        <f t="shared" si="12"/>
        <v>#N/A</v>
      </c>
      <c r="T29" s="667" t="s">
        <v>14</v>
      </c>
      <c r="U29" s="668" t="e">
        <f t="shared" si="13"/>
        <v>#N/A</v>
      </c>
      <c r="V29" s="667" t="s">
        <v>14</v>
      </c>
      <c r="W29" s="668" t="e">
        <f t="shared" si="14"/>
        <v>#N/A</v>
      </c>
      <c r="X29" s="1265"/>
      <c r="Y29" s="339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1"/>
      <c r="Q30" s="1263" t="str">
        <f t="shared" si="11"/>
        <v>物业等级</v>
      </c>
      <c r="R30" s="667" t="s">
        <v>14</v>
      </c>
      <c r="S30" s="668">
        <f t="shared" si="12"/>
        <v>100</v>
      </c>
      <c r="T30" s="667" t="s">
        <v>14</v>
      </c>
      <c r="U30" s="668">
        <f t="shared" si="13"/>
        <v>100</v>
      </c>
      <c r="V30" s="667" t="s">
        <v>14</v>
      </c>
      <c r="W30" s="668">
        <f t="shared" si="14"/>
        <v>100</v>
      </c>
      <c r="X30" s="1265"/>
      <c r="Y30" s="339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1" t="s">
        <v>1696</v>
      </c>
      <c r="Q32" s="1263" t="str">
        <f t="shared" si="11"/>
        <v>车位类型</v>
      </c>
      <c r="R32" s="667" t="s">
        <v>14</v>
      </c>
      <c r="S32" s="668">
        <f t="shared" si="12"/>
        <v>100</v>
      </c>
      <c r="T32" s="667" t="s">
        <v>14</v>
      </c>
      <c r="U32" s="668">
        <f t="shared" si="13"/>
        <v>100</v>
      </c>
      <c r="V32" s="667" t="s">
        <v>14</v>
      </c>
      <c r="W32" s="668">
        <f t="shared" si="14"/>
        <v>100</v>
      </c>
      <c r="X32" s="1265"/>
      <c r="Y32" s="339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1"/>
      <c r="Q33" s="1263" t="str">
        <f t="shared" si="11"/>
        <v>是否直接入户</v>
      </c>
      <c r="R33" s="667" t="s">
        <v>14</v>
      </c>
      <c r="S33" s="668">
        <f t="shared" si="12"/>
        <v>100</v>
      </c>
      <c r="T33" s="667" t="s">
        <v>14</v>
      </c>
      <c r="U33" s="668">
        <f t="shared" si="13"/>
        <v>100</v>
      </c>
      <c r="V33" s="667" t="s">
        <v>14</v>
      </c>
      <c r="W33" s="668">
        <f t="shared" si="14"/>
        <v>100</v>
      </c>
      <c r="X33" s="1265"/>
      <c r="Y33" s="339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1"/>
      <c r="Q36" s="1263">
        <f t="shared" si="11"/>
        <v>111</v>
      </c>
      <c r="R36" s="667" t="s">
        <v>14</v>
      </c>
      <c r="S36" s="668">
        <f t="shared" si="12"/>
        <v>100</v>
      </c>
      <c r="T36" s="667" t="s">
        <v>14</v>
      </c>
      <c r="U36" s="668">
        <f t="shared" si="13"/>
        <v>100</v>
      </c>
      <c r="V36" s="667" t="s">
        <v>14</v>
      </c>
      <c r="W36" s="668">
        <f t="shared" si="14"/>
        <v>100</v>
      </c>
      <c r="X36" s="1265"/>
      <c r="Y36" s="3391"/>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384" t="str">
        <f>A37</f>
        <v>成交单价</v>
      </c>
      <c r="Q37" s="3384"/>
      <c r="R37" s="3385">
        <f>E37</f>
        <v>0</v>
      </c>
      <c r="S37" s="3385"/>
      <c r="T37" s="3385">
        <f>G37</f>
        <v>0</v>
      </c>
      <c r="U37" s="3385"/>
      <c r="V37" s="3385">
        <f>I37</f>
        <v>0</v>
      </c>
      <c r="W37" s="338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1" t="str">
        <f>A39</f>
        <v>估价对象XX用房的比较价值（楼面单价，元/平方米）</v>
      </c>
      <c r="Q39" s="3382"/>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46007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7"/>
      <c r="Q15" s="1263"/>
      <c r="R15" s="667"/>
      <c r="S15" s="668"/>
      <c r="T15" s="667"/>
      <c r="U15" s="668"/>
      <c r="V15" s="667"/>
      <c r="W15" s="668"/>
      <c r="X15" s="1265"/>
      <c r="Y15" s="338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7"/>
      <c r="Q17" s="1263"/>
      <c r="R17" s="667"/>
      <c r="S17" s="668"/>
      <c r="T17" s="667"/>
      <c r="U17" s="668"/>
      <c r="V17" s="667"/>
      <c r="W17" s="668"/>
      <c r="X17" s="1265"/>
      <c r="Y17" s="338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7"/>
      <c r="Q19" s="1263"/>
      <c r="R19" s="667"/>
      <c r="S19" s="668"/>
      <c r="T19" s="667"/>
      <c r="U19" s="668"/>
      <c r="V19" s="667"/>
      <c r="W19" s="668"/>
      <c r="X19" s="1265"/>
      <c r="Y19" s="338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7"/>
      <c r="Q21" s="1263"/>
      <c r="R21" s="667"/>
      <c r="S21" s="668"/>
      <c r="T21" s="667"/>
      <c r="U21" s="668"/>
      <c r="V21" s="667"/>
      <c r="W21" s="668"/>
      <c r="X21" s="1265"/>
      <c r="Y21" s="338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7"/>
      <c r="Q24" s="1263">
        <f t="shared" ref="Q24:Q34"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1"/>
      <c r="Q28" s="1263" t="str">
        <f t="shared" si="11"/>
        <v>物业等级</v>
      </c>
      <c r="R28" s="667" t="s">
        <v>14</v>
      </c>
      <c r="S28" s="668">
        <f t="shared" si="12"/>
        <v>100</v>
      </c>
      <c r="T28" s="667" t="s">
        <v>14</v>
      </c>
      <c r="U28" s="668">
        <f t="shared" si="13"/>
        <v>100</v>
      </c>
      <c r="V28" s="667" t="s">
        <v>14</v>
      </c>
      <c r="W28" s="668">
        <f t="shared" si="14"/>
        <v>100</v>
      </c>
      <c r="X28" s="1265"/>
      <c r="Y28" s="339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1"/>
      <c r="Q29" s="1263" t="str">
        <f t="shared" si="11"/>
        <v>有无电梯</v>
      </c>
      <c r="R29" s="667" t="s">
        <v>14</v>
      </c>
      <c r="S29" s="668">
        <f t="shared" si="12"/>
        <v>100</v>
      </c>
      <c r="T29" s="667" t="s">
        <v>14</v>
      </c>
      <c r="U29" s="668">
        <f t="shared" si="13"/>
        <v>100</v>
      </c>
      <c r="V29" s="667" t="s">
        <v>14</v>
      </c>
      <c r="W29" s="668">
        <f t="shared" si="14"/>
        <v>100</v>
      </c>
      <c r="X29" s="1265"/>
      <c r="Y29" s="339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1"/>
      <c r="Q30" s="1263" t="str">
        <f t="shared" si="11"/>
        <v>建筑面积</v>
      </c>
      <c r="R30" s="667" t="s">
        <v>14</v>
      </c>
      <c r="S30" s="668" t="e">
        <f t="shared" si="12"/>
        <v>#N/A</v>
      </c>
      <c r="T30" s="667" t="s">
        <v>14</v>
      </c>
      <c r="U30" s="668" t="e">
        <f t="shared" si="13"/>
        <v>#N/A</v>
      </c>
      <c r="V30" s="667" t="s">
        <v>14</v>
      </c>
      <c r="W30" s="668" t="e">
        <f t="shared" si="14"/>
        <v>#N/A</v>
      </c>
      <c r="X30" s="1265"/>
      <c r="Y30" s="339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1" t="s">
        <v>1696</v>
      </c>
      <c r="Q32" s="1263">
        <f t="shared" si="11"/>
        <v>111</v>
      </c>
      <c r="R32" s="667" t="s">
        <v>14</v>
      </c>
      <c r="S32" s="668">
        <f t="shared" si="12"/>
        <v>100</v>
      </c>
      <c r="T32" s="667" t="s">
        <v>14</v>
      </c>
      <c r="U32" s="668">
        <f t="shared" si="13"/>
        <v>100</v>
      </c>
      <c r="V32" s="667" t="s">
        <v>14</v>
      </c>
      <c r="W32" s="668">
        <f t="shared" si="14"/>
        <v>100</v>
      </c>
      <c r="X32" s="1265"/>
      <c r="Y32" s="339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1"/>
      <c r="Q33" s="1263">
        <f t="shared" si="11"/>
        <v>111</v>
      </c>
      <c r="R33" s="667" t="s">
        <v>14</v>
      </c>
      <c r="S33" s="668">
        <f t="shared" si="12"/>
        <v>100</v>
      </c>
      <c r="T33" s="667" t="s">
        <v>14</v>
      </c>
      <c r="U33" s="668">
        <f t="shared" si="13"/>
        <v>100</v>
      </c>
      <c r="V33" s="667" t="s">
        <v>14</v>
      </c>
      <c r="W33" s="668">
        <f t="shared" si="14"/>
        <v>100</v>
      </c>
      <c r="X33" s="1265"/>
      <c r="Y33" s="339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4" t="str">
        <f>A35</f>
        <v>成交单价（元/平方米）</v>
      </c>
      <c r="Q35" s="3384"/>
      <c r="R35" s="3385">
        <f>E35</f>
        <v>0</v>
      </c>
      <c r="S35" s="3385"/>
      <c r="T35" s="3385">
        <f>G35</f>
        <v>0</v>
      </c>
      <c r="U35" s="3385"/>
      <c r="V35" s="3385">
        <f>I35</f>
        <v>0</v>
      </c>
      <c r="W35" s="338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1" t="str">
        <f>A37</f>
        <v>估价对象XX用房的比较价值（楼面单价，元/平方米）</v>
      </c>
      <c r="Q37" s="3382"/>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46007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126</v>
      </c>
      <c r="G10" s="402"/>
      <c r="H10" s="119">
        <f>ROUND(100/'数据-取费表'!G16,0)</f>
        <v>126</v>
      </c>
      <c r="I10" s="402"/>
      <c r="J10" s="119">
        <f>ROUND(100/'数据-取费表'!G16,0)</f>
        <v>126</v>
      </c>
      <c r="K10" s="592"/>
      <c r="L10" s="2490"/>
      <c r="M10" s="2491"/>
      <c r="N10" s="2491"/>
      <c r="O10" s="2542"/>
      <c r="P10" s="3384"/>
      <c r="Q10" s="530" t="str">
        <f t="shared" si="6"/>
        <v>土地使用年限（年）</v>
      </c>
      <c r="R10" s="664" t="s">
        <v>14</v>
      </c>
      <c r="S10" s="665">
        <f t="shared" si="0"/>
        <v>126</v>
      </c>
      <c r="T10" s="664" t="s">
        <v>14</v>
      </c>
      <c r="U10" s="665">
        <f t="shared" si="1"/>
        <v>126</v>
      </c>
      <c r="V10" s="664" t="s">
        <v>14</v>
      </c>
      <c r="W10" s="665">
        <f t="shared" si="2"/>
        <v>126</v>
      </c>
      <c r="X10" s="666"/>
      <c r="Y10" s="3259"/>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4"/>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6"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7"/>
      <c r="Q17" s="1263" t="str">
        <f>B17</f>
        <v>商业繁华度</v>
      </c>
      <c r="R17" s="667" t="s">
        <v>14</v>
      </c>
      <c r="S17" s="668">
        <f>F17</f>
        <v>100</v>
      </c>
      <c r="T17" s="667" t="s">
        <v>14</v>
      </c>
      <c r="U17" s="668">
        <f>H17</f>
        <v>100</v>
      </c>
      <c r="V17" s="667" t="s">
        <v>14</v>
      </c>
      <c r="W17" s="668">
        <f>J17</f>
        <v>100</v>
      </c>
      <c r="X17" s="1265"/>
      <c r="Y17" s="338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7"/>
      <c r="Q19" s="1263" t="str">
        <f>B19</f>
        <v>办公集聚程度</v>
      </c>
      <c r="R19" s="667" t="s">
        <v>14</v>
      </c>
      <c r="S19" s="668">
        <f>F19</f>
        <v>100</v>
      </c>
      <c r="T19" s="667" t="s">
        <v>14</v>
      </c>
      <c r="U19" s="668">
        <f>H19</f>
        <v>100</v>
      </c>
      <c r="V19" s="667" t="s">
        <v>14</v>
      </c>
      <c r="W19" s="668">
        <f>J19</f>
        <v>100</v>
      </c>
      <c r="X19" s="1265"/>
      <c r="Y19" s="338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7"/>
      <c r="Q20" s="1263"/>
      <c r="R20" s="667"/>
      <c r="S20" s="668"/>
      <c r="T20" s="667"/>
      <c r="U20" s="668"/>
      <c r="V20" s="667"/>
      <c r="W20" s="668"/>
      <c r="X20" s="1265"/>
      <c r="Y20" s="338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7"/>
      <c r="Q21" s="1263" t="str">
        <f>B21</f>
        <v>交通便捷度</v>
      </c>
      <c r="R21" s="667" t="s">
        <v>14</v>
      </c>
      <c r="S21" s="668">
        <f>F21</f>
        <v>100</v>
      </c>
      <c r="T21" s="667" t="s">
        <v>14</v>
      </c>
      <c r="U21" s="668">
        <f>H21</f>
        <v>100</v>
      </c>
      <c r="V21" s="667" t="s">
        <v>14</v>
      </c>
      <c r="W21" s="668">
        <f>J21</f>
        <v>100</v>
      </c>
      <c r="X21" s="1265"/>
      <c r="Y21" s="338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7"/>
      <c r="Q23" s="1263" t="str">
        <f t="shared" ref="Q23:Q37" si="8">B23</f>
        <v>区域土地利用方向</v>
      </c>
      <c r="R23" s="667" t="s">
        <v>14</v>
      </c>
      <c r="S23" s="668">
        <f>F23</f>
        <v>100</v>
      </c>
      <c r="T23" s="667" t="s">
        <v>14</v>
      </c>
      <c r="U23" s="668">
        <f>H23</f>
        <v>100</v>
      </c>
      <c r="V23" s="667" t="s">
        <v>14</v>
      </c>
      <c r="W23" s="668">
        <f>J23</f>
        <v>100</v>
      </c>
      <c r="X23" s="1265"/>
      <c r="Y23" s="338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7"/>
      <c r="Q24" s="1263"/>
      <c r="R24" s="667"/>
      <c r="S24" s="668"/>
      <c r="T24" s="667"/>
      <c r="U24" s="668"/>
      <c r="V24" s="667"/>
      <c r="W24" s="668"/>
      <c r="X24" s="1265"/>
      <c r="Y24" s="3387"/>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7"/>
      <c r="Q25" s="1263" t="str">
        <f t="shared" si="8"/>
        <v>自然及人文环境状况</v>
      </c>
      <c r="R25" s="667" t="s">
        <v>14</v>
      </c>
      <c r="S25" s="668">
        <f>F25</f>
        <v>100</v>
      </c>
      <c r="T25" s="667" t="s">
        <v>14</v>
      </c>
      <c r="U25" s="668">
        <f>H25</f>
        <v>100</v>
      </c>
      <c r="V25" s="667" t="s">
        <v>14</v>
      </c>
      <c r="W25" s="668">
        <f>J25</f>
        <v>100</v>
      </c>
      <c r="X25" s="1265"/>
      <c r="Y25" s="338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7"/>
      <c r="Q26" s="1263"/>
      <c r="R26" s="667"/>
      <c r="S26" s="668"/>
      <c r="T26" s="667"/>
      <c r="U26" s="668"/>
      <c r="V26" s="667"/>
      <c r="W26" s="668"/>
      <c r="X26" s="1265"/>
      <c r="Y26" s="338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7"/>
      <c r="Q28" s="530"/>
      <c r="R28" s="664"/>
      <c r="S28" s="665"/>
      <c r="T28" s="664"/>
      <c r="U28" s="665"/>
      <c r="V28" s="664"/>
      <c r="W28" s="665"/>
      <c r="X28" s="666"/>
      <c r="Y28" s="338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7"/>
      <c r="Q30" s="530"/>
      <c r="R30" s="664"/>
      <c r="S30" s="665"/>
      <c r="T30" s="664"/>
      <c r="U30" s="665"/>
      <c r="V30" s="664"/>
      <c r="W30" s="665"/>
      <c r="X30" s="666"/>
      <c r="Y30" s="338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7"/>
      <c r="Q32" s="1263" t="str">
        <f t="shared" si="8"/>
        <v>毗邻道路的类型与等级</v>
      </c>
      <c r="R32" s="667" t="s">
        <v>14</v>
      </c>
      <c r="S32" s="668">
        <f t="shared" si="10"/>
        <v>100</v>
      </c>
      <c r="T32" s="667" t="s">
        <v>14</v>
      </c>
      <c r="U32" s="668">
        <f t="shared" si="11"/>
        <v>100</v>
      </c>
      <c r="V32" s="667" t="s">
        <v>14</v>
      </c>
      <c r="W32" s="668">
        <f t="shared" si="12"/>
        <v>100</v>
      </c>
      <c r="X32" s="1265"/>
      <c r="Y32" s="338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7"/>
      <c r="Q33" s="1263"/>
      <c r="R33" s="667"/>
      <c r="S33" s="668"/>
      <c r="T33" s="667"/>
      <c r="U33" s="668"/>
      <c r="V33" s="667"/>
      <c r="W33" s="668"/>
      <c r="X33" s="1265"/>
      <c r="Y33" s="338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7"/>
      <c r="Q34" s="1263" t="str">
        <f t="shared" si="8"/>
        <v>土地级别</v>
      </c>
      <c r="R34" s="667" t="s">
        <v>14</v>
      </c>
      <c r="S34" s="668">
        <f t="shared" si="10"/>
        <v>100</v>
      </c>
      <c r="T34" s="667" t="s">
        <v>14</v>
      </c>
      <c r="U34" s="668">
        <f t="shared" si="11"/>
        <v>100</v>
      </c>
      <c r="V34" s="667" t="s">
        <v>14</v>
      </c>
      <c r="W34" s="668">
        <f t="shared" si="12"/>
        <v>100</v>
      </c>
      <c r="X34" s="1265"/>
      <c r="Y34" s="338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7"/>
      <c r="Q35" s="1263">
        <f t="shared" si="8"/>
        <v>111</v>
      </c>
      <c r="R35" s="667" t="s">
        <v>14</v>
      </c>
      <c r="S35" s="668">
        <f t="shared" si="10"/>
        <v>100</v>
      </c>
      <c r="T35" s="667" t="s">
        <v>14</v>
      </c>
      <c r="U35" s="668">
        <f t="shared" si="11"/>
        <v>100</v>
      </c>
      <c r="V35" s="667" t="s">
        <v>14</v>
      </c>
      <c r="W35" s="668">
        <f t="shared" si="12"/>
        <v>100</v>
      </c>
      <c r="X35" s="1265"/>
      <c r="Y35" s="338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1" t="s">
        <v>1696</v>
      </c>
      <c r="Q36" s="1263">
        <f t="shared" si="8"/>
        <v>111</v>
      </c>
      <c r="R36" s="667" t="s">
        <v>14</v>
      </c>
      <c r="S36" s="668">
        <f t="shared" si="10"/>
        <v>100</v>
      </c>
      <c r="T36" s="667" t="s">
        <v>14</v>
      </c>
      <c r="U36" s="668">
        <f t="shared" si="11"/>
        <v>100</v>
      </c>
      <c r="V36" s="667" t="s">
        <v>14</v>
      </c>
      <c r="W36" s="668">
        <f t="shared" si="12"/>
        <v>100</v>
      </c>
      <c r="X36" s="1265"/>
      <c r="Y36" s="339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1"/>
      <c r="Q37" s="1263">
        <f t="shared" si="8"/>
        <v>111</v>
      </c>
      <c r="R37" s="669" t="s">
        <v>14</v>
      </c>
      <c r="S37" s="670">
        <f t="shared" si="10"/>
        <v>100</v>
      </c>
      <c r="T37" s="669" t="s">
        <v>14</v>
      </c>
      <c r="U37" s="670">
        <f t="shared" si="11"/>
        <v>100</v>
      </c>
      <c r="V37" s="669" t="s">
        <v>14</v>
      </c>
      <c r="W37" s="670">
        <f t="shared" si="12"/>
        <v>100</v>
      </c>
      <c r="X37" s="671"/>
      <c r="Y37" s="339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1"/>
      <c r="Q38" s="1263" t="str">
        <f>B38</f>
        <v>宗地面积</v>
      </c>
      <c r="R38" s="667" t="s">
        <v>14</v>
      </c>
      <c r="S38" s="668" t="e">
        <f t="shared" si="10"/>
        <v>#N/A</v>
      </c>
      <c r="T38" s="667" t="s">
        <v>14</v>
      </c>
      <c r="U38" s="668" t="e">
        <f t="shared" si="11"/>
        <v>#N/A</v>
      </c>
      <c r="V38" s="667" t="s">
        <v>14</v>
      </c>
      <c r="W38" s="668" t="e">
        <f t="shared" si="12"/>
        <v>#N/A</v>
      </c>
      <c r="X38" s="1265"/>
      <c r="Y38" s="339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1"/>
      <c r="Q39" s="1263" t="str">
        <f t="shared" ref="Q39:Q45" si="14">B39</f>
        <v>宗地形状</v>
      </c>
      <c r="R39" s="667" t="s">
        <v>14</v>
      </c>
      <c r="S39" s="668">
        <f t="shared" si="10"/>
        <v>100</v>
      </c>
      <c r="T39" s="667" t="s">
        <v>14</v>
      </c>
      <c r="U39" s="668">
        <f t="shared" si="11"/>
        <v>100</v>
      </c>
      <c r="V39" s="667" t="s">
        <v>14</v>
      </c>
      <c r="W39" s="668">
        <f t="shared" si="12"/>
        <v>100</v>
      </c>
      <c r="X39" s="1265"/>
      <c r="Y39" s="339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1"/>
      <c r="Q40" s="1263" t="str">
        <f t="shared" si="14"/>
        <v>临街宽度及深度</v>
      </c>
      <c r="R40" s="667" t="s">
        <v>14</v>
      </c>
      <c r="S40" s="668">
        <f t="shared" si="10"/>
        <v>100</v>
      </c>
      <c r="T40" s="667" t="s">
        <v>14</v>
      </c>
      <c r="U40" s="668">
        <f t="shared" si="11"/>
        <v>100</v>
      </c>
      <c r="V40" s="667" t="s">
        <v>14</v>
      </c>
      <c r="W40" s="668">
        <f t="shared" si="12"/>
        <v>100</v>
      </c>
      <c r="X40" s="1265"/>
      <c r="Y40" s="339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1"/>
      <c r="Q41" s="1263"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1" t="s">
        <v>1696</v>
      </c>
      <c r="Q42" s="1263" t="str">
        <f t="shared" si="14"/>
        <v>工程地质条件</v>
      </c>
      <c r="R42" s="667" t="s">
        <v>14</v>
      </c>
      <c r="S42" s="668">
        <f t="shared" si="10"/>
        <v>100</v>
      </c>
      <c r="T42" s="667" t="s">
        <v>14</v>
      </c>
      <c r="U42" s="668">
        <f t="shared" si="11"/>
        <v>100</v>
      </c>
      <c r="V42" s="667" t="s">
        <v>14</v>
      </c>
      <c r="W42" s="668">
        <f t="shared" si="12"/>
        <v>100</v>
      </c>
      <c r="X42" s="1265"/>
      <c r="Y42" s="339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1"/>
      <c r="Q43" s="1263">
        <f t="shared" si="14"/>
        <v>111</v>
      </c>
      <c r="R43" s="667" t="s">
        <v>14</v>
      </c>
      <c r="S43" s="668">
        <f t="shared" si="10"/>
        <v>100</v>
      </c>
      <c r="T43" s="667" t="s">
        <v>14</v>
      </c>
      <c r="U43" s="668">
        <f t="shared" si="11"/>
        <v>100</v>
      </c>
      <c r="V43" s="667" t="s">
        <v>14</v>
      </c>
      <c r="W43" s="668">
        <f t="shared" si="12"/>
        <v>100</v>
      </c>
      <c r="X43" s="1265"/>
      <c r="Y43" s="339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1"/>
      <c r="Q44" s="1263">
        <f t="shared" si="14"/>
        <v>111</v>
      </c>
      <c r="R44" s="667" t="s">
        <v>14</v>
      </c>
      <c r="S44" s="668">
        <f t="shared" si="10"/>
        <v>100</v>
      </c>
      <c r="T44" s="667" t="s">
        <v>14</v>
      </c>
      <c r="U44" s="668">
        <f t="shared" si="11"/>
        <v>100</v>
      </c>
      <c r="V44" s="667" t="s">
        <v>14</v>
      </c>
      <c r="W44" s="668">
        <f t="shared" si="12"/>
        <v>100</v>
      </c>
      <c r="X44" s="1265"/>
      <c r="Y44" s="339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1"/>
      <c r="Q45" s="1263">
        <f t="shared" si="14"/>
        <v>111</v>
      </c>
      <c r="R45" s="669" t="s">
        <v>14</v>
      </c>
      <c r="S45" s="670">
        <f t="shared" si="10"/>
        <v>100</v>
      </c>
      <c r="T45" s="669" t="s">
        <v>14</v>
      </c>
      <c r="U45" s="670">
        <f t="shared" si="11"/>
        <v>100</v>
      </c>
      <c r="V45" s="669" t="s">
        <v>14</v>
      </c>
      <c r="W45" s="670">
        <f t="shared" si="12"/>
        <v>100</v>
      </c>
      <c r="X45" s="671"/>
      <c r="Y45" s="339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4" t="str">
        <f>A46</f>
        <v>成交单价</v>
      </c>
      <c r="Q46" s="3384"/>
      <c r="R46" s="3385">
        <f>E46</f>
        <v>0</v>
      </c>
      <c r="S46" s="3385"/>
      <c r="T46" s="3385">
        <f>G46</f>
        <v>0</v>
      </c>
      <c r="U46" s="3385"/>
      <c r="V46" s="3385">
        <f>I46</f>
        <v>0</v>
      </c>
      <c r="W46" s="338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4" t="str">
        <f>A47</f>
        <v>比较价值（元/平方米）</v>
      </c>
      <c r="Q47" s="3384"/>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1" t="str">
        <f>A48</f>
        <v>估价对象XX用房的比较价值（楼面单价，元/平方米）</v>
      </c>
      <c r="Q48" s="3382"/>
      <c r="R48" s="3444" t="e">
        <f>ROUND(IF(D47="简单平均",AVERAGE(R47:W47),R47*F47+T47*H47+V47*J47),0)</f>
        <v>#DIV/0!</v>
      </c>
      <c r="S48" s="3444"/>
      <c r="T48" s="3444"/>
      <c r="U48" s="3444"/>
      <c r="V48" s="3444"/>
      <c r="W48" s="344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9" t="s">
        <v>1887</v>
      </c>
      <c r="H55" s="344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24442.18</v>
      </c>
      <c r="F56" s="833" t="e">
        <f t="shared" ref="F56:F64" si="15">ROUND(B56*E56/10000,0)</f>
        <v>#DIV/0!</v>
      </c>
      <c r="G56" s="3395"/>
      <c r="H56" s="338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10758.21</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35200.39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46" t="s">
        <v>1919</v>
      </c>
      <c r="D6" s="3447"/>
      <c r="E6" s="3448" t="s">
        <v>1919</v>
      </c>
      <c r="F6" s="3449"/>
      <c r="G6" s="3446" t="s">
        <v>1919</v>
      </c>
      <c r="H6" s="3447"/>
      <c r="I6" s="3446" t="s">
        <v>1919</v>
      </c>
      <c r="J6" s="3447"/>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46007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126</v>
      </c>
      <c r="G10" s="371"/>
      <c r="H10" s="119">
        <f>ROUND(100/'数据-取费表'!G16,0)</f>
        <v>126</v>
      </c>
      <c r="I10" s="371"/>
      <c r="J10" s="119">
        <f>ROUND(100/'数据-取费表'!G16,0)</f>
        <v>126</v>
      </c>
      <c r="K10" s="592"/>
      <c r="L10" s="2490"/>
      <c r="M10" s="2491"/>
      <c r="N10" s="2491"/>
      <c r="O10" s="2542"/>
      <c r="P10" s="3384"/>
      <c r="Q10" s="530" t="str">
        <f t="shared" si="6"/>
        <v>土地使用年限（年）</v>
      </c>
      <c r="R10" s="664" t="s">
        <v>14</v>
      </c>
      <c r="S10" s="665">
        <f t="shared" si="0"/>
        <v>126</v>
      </c>
      <c r="T10" s="664" t="s">
        <v>14</v>
      </c>
      <c r="U10" s="665">
        <f t="shared" si="1"/>
        <v>126</v>
      </c>
      <c r="V10" s="664" t="s">
        <v>14</v>
      </c>
      <c r="W10" s="665">
        <f t="shared" si="2"/>
        <v>126</v>
      </c>
      <c r="X10" s="666"/>
      <c r="Y10" s="3259"/>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7"/>
      <c r="Q19" s="1263" t="str">
        <f t="shared" ref="Q19:Q33" si="8">B19</f>
        <v>区域土地利用方向</v>
      </c>
      <c r="R19" s="667" t="s">
        <v>14</v>
      </c>
      <c r="S19" s="668">
        <f>F19</f>
        <v>100</v>
      </c>
      <c r="T19" s="667" t="s">
        <v>14</v>
      </c>
      <c r="U19" s="668">
        <f>H19</f>
        <v>100</v>
      </c>
      <c r="V19" s="667" t="s">
        <v>14</v>
      </c>
      <c r="W19" s="668">
        <f>J19</f>
        <v>100</v>
      </c>
      <c r="X19" s="1265"/>
      <c r="Y19" s="338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7"/>
      <c r="Q20" s="1263"/>
      <c r="R20" s="667"/>
      <c r="S20" s="668"/>
      <c r="T20" s="667"/>
      <c r="U20" s="668"/>
      <c r="V20" s="667"/>
      <c r="W20" s="668"/>
      <c r="X20" s="1265"/>
      <c r="Y20" s="338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7"/>
      <c r="Q21" s="1263" t="str">
        <f t="shared" si="8"/>
        <v>环境状况</v>
      </c>
      <c r="R21" s="667" t="s">
        <v>14</v>
      </c>
      <c r="S21" s="668">
        <f>F21</f>
        <v>100</v>
      </c>
      <c r="T21" s="667" t="s">
        <v>14</v>
      </c>
      <c r="U21" s="668">
        <f>H21</f>
        <v>100</v>
      </c>
      <c r="V21" s="667" t="s">
        <v>14</v>
      </c>
      <c r="W21" s="668">
        <f>J21</f>
        <v>100</v>
      </c>
      <c r="X21" s="1265"/>
      <c r="Y21" s="338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7"/>
      <c r="Q24" s="530"/>
      <c r="R24" s="664"/>
      <c r="S24" s="665"/>
      <c r="T24" s="664"/>
      <c r="U24" s="665"/>
      <c r="V24" s="664"/>
      <c r="W24" s="665"/>
      <c r="X24" s="666"/>
      <c r="Y24" s="338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7"/>
      <c r="Q26" s="530"/>
      <c r="R26" s="664"/>
      <c r="S26" s="665"/>
      <c r="T26" s="664"/>
      <c r="U26" s="665"/>
      <c r="V26" s="664"/>
      <c r="W26" s="665"/>
      <c r="X26" s="666"/>
      <c r="Y26" s="33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7"/>
      <c r="Q28" s="1263" t="str">
        <f t="shared" si="8"/>
        <v>毗邻道路的类型与等级</v>
      </c>
      <c r="R28" s="667" t="s">
        <v>14</v>
      </c>
      <c r="S28" s="668">
        <f t="shared" si="10"/>
        <v>100</v>
      </c>
      <c r="T28" s="667" t="s">
        <v>14</v>
      </c>
      <c r="U28" s="668">
        <f t="shared" si="11"/>
        <v>100</v>
      </c>
      <c r="V28" s="667" t="s">
        <v>14</v>
      </c>
      <c r="W28" s="668">
        <f t="shared" si="12"/>
        <v>100</v>
      </c>
      <c r="X28" s="1265"/>
      <c r="Y28" s="338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7"/>
      <c r="Q29" s="1263"/>
      <c r="R29" s="667"/>
      <c r="S29" s="668"/>
      <c r="T29" s="667"/>
      <c r="U29" s="668"/>
      <c r="V29" s="667"/>
      <c r="W29" s="668"/>
      <c r="X29" s="1265"/>
      <c r="Y29" s="338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7"/>
      <c r="Q30" s="1263" t="str">
        <f t="shared" si="8"/>
        <v>土地级别</v>
      </c>
      <c r="R30" s="667" t="s">
        <v>14</v>
      </c>
      <c r="S30" s="668">
        <f t="shared" si="10"/>
        <v>100</v>
      </c>
      <c r="T30" s="667" t="s">
        <v>14</v>
      </c>
      <c r="U30" s="668">
        <f t="shared" si="11"/>
        <v>100</v>
      </c>
      <c r="V30" s="667" t="s">
        <v>14</v>
      </c>
      <c r="W30" s="668">
        <f t="shared" si="12"/>
        <v>100</v>
      </c>
      <c r="X30" s="1265"/>
      <c r="Y30" s="338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7"/>
      <c r="Q31" s="1263">
        <f t="shared" si="8"/>
        <v>111</v>
      </c>
      <c r="R31" s="667" t="s">
        <v>14</v>
      </c>
      <c r="S31" s="668">
        <f t="shared" si="10"/>
        <v>100</v>
      </c>
      <c r="T31" s="667" t="s">
        <v>14</v>
      </c>
      <c r="U31" s="668">
        <f t="shared" si="11"/>
        <v>100</v>
      </c>
      <c r="V31" s="667" t="s">
        <v>14</v>
      </c>
      <c r="W31" s="668">
        <f t="shared" si="12"/>
        <v>100</v>
      </c>
      <c r="X31" s="1265"/>
      <c r="Y31" s="338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1" t="s">
        <v>1696</v>
      </c>
      <c r="Q32" s="1263">
        <f t="shared" si="8"/>
        <v>111</v>
      </c>
      <c r="R32" s="667" t="s">
        <v>14</v>
      </c>
      <c r="S32" s="668">
        <f t="shared" si="10"/>
        <v>100</v>
      </c>
      <c r="T32" s="667" t="s">
        <v>14</v>
      </c>
      <c r="U32" s="668">
        <f t="shared" si="11"/>
        <v>100</v>
      </c>
      <c r="V32" s="667" t="s">
        <v>14</v>
      </c>
      <c r="W32" s="668">
        <f t="shared" si="12"/>
        <v>100</v>
      </c>
      <c r="X32" s="1265"/>
      <c r="Y32" s="339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1"/>
      <c r="Q33" s="1263">
        <f t="shared" si="8"/>
        <v>111</v>
      </c>
      <c r="R33" s="669" t="s">
        <v>14</v>
      </c>
      <c r="S33" s="670">
        <f t="shared" si="10"/>
        <v>100</v>
      </c>
      <c r="T33" s="669" t="s">
        <v>14</v>
      </c>
      <c r="U33" s="670">
        <f t="shared" si="11"/>
        <v>100</v>
      </c>
      <c r="V33" s="669" t="s">
        <v>14</v>
      </c>
      <c r="W33" s="670">
        <f t="shared" si="12"/>
        <v>100</v>
      </c>
      <c r="X33" s="671"/>
      <c r="Y33" s="339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1"/>
      <c r="Q34" s="1263" t="str">
        <f>B34</f>
        <v>宗地面积</v>
      </c>
      <c r="R34" s="667" t="s">
        <v>14</v>
      </c>
      <c r="S34" s="668" t="e">
        <f t="shared" si="10"/>
        <v>#N/A</v>
      </c>
      <c r="T34" s="667" t="s">
        <v>14</v>
      </c>
      <c r="U34" s="668" t="e">
        <f t="shared" si="11"/>
        <v>#N/A</v>
      </c>
      <c r="V34" s="667" t="s">
        <v>14</v>
      </c>
      <c r="W34" s="668" t="e">
        <f t="shared" si="12"/>
        <v>#N/A</v>
      </c>
      <c r="X34" s="1265"/>
      <c r="Y34" s="339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1"/>
      <c r="Q35" s="1263" t="str">
        <f t="shared" ref="Q35:Q40" si="14">B35</f>
        <v>宗地形状</v>
      </c>
      <c r="R35" s="667" t="s">
        <v>14</v>
      </c>
      <c r="S35" s="668">
        <f t="shared" si="10"/>
        <v>100</v>
      </c>
      <c r="T35" s="667" t="s">
        <v>14</v>
      </c>
      <c r="U35" s="668">
        <f t="shared" si="11"/>
        <v>100</v>
      </c>
      <c r="V35" s="667" t="s">
        <v>14</v>
      </c>
      <c r="W35" s="668">
        <f t="shared" si="12"/>
        <v>100</v>
      </c>
      <c r="X35" s="1265"/>
      <c r="Y35" s="339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1"/>
      <c r="Q36" s="1263"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1" t="s">
        <v>1696</v>
      </c>
      <c r="Q37" s="1263" t="str">
        <f t="shared" si="14"/>
        <v>工程地质条件</v>
      </c>
      <c r="R37" s="667" t="s">
        <v>14</v>
      </c>
      <c r="S37" s="668">
        <f t="shared" si="10"/>
        <v>100</v>
      </c>
      <c r="T37" s="667" t="s">
        <v>14</v>
      </c>
      <c r="U37" s="668">
        <f t="shared" si="11"/>
        <v>100</v>
      </c>
      <c r="V37" s="667" t="s">
        <v>14</v>
      </c>
      <c r="W37" s="668">
        <f t="shared" si="12"/>
        <v>100</v>
      </c>
      <c r="X37" s="1265"/>
      <c r="Y37" s="339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1"/>
      <c r="Q38" s="1263">
        <f t="shared" si="14"/>
        <v>111</v>
      </c>
      <c r="R38" s="667" t="s">
        <v>14</v>
      </c>
      <c r="S38" s="668">
        <f t="shared" si="10"/>
        <v>100</v>
      </c>
      <c r="T38" s="667" t="s">
        <v>14</v>
      </c>
      <c r="U38" s="668">
        <f t="shared" si="11"/>
        <v>100</v>
      </c>
      <c r="V38" s="667" t="s">
        <v>14</v>
      </c>
      <c r="W38" s="668">
        <f t="shared" si="12"/>
        <v>100</v>
      </c>
      <c r="X38" s="1265"/>
      <c r="Y38" s="339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1"/>
      <c r="Q39" s="1263">
        <f t="shared" si="14"/>
        <v>111</v>
      </c>
      <c r="R39" s="667" t="s">
        <v>14</v>
      </c>
      <c r="S39" s="668">
        <f t="shared" si="10"/>
        <v>100</v>
      </c>
      <c r="T39" s="667" t="s">
        <v>14</v>
      </c>
      <c r="U39" s="668">
        <f t="shared" si="11"/>
        <v>100</v>
      </c>
      <c r="V39" s="667" t="s">
        <v>14</v>
      </c>
      <c r="W39" s="668">
        <f t="shared" si="12"/>
        <v>100</v>
      </c>
      <c r="X39" s="1265"/>
      <c r="Y39" s="339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1"/>
      <c r="Q40" s="1263">
        <f t="shared" si="14"/>
        <v>111</v>
      </c>
      <c r="R40" s="669" t="s">
        <v>14</v>
      </c>
      <c r="S40" s="670">
        <f t="shared" si="10"/>
        <v>100</v>
      </c>
      <c r="T40" s="669" t="s">
        <v>14</v>
      </c>
      <c r="U40" s="670">
        <f t="shared" si="11"/>
        <v>100</v>
      </c>
      <c r="V40" s="669" t="s">
        <v>14</v>
      </c>
      <c r="W40" s="670">
        <f t="shared" si="12"/>
        <v>100</v>
      </c>
      <c r="X40" s="671"/>
      <c r="Y40" s="339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4" t="str">
        <f>A41</f>
        <v>成交单价</v>
      </c>
      <c r="Q41" s="3384"/>
      <c r="R41" s="3385">
        <f>E41</f>
        <v>0</v>
      </c>
      <c r="S41" s="3385"/>
      <c r="T41" s="3385">
        <f>G41</f>
        <v>0</v>
      </c>
      <c r="U41" s="3385"/>
      <c r="V41" s="3385">
        <f>I41</f>
        <v>0</v>
      </c>
      <c r="W41" s="338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4" t="str">
        <f>A42</f>
        <v>比较价值（元/平方米）</v>
      </c>
      <c r="Q42" s="3384"/>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1" t="str">
        <f>A43</f>
        <v>估价对象XX用房的比较价值（楼面单价，元/平方米）</v>
      </c>
      <c r="Q43" s="3382"/>
      <c r="R43" s="3444" t="e">
        <f>ROUND(IF(D42="简单平均",AVERAGE(R42:W42),R42*F42+T42*H42+V42*J42),0)</f>
        <v>#DIV/0!</v>
      </c>
      <c r="S43" s="3444"/>
      <c r="T43" s="3444"/>
      <c r="U43" s="3444"/>
      <c r="V43" s="3444"/>
      <c r="W43" s="344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9" t="s">
        <v>1887</v>
      </c>
      <c r="H50" s="344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24442.18</v>
      </c>
      <c r="F51" s="611" t="e">
        <f t="shared" ref="F51:F60" si="15">ROUND(B51*E51/10000,0)</f>
        <v>#DIV/0!</v>
      </c>
      <c r="G51" s="3395"/>
      <c r="H51" s="338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10758.21</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20352.8</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5001</v>
      </c>
      <c r="C2" s="1984" t="s">
        <v>2074</v>
      </c>
      <c r="D2" s="1984" t="s">
        <v>2075</v>
      </c>
      <c r="E2" s="2398">
        <f ca="1">SUMIF(E6:E13,"&lt;&gt;#ref!",E6:E13)</f>
        <v>24442.18</v>
      </c>
      <c r="F2" s="2545"/>
      <c r="G2" s="2545"/>
      <c r="H2" s="2545"/>
      <c r="I2" s="2545"/>
      <c r="J2" s="2545"/>
      <c r="K2" s="2545"/>
      <c r="L2" s="2545"/>
      <c r="M2" s="2545"/>
      <c r="N2" s="2545"/>
      <c r="O2" s="2545"/>
      <c r="P2" s="2545"/>
    </row>
    <row r="3" spans="1:16" ht="15.75">
      <c r="A3" s="1984" t="s">
        <v>2076</v>
      </c>
      <c r="B3" s="2388">
        <f ca="1">ROUND(B2*10000/E2,0)</f>
        <v>2046</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5001</v>
      </c>
      <c r="C6" s="1984" t="s">
        <v>2074</v>
      </c>
      <c r="D6" s="2545"/>
      <c r="E6" s="2398">
        <f ca="1">SUMIF(INDIRECT("'"&amp;A6&amp;"'"&amp;"!C:C"),"建筑面积",INDIRECT("'"&amp;A6&amp;"'"&amp;"!D:D"))</f>
        <v>24442.18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85" sqref="E8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24442.18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5001</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Ⅵ-BDA核心</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3074</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2046</v>
      </c>
      <c r="C3" s="1846" t="s">
        <v>1941</v>
      </c>
      <c r="D3" s="162" t="s">
        <v>1942</v>
      </c>
      <c r="E3" s="3119" t="s">
        <v>2479</v>
      </c>
      <c r="F3" s="1848" t="s">
        <v>3453</v>
      </c>
      <c r="G3" s="708">
        <f>IF(F3="宗地容积率",'数据-汇总表'!I4,IF(F3="估价对象容积率",'数据-汇总表'!I6,'数据-汇总表'!I7))</f>
        <v>1.2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2423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63"/>
      <c r="B4" s="3464"/>
      <c r="C4" s="3464"/>
      <c r="D4" s="3465"/>
      <c r="E4" s="3465"/>
      <c r="F4" s="3465"/>
      <c r="G4" s="3465"/>
      <c r="H4" s="3465"/>
      <c r="I4" s="3465"/>
      <c r="J4" s="34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2047</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2298</v>
      </c>
      <c r="D5" s="1252">
        <f>ROUND(C6*C17+C20,0)</f>
        <v>2298</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1806</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2340</v>
      </c>
      <c r="D6" s="1861"/>
      <c r="E6" s="1862"/>
      <c r="F6" s="1862"/>
      <c r="G6" s="1863"/>
      <c r="H6" s="1863"/>
      <c r="I6" s="1863"/>
      <c r="J6" s="1864"/>
      <c r="K6" s="1292"/>
      <c r="L6" s="1847" t="s">
        <v>1951</v>
      </c>
      <c r="M6" s="811">
        <f>SUMPRODUCT((区片价!B127:B189=I2)*(区片价!C3:G3=E2)*(区片价!C127:G189))</f>
        <v>2340</v>
      </c>
      <c r="N6" s="813">
        <f>SUMPRODUCT((因素修正幅度!B127:B189=I2)*(因素修正幅度!C3:G3=E2)*(因素修正幅度!C127:G189))</f>
        <v>0.05</v>
      </c>
      <c r="O6" s="1056"/>
      <c r="P6" s="1056"/>
      <c r="Q6" s="1056"/>
      <c r="R6" s="1129">
        <v>5</v>
      </c>
      <c r="S6" s="3064">
        <f>ROUND(SUMPRODUCT((B106:B110=R6)*(C105:N105=G2)*(C106:N110)),4)</f>
        <v>0.84799999999999998</v>
      </c>
      <c r="T6" s="3064">
        <f t="shared" si="0"/>
        <v>1735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1.2</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62"/>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6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7" t="s">
        <v>3254</v>
      </c>
      <c r="B20" s="159" t="s">
        <v>1994</v>
      </c>
      <c r="C20" s="3032">
        <f>ROUND(IF(F21="与级别开发程度一致",0,(G21-E21)/C21),0)</f>
        <v>-42</v>
      </c>
      <c r="D20" s="3047" t="s">
        <v>1998</v>
      </c>
      <c r="E20" s="3048"/>
      <c r="F20" s="3473" t="s">
        <v>1995</v>
      </c>
      <c r="G20" s="3474"/>
      <c r="H20" s="3033" t="s">
        <v>3444</v>
      </c>
      <c r="I20" s="3033" t="s">
        <v>3445</v>
      </c>
      <c r="J20" s="3034" t="s">
        <v>3446</v>
      </c>
      <c r="K20" s="1889" t="s">
        <v>3447</v>
      </c>
      <c r="L20" s="1889" t="s">
        <v>3448</v>
      </c>
      <c r="M20" s="1889"/>
      <c r="N20" s="1889" t="s">
        <v>3450</v>
      </c>
      <c r="O20" s="1890" t="s">
        <v>3449</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8"/>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0</v>
      </c>
      <c r="N21" s="2003">
        <f>SUMPRODUCT((七通一平=N20)*(修正!B1:M1=G2)*(修正!B8:M16))</f>
        <v>40</v>
      </c>
      <c r="O21" s="2005">
        <f>SUMPRODUCT((七通一平=O20)*(修正!B1:M1=G2)*(修正!B8:M16))</f>
        <v>15</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896" t="s">
        <v>2002</v>
      </c>
      <c r="E23" s="717">
        <v>44197</v>
      </c>
      <c r="F23" s="1896" t="s">
        <v>2003</v>
      </c>
      <c r="G23" s="718">
        <f>'数据-取费表'!B2</f>
        <v>46007</v>
      </c>
      <c r="H23" s="3049" t="s">
        <v>3451</v>
      </c>
      <c r="I23" s="3050" t="str">
        <f>IF(H23="季度增幅（自定义）",SUMIF(N25:N28,E2,O25:O28),"")</f>
        <v/>
      </c>
      <c r="J23" s="3142" t="s">
        <v>3452</v>
      </c>
      <c r="K23" s="1061"/>
      <c r="L23" s="1897" t="s">
        <v>2004</v>
      </c>
      <c r="M23" s="1241">
        <f>ROUND(SUMIF(地价!B2:G2,E2,地价!B16:G16),0)</f>
        <v>318</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0.79410000000000003</v>
      </c>
      <c r="D24" s="1902" t="s">
        <v>2007</v>
      </c>
      <c r="E24" s="1248">
        <f>存贷款利率!E28/100</f>
        <v>4.3499999999999997E-2</v>
      </c>
      <c r="F24" s="1902" t="s">
        <v>1999</v>
      </c>
      <c r="G24" s="724">
        <f>SUMIF(M30:Q30,E2,M33:Q33)</f>
        <v>0.05</v>
      </c>
      <c r="H24" s="1902" t="s">
        <v>2008</v>
      </c>
      <c r="I24" s="725">
        <f>SUMIF('数据-取费表'!C6:C15,E2,'数据-取费表'!F6:F15)/COUNTIF('数据-取费表'!C6:C15,E2)</f>
        <v>26.45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1.0293000000000001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5001</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2046</v>
      </c>
      <c r="D33" s="1940">
        <f>'数据-汇总表'!F31</f>
        <v>24442.18</v>
      </c>
      <c r="E33" s="727">
        <f>ROUND(C33*D33/10000,0)</f>
        <v>5001</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307</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1"/>
      <c r="B37" s="1955" t="s">
        <v>2036</v>
      </c>
      <c r="C37" s="167">
        <f>ROUND(D5*C22*C23*C24*C28*F37,0)</f>
        <v>1228</v>
      </c>
      <c r="D37" s="1940"/>
      <c r="E37" s="163">
        <f>ROUND(C37*D37/10000,0)</f>
        <v>0</v>
      </c>
      <c r="F37" s="163">
        <f>SUMIF(修正!A59:A70,G2,修正!B59:B70)</f>
        <v>0.6</v>
      </c>
      <c r="G37" s="163">
        <f>ROUND(IF(E2="工业",C37*$M$42,C37*$M$41),0)</f>
        <v>184</v>
      </c>
      <c r="H37" s="163">
        <f>D37</f>
        <v>0</v>
      </c>
      <c r="I37" s="163">
        <f>ROUND(G37*H37/10000,0)</f>
        <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2"/>
      <c r="B38" s="1884" t="s">
        <v>2037</v>
      </c>
      <c r="C38" s="167">
        <f>ROUND(D5*C22*C23*C24*C28*F38,0)</f>
        <v>614</v>
      </c>
      <c r="D38" s="1940"/>
      <c r="E38" s="163">
        <f t="shared" ref="E38:E42" si="4">ROUND(C38*D38/10000,0)</f>
        <v>0</v>
      </c>
      <c r="F38" s="163">
        <f>SUMIF(修正!A59:A70,G2,修正!C59:C70)</f>
        <v>0.3</v>
      </c>
      <c r="G38" s="163">
        <f>ROUND(IF(E2="工业",C38*$M$42,C38*$M$41),0)</f>
        <v>92</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2"/>
      <c r="B39" s="1884" t="s">
        <v>3257</v>
      </c>
      <c r="C39" s="167">
        <f>ROUND(D5*C22*C23*C24*C28*F39,0)</f>
        <v>512</v>
      </c>
      <c r="D39" s="1940"/>
      <c r="E39" s="163">
        <f t="shared" si="4"/>
        <v>0</v>
      </c>
      <c r="F39" s="163">
        <f>SUMIF(修正!A59:A70,G2,修正!D59:D70)</f>
        <v>0.25</v>
      </c>
      <c r="G39" s="163">
        <f>ROUND(IF(E2="工业",C39*$M$42,C39*$M$41),0)</f>
        <v>77</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512</v>
      </c>
      <c r="D40" s="1940"/>
      <c r="E40" s="163">
        <f t="shared" si="4"/>
        <v>0</v>
      </c>
      <c r="F40" s="167">
        <f>SUMIF(修正!A59:A70,G2,修正!E59:E70)</f>
        <v>0.25</v>
      </c>
      <c r="G40" s="163">
        <f>ROUND(IF(E2="工业",C40*$M$42,C40*$M$41),0)</f>
        <v>77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hidden="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hidden="1">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hidden="1">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hidden="1">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hidden="1">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hidden="1">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hidden="1">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hidden="1">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hidden="1"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1.0293000000000001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3454</v>
      </c>
      <c r="D83" s="1002">
        <f t="shared" ref="D83:D90" si="22">SUMIF($J$82:$N$82,C83,J83:N83)</f>
        <v>1.2999999999999999E-2</v>
      </c>
      <c r="E83" s="702">
        <f>ROUND(SUM(D83:D90),4)</f>
        <v>2.93E-2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3455</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3268</v>
      </c>
      <c r="B85" s="1262">
        <f>估价对象房地状况!G17</f>
        <v>0</v>
      </c>
      <c r="C85" s="1887" t="s">
        <v>3455</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3457</v>
      </c>
      <c r="D86" s="1002">
        <f t="shared" si="22"/>
        <v>-1.1999999999999999E-3</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5.5">
      <c r="A87" s="1970" t="s">
        <v>2059</v>
      </c>
      <c r="B87" s="1240" t="str">
        <f>估价对象房地状况!G19</f>
        <v>估价对象所在区域公共配套设施齐备情况</v>
      </c>
      <c r="C87" s="1887" t="s">
        <v>3456</v>
      </c>
      <c r="D87" s="1002">
        <f t="shared" si="22"/>
        <v>0</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5.5">
      <c r="A88" s="1970" t="s">
        <v>2060</v>
      </c>
      <c r="B88" s="1240" t="str">
        <f>估价对象房地状况!G20</f>
        <v>估价对象所在区域基础设施水平</v>
      </c>
      <c r="C88" s="1887" t="s">
        <v>3454</v>
      </c>
      <c r="D88" s="1002">
        <f t="shared" si="22"/>
        <v>6.0000000000000001E-3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3455</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39" thickBot="1">
      <c r="A90" s="1977" t="s">
        <v>2072</v>
      </c>
      <c r="B90" s="1982" t="str">
        <f>估价对象房地状况!G18</f>
        <v>该园区内是否有污染型企业，绿化情况，卫生条件，整体环境状况判断</v>
      </c>
      <c r="C90" s="1887" t="s">
        <v>3456</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3271</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3267</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3272</v>
      </c>
      <c r="B96" s="3087" t="s">
        <v>3283</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3273</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3274</v>
      </c>
      <c r="B98" s="3088" t="s">
        <v>3284</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3275</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3276</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3277</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69" t="s">
        <v>3292</v>
      </c>
      <c r="B103" s="3469"/>
      <c r="C103" s="3469"/>
      <c r="D103" s="3469"/>
      <c r="E103" s="3469"/>
      <c r="F103" s="3469"/>
      <c r="G103" s="3469"/>
      <c r="H103" s="3469"/>
      <c r="I103" s="3469"/>
      <c r="J103" s="3469"/>
      <c r="K103" s="1667"/>
      <c r="L103" s="1667"/>
      <c r="M103" s="1667"/>
      <c r="N103" s="1667"/>
    </row>
    <row r="104" spans="1:14">
      <c r="A104" s="3470" t="s">
        <v>3293</v>
      </c>
      <c r="B104" s="3470" t="s">
        <v>3294</v>
      </c>
      <c r="C104" s="3091" t="s">
        <v>3295</v>
      </c>
      <c r="D104" s="3092"/>
      <c r="E104" s="3092"/>
      <c r="F104" s="3092"/>
      <c r="G104" s="3092"/>
      <c r="H104" s="3092"/>
      <c r="I104" s="3092"/>
      <c r="J104" s="3093"/>
      <c r="K104" s="3094"/>
      <c r="L104" s="3094"/>
      <c r="M104" s="3094"/>
      <c r="N104" s="3094"/>
    </row>
    <row r="105" spans="1:14">
      <c r="A105" s="3470"/>
      <c r="B105" s="3470"/>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56"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7"/>
      <c r="B111" s="3095" t="s">
        <v>3266</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58"/>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59" t="s">
        <v>3309</v>
      </c>
      <c r="B113" s="3459"/>
      <c r="C113" s="3459"/>
      <c r="D113" s="3459"/>
      <c r="E113" s="3459"/>
      <c r="F113" s="3459"/>
      <c r="G113" s="3459"/>
      <c r="H113" s="3459"/>
      <c r="I113" s="3459"/>
      <c r="J113" s="345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1.2</v>
      </c>
      <c r="C116" s="3100" t="s">
        <v>3311</v>
      </c>
      <c r="D116" s="3101">
        <f>SUMPRODUCT((A118:A122=F116)*(B117:M117=H116)*B118:M122)</f>
        <v>0.63959999999999995</v>
      </c>
      <c r="E116" s="162" t="s">
        <v>3312</v>
      </c>
      <c r="F116" s="3102" t="str">
        <f>E2</f>
        <v>工业</v>
      </c>
      <c r="G116" s="162" t="s">
        <v>3313</v>
      </c>
      <c r="H116" s="3102" t="str">
        <f>G2</f>
        <v>六级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0.98360000000000003</v>
      </c>
      <c r="C118" s="3090">
        <f>B118</f>
        <v>0.98360000000000003</v>
      </c>
      <c r="D118" s="3090">
        <f>ROUND(0.949-0.014*B116,4)</f>
        <v>0.93220000000000003</v>
      </c>
      <c r="E118" s="3090">
        <f>D118</f>
        <v>0.93220000000000003</v>
      </c>
      <c r="F118" s="3090">
        <f>E118</f>
        <v>0.93220000000000003</v>
      </c>
      <c r="G118" s="3090">
        <f>F118</f>
        <v>0.93220000000000003</v>
      </c>
      <c r="H118" s="3090">
        <f>G118</f>
        <v>0.93220000000000003</v>
      </c>
      <c r="I118" s="3090">
        <f>ROUND(0.8486-0.018*B116,4)</f>
        <v>0.82699999999999996</v>
      </c>
      <c r="J118" s="3090">
        <f t="shared" ref="J118:M122" si="36">I118</f>
        <v>0.82699999999999996</v>
      </c>
      <c r="K118" s="3090">
        <f t="shared" si="36"/>
        <v>0.82699999999999996</v>
      </c>
      <c r="L118" s="3090">
        <f t="shared" si="36"/>
        <v>0.82699999999999996</v>
      </c>
      <c r="M118" s="3110">
        <f t="shared" si="36"/>
        <v>0.82699999999999996</v>
      </c>
      <c r="N118" s="3098"/>
    </row>
    <row r="119" spans="1:14">
      <c r="A119" s="3058" t="s">
        <v>3327</v>
      </c>
      <c r="B119" s="3090">
        <f>ROUND(0.993-0.0112*B116,4)</f>
        <v>0.97960000000000003</v>
      </c>
      <c r="C119" s="3090">
        <f>B119</f>
        <v>0.97960000000000003</v>
      </c>
      <c r="D119" s="3090">
        <f>ROUND(0.9415-0.0142*B116,4)</f>
        <v>0.92449999999999999</v>
      </c>
      <c r="E119" s="3090">
        <f t="shared" ref="E119:H120" si="37">D119</f>
        <v>0.92449999999999999</v>
      </c>
      <c r="F119" s="3090">
        <f t="shared" si="37"/>
        <v>0.92449999999999999</v>
      </c>
      <c r="G119" s="3090">
        <f t="shared" si="37"/>
        <v>0.92449999999999999</v>
      </c>
      <c r="H119" s="3090">
        <f t="shared" si="37"/>
        <v>0.92449999999999999</v>
      </c>
      <c r="I119" s="3090">
        <f>ROUND(0.838-0.0182*B116,4)</f>
        <v>0.81620000000000004</v>
      </c>
      <c r="J119" s="3090">
        <f t="shared" si="36"/>
        <v>0.81620000000000004</v>
      </c>
      <c r="K119" s="3090">
        <f t="shared" si="36"/>
        <v>0.81620000000000004</v>
      </c>
      <c r="L119" s="3090">
        <f t="shared" si="36"/>
        <v>0.81620000000000004</v>
      </c>
      <c r="M119" s="3110">
        <f t="shared" si="36"/>
        <v>0.81620000000000004</v>
      </c>
      <c r="N119" s="3098"/>
    </row>
    <row r="120" spans="1:14">
      <c r="A120" s="3058" t="s">
        <v>3328</v>
      </c>
      <c r="B120" s="3090">
        <f>ROUND(0.9448-0.0115*B116,4)</f>
        <v>0.93100000000000005</v>
      </c>
      <c r="C120" s="3090">
        <f>B120</f>
        <v>0.93100000000000005</v>
      </c>
      <c r="D120" s="3090">
        <f>ROUND(0.937-0.0145*B116,4)</f>
        <v>0.91959999999999997</v>
      </c>
      <c r="E120" s="3090">
        <f t="shared" si="37"/>
        <v>0.91959999999999997</v>
      </c>
      <c r="F120" s="3090">
        <f t="shared" si="37"/>
        <v>0.91959999999999997</v>
      </c>
      <c r="G120" s="3090">
        <f t="shared" si="37"/>
        <v>0.91959999999999997</v>
      </c>
      <c r="H120" s="3090">
        <f t="shared" si="37"/>
        <v>0.91959999999999997</v>
      </c>
      <c r="I120" s="3090">
        <f>ROUND(0.7965-0.0185*B116,4)</f>
        <v>0.77429999999999999</v>
      </c>
      <c r="J120" s="3090">
        <f t="shared" si="36"/>
        <v>0.77429999999999999</v>
      </c>
      <c r="K120" s="3090">
        <f t="shared" si="36"/>
        <v>0.77429999999999999</v>
      </c>
      <c r="L120" s="3090">
        <f t="shared" si="36"/>
        <v>0.77429999999999999</v>
      </c>
      <c r="M120" s="3110">
        <f t="shared" si="36"/>
        <v>0.77429999999999999</v>
      </c>
      <c r="N120" s="3098"/>
    </row>
    <row r="121" spans="1:14" ht="13.5" thickBot="1">
      <c r="A121" s="3111" t="s">
        <v>3329</v>
      </c>
      <c r="B121" s="3112">
        <f>ROUND(0.7836-0.012*B116,4)</f>
        <v>0.76919999999999999</v>
      </c>
      <c r="C121" s="3112">
        <f>B121</f>
        <v>0.76919999999999999</v>
      </c>
      <c r="D121" s="3112">
        <f>ROUND(0.753-0.015*B116,4)</f>
        <v>0.73499999999999999</v>
      </c>
      <c r="E121" s="3112">
        <f>D121</f>
        <v>0.73499999999999999</v>
      </c>
      <c r="F121" s="3112">
        <f>E121</f>
        <v>0.73499999999999999</v>
      </c>
      <c r="G121" s="3112">
        <f>ROUND(0.6612-0.018*B116,4)</f>
        <v>0.63959999999999995</v>
      </c>
      <c r="H121" s="3112">
        <f>G121</f>
        <v>0.63959999999999995</v>
      </c>
      <c r="I121" s="3112">
        <f>ROUND(0.5905-0.019*B116,4)</f>
        <v>0.56769999999999998</v>
      </c>
      <c r="J121" s="3112">
        <f t="shared" si="36"/>
        <v>0.56769999999999998</v>
      </c>
      <c r="K121" s="3112">
        <f t="shared" si="36"/>
        <v>0.56769999999999998</v>
      </c>
      <c r="L121" s="3112">
        <f t="shared" si="36"/>
        <v>0.56769999999999998</v>
      </c>
      <c r="M121" s="3113">
        <f t="shared" si="36"/>
        <v>0.56769999999999998</v>
      </c>
      <c r="N121" s="3098"/>
    </row>
    <row r="122" spans="1:14">
      <c r="A122" s="3114" t="s">
        <v>2612</v>
      </c>
      <c r="B122" s="3090">
        <f>ROUND(0.9404-0.0106*B116,4)</f>
        <v>0.92769999999999997</v>
      </c>
      <c r="C122" s="3090">
        <f>B122</f>
        <v>0.92769999999999997</v>
      </c>
      <c r="D122" s="3090">
        <f>ROUND(0.8955-0.0135*B116,4)</f>
        <v>0.87929999999999997</v>
      </c>
      <c r="E122" s="3090">
        <f t="shared" ref="E122:H122" si="38">D122</f>
        <v>0.87929999999999997</v>
      </c>
      <c r="F122" s="3090">
        <f t="shared" si="38"/>
        <v>0.87929999999999997</v>
      </c>
      <c r="G122" s="3090">
        <f t="shared" si="38"/>
        <v>0.87929999999999997</v>
      </c>
      <c r="H122" s="3090">
        <f t="shared" si="38"/>
        <v>0.87929999999999997</v>
      </c>
      <c r="I122" s="3090">
        <f>ROUND(0.7632-0.0166*B116,4)</f>
        <v>0.74329999999999996</v>
      </c>
      <c r="J122" s="3090">
        <f t="shared" si="36"/>
        <v>0.74329999999999996</v>
      </c>
      <c r="K122" s="3090">
        <f t="shared" si="36"/>
        <v>0.74329999999999996</v>
      </c>
      <c r="L122" s="3090">
        <f t="shared" si="36"/>
        <v>0.74329999999999996</v>
      </c>
      <c r="M122" s="3110">
        <f t="shared" si="36"/>
        <v>0.74329999999999996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55A2D-B59A-4674-9555-AC79E712A0D8}">
  <dimension ref="B2:D7"/>
  <sheetViews>
    <sheetView workbookViewId="0">
      <selection activeCell="D6" sqref="D6"/>
    </sheetView>
  </sheetViews>
  <sheetFormatPr defaultRowHeight="14.25"/>
  <cols>
    <col min="1" max="16384" width="9" style="3507"/>
  </cols>
  <sheetData>
    <row r="2" spans="2:4">
      <c r="B2" s="3507" t="s">
        <v>3422</v>
      </c>
      <c r="C2" s="3507">
        <v>20352.8</v>
      </c>
    </row>
    <row r="5" spans="2:4">
      <c r="B5" s="3507" t="s">
        <v>3423</v>
      </c>
      <c r="C5" s="3507" t="s">
        <v>3424</v>
      </c>
      <c r="D5" s="3507">
        <f>35170.99-D6</f>
        <v>24412.78</v>
      </c>
    </row>
    <row r="6" spans="2:4">
      <c r="C6" s="3507" t="s">
        <v>3425</v>
      </c>
      <c r="D6" s="3507">
        <v>10758.21</v>
      </c>
    </row>
    <row r="7" spans="2:4">
      <c r="B7" s="3507" t="s">
        <v>3426</v>
      </c>
      <c r="C7" s="3507" t="s">
        <v>3427</v>
      </c>
      <c r="D7" s="3507">
        <v>29.4</v>
      </c>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86" t="s">
        <v>2607</v>
      </c>
      <c r="B20" s="3479" t="s">
        <v>2628</v>
      </c>
      <c r="C20" s="3169" t="s">
        <v>2439</v>
      </c>
      <c r="D20" s="3169"/>
      <c r="E20" s="2845">
        <v>1</v>
      </c>
      <c r="F20" s="2846" t="s">
        <v>2440</v>
      </c>
      <c r="G20" s="2846"/>
    </row>
    <row r="21" spans="1:13" ht="19.5" customHeight="1">
      <c r="A21" s="3487"/>
      <c r="B21" s="3475"/>
      <c r="C21" s="2858" t="s">
        <v>2441</v>
      </c>
      <c r="D21" s="2858"/>
      <c r="E21" s="2849">
        <v>1</v>
      </c>
      <c r="F21" s="2846" t="s">
        <v>2442</v>
      </c>
      <c r="G21" s="2846"/>
    </row>
    <row r="22" spans="1:13" ht="19.5" customHeight="1">
      <c r="A22" s="3487"/>
      <c r="B22" s="3475"/>
      <c r="C22" s="2858" t="s">
        <v>2443</v>
      </c>
      <c r="D22" s="2858"/>
      <c r="E22" s="2849">
        <v>0.9</v>
      </c>
      <c r="F22" s="2846" t="s">
        <v>2444</v>
      </c>
      <c r="G22" s="2846"/>
    </row>
    <row r="23" spans="1:13" ht="19.5" customHeight="1">
      <c r="A23" s="3487"/>
      <c r="B23" s="3475"/>
      <c r="C23" s="2858" t="s">
        <v>2445</v>
      </c>
      <c r="D23" s="2858"/>
      <c r="E23" s="2849">
        <v>0.9</v>
      </c>
      <c r="F23" s="2846" t="s">
        <v>2446</v>
      </c>
      <c r="G23" s="2846"/>
    </row>
    <row r="24" spans="1:13" ht="19.5" customHeight="1">
      <c r="A24" s="3487"/>
      <c r="B24" s="3475"/>
      <c r="C24" s="2858" t="s">
        <v>2447</v>
      </c>
      <c r="D24" s="2858"/>
      <c r="E24" s="2849">
        <v>0.8</v>
      </c>
      <c r="F24" s="2846" t="s">
        <v>2448</v>
      </c>
      <c r="G24" s="2846"/>
    </row>
    <row r="25" spans="1:13" ht="19.5" customHeight="1">
      <c r="A25" s="3487"/>
      <c r="B25" s="3475"/>
      <c r="C25" s="2858" t="s">
        <v>2449</v>
      </c>
      <c r="D25" s="2858"/>
      <c r="E25" s="2849">
        <v>0.8</v>
      </c>
      <c r="F25" s="2846"/>
      <c r="G25" s="2846"/>
    </row>
    <row r="26" spans="1:13" ht="19.5" customHeight="1">
      <c r="A26" s="3487"/>
      <c r="B26" s="3475"/>
      <c r="C26" s="2858" t="s">
        <v>3407</v>
      </c>
      <c r="D26" s="2858"/>
      <c r="E26" s="2849">
        <v>0.43</v>
      </c>
      <c r="F26" s="2846"/>
      <c r="G26" s="2846"/>
    </row>
    <row r="27" spans="1:13" ht="19.5" customHeight="1" thickBot="1">
      <c r="A27" s="3488"/>
      <c r="B27" s="3480"/>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1" t="s">
        <v>2631</v>
      </c>
      <c r="B29" s="3484" t="s">
        <v>2612</v>
      </c>
      <c r="C29" s="2843" t="s">
        <v>2452</v>
      </c>
      <c r="D29" s="2844"/>
      <c r="E29" s="2845">
        <v>1</v>
      </c>
      <c r="F29" s="2846" t="s">
        <v>2453</v>
      </c>
      <c r="G29" s="2846"/>
    </row>
    <row r="30" spans="1:13" ht="19.5" customHeight="1">
      <c r="A30" s="3482"/>
      <c r="B30" s="3478"/>
      <c r="C30" s="2847" t="s">
        <v>2454</v>
      </c>
      <c r="D30" s="2848"/>
      <c r="E30" s="2849">
        <v>1</v>
      </c>
      <c r="F30" s="2846" t="s">
        <v>2455</v>
      </c>
      <c r="G30" s="2846"/>
    </row>
    <row r="31" spans="1:13" ht="19.5" customHeight="1">
      <c r="A31" s="3482"/>
      <c r="B31" s="3478"/>
      <c r="C31" s="2847" t="s">
        <v>2456</v>
      </c>
      <c r="D31" s="2848"/>
      <c r="E31" s="2849">
        <v>0.8</v>
      </c>
      <c r="F31" s="2846" t="s">
        <v>2457</v>
      </c>
      <c r="G31" s="2846"/>
    </row>
    <row r="32" spans="1:13" ht="19.5" customHeight="1">
      <c r="A32" s="3482"/>
      <c r="B32" s="3478"/>
      <c r="C32" s="2847" t="s">
        <v>2458</v>
      </c>
      <c r="D32" s="2848"/>
      <c r="E32" s="2849">
        <v>0.8</v>
      </c>
      <c r="F32" s="2846" t="s">
        <v>2459</v>
      </c>
      <c r="G32" s="2846"/>
    </row>
    <row r="33" spans="1:7" ht="19.5" customHeight="1">
      <c r="A33" s="3482"/>
      <c r="B33" s="3478"/>
      <c r="C33" s="2847" t="s">
        <v>2460</v>
      </c>
      <c r="D33" s="2848"/>
      <c r="E33" s="2849">
        <v>0.8</v>
      </c>
      <c r="F33" s="2846" t="s">
        <v>2461</v>
      </c>
      <c r="G33" s="2846"/>
    </row>
    <row r="34" spans="1:7" ht="19.5" customHeight="1">
      <c r="A34" s="3482"/>
      <c r="B34" s="3478"/>
      <c r="C34" s="2847" t="s">
        <v>2462</v>
      </c>
      <c r="D34" s="2848"/>
      <c r="E34" s="2849">
        <v>0.7</v>
      </c>
      <c r="F34" s="2846" t="s">
        <v>2463</v>
      </c>
      <c r="G34" s="2846"/>
    </row>
    <row r="35" spans="1:7" ht="19.5" customHeight="1">
      <c r="A35" s="3482"/>
      <c r="B35" s="3478"/>
      <c r="C35" s="2847" t="s">
        <v>2464</v>
      </c>
      <c r="D35" s="2848"/>
      <c r="E35" s="2849">
        <v>0.8</v>
      </c>
      <c r="F35" s="2846" t="s">
        <v>2465</v>
      </c>
      <c r="G35" s="2846"/>
    </row>
    <row r="36" spans="1:7" ht="19.5" customHeight="1">
      <c r="A36" s="3482"/>
      <c r="B36" s="3478"/>
      <c r="C36" s="2847" t="s">
        <v>2466</v>
      </c>
      <c r="D36" s="2848"/>
      <c r="E36" s="2849">
        <v>0.6</v>
      </c>
      <c r="F36" s="2846" t="s">
        <v>2467</v>
      </c>
      <c r="G36" s="2846"/>
    </row>
    <row r="37" spans="1:7" ht="19.5" customHeight="1">
      <c r="A37" s="3482"/>
      <c r="B37" s="3478"/>
      <c r="C37" s="2847" t="s">
        <v>2468</v>
      </c>
      <c r="D37" s="2848"/>
      <c r="E37" s="2849">
        <v>0.2</v>
      </c>
      <c r="F37" s="2846" t="s">
        <v>2469</v>
      </c>
      <c r="G37" s="2846"/>
    </row>
    <row r="38" spans="1:7" ht="19.5" customHeight="1">
      <c r="A38" s="3482"/>
      <c r="B38" s="3478"/>
      <c r="C38" s="2847" t="s">
        <v>2470</v>
      </c>
      <c r="D38" s="2848"/>
      <c r="E38" s="2849">
        <v>0.2</v>
      </c>
      <c r="F38" s="2846" t="s">
        <v>2471</v>
      </c>
      <c r="G38" s="2846"/>
    </row>
    <row r="39" spans="1:7" ht="19.5" customHeight="1">
      <c r="A39" s="3482"/>
      <c r="B39" s="3476" t="s">
        <v>2632</v>
      </c>
      <c r="C39" s="2847" t="s">
        <v>2472</v>
      </c>
      <c r="D39" s="2848"/>
      <c r="E39" s="2849">
        <v>0.6</v>
      </c>
      <c r="F39" s="2846" t="s">
        <v>2473</v>
      </c>
      <c r="G39" s="2846"/>
    </row>
    <row r="40" spans="1:7" ht="19.5" customHeight="1">
      <c r="A40" s="3482"/>
      <c r="B40" s="3478"/>
      <c r="C40" s="2847" t="s">
        <v>2474</v>
      </c>
      <c r="D40" s="2848"/>
      <c r="E40" s="2849">
        <v>0.6</v>
      </c>
      <c r="F40" s="2846" t="s">
        <v>2475</v>
      </c>
      <c r="G40" s="2846"/>
    </row>
    <row r="41" spans="1:7" ht="19.5" customHeight="1" thickBot="1">
      <c r="A41" s="3483"/>
      <c r="B41" s="3485"/>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86" t="s">
        <v>2610</v>
      </c>
      <c r="B43" s="3484" t="s">
        <v>2634</v>
      </c>
      <c r="C43" s="2843" t="s">
        <v>2479</v>
      </c>
      <c r="D43" s="2844"/>
      <c r="E43" s="2845">
        <v>1</v>
      </c>
      <c r="F43" s="2846" t="s">
        <v>2480</v>
      </c>
      <c r="G43" s="2846"/>
    </row>
    <row r="44" spans="1:7" ht="19.5" customHeight="1">
      <c r="A44" s="3487"/>
      <c r="B44" s="3478"/>
      <c r="C44" s="2847" t="s">
        <v>2481</v>
      </c>
      <c r="D44" s="2848"/>
      <c r="E44" s="2849">
        <v>1</v>
      </c>
      <c r="F44" s="2846" t="s">
        <v>2482</v>
      </c>
      <c r="G44" s="2846"/>
    </row>
    <row r="45" spans="1:7" ht="19.5" customHeight="1">
      <c r="A45" s="3487"/>
      <c r="B45" s="3477"/>
      <c r="C45" s="2847" t="s">
        <v>2483</v>
      </c>
      <c r="D45" s="2848"/>
      <c r="E45" s="2849">
        <v>1.5</v>
      </c>
      <c r="F45" s="2846" t="s">
        <v>2484</v>
      </c>
      <c r="G45" s="2846"/>
    </row>
    <row r="46" spans="1:7" ht="19.5" customHeight="1">
      <c r="A46" s="3487"/>
      <c r="B46" s="2858" t="s">
        <v>2635</v>
      </c>
      <c r="C46" s="2847" t="s">
        <v>2636</v>
      </c>
      <c r="D46" s="2848"/>
      <c r="E46" s="2849">
        <v>2</v>
      </c>
      <c r="F46" s="2846" t="s">
        <v>2485</v>
      </c>
      <c r="G46" s="2846"/>
    </row>
    <row r="47" spans="1:7" ht="19.5" customHeight="1">
      <c r="A47" s="3487"/>
      <c r="B47" s="3476" t="s">
        <v>2637</v>
      </c>
      <c r="C47" s="2847" t="s">
        <v>2486</v>
      </c>
      <c r="D47" s="2848"/>
      <c r="E47" s="2849">
        <v>1</v>
      </c>
      <c r="F47" s="2846" t="s">
        <v>2487</v>
      </c>
      <c r="G47" s="2846"/>
    </row>
    <row r="48" spans="1:7" ht="19.5" customHeight="1">
      <c r="A48" s="3487"/>
      <c r="B48" s="3478"/>
      <c r="C48" s="2847" t="s">
        <v>2488</v>
      </c>
      <c r="D48" s="2848"/>
      <c r="E48" s="2849">
        <v>1</v>
      </c>
      <c r="F48" s="2846" t="s">
        <v>2489</v>
      </c>
      <c r="G48" s="2846"/>
    </row>
    <row r="49" spans="1:7" ht="19.5" customHeight="1">
      <c r="A49" s="3487"/>
      <c r="B49" s="3478"/>
      <c r="C49" s="2847" t="s">
        <v>2490</v>
      </c>
      <c r="D49" s="2848"/>
      <c r="E49" s="2849">
        <v>1</v>
      </c>
      <c r="F49" s="2846" t="s">
        <v>2491</v>
      </c>
      <c r="G49" s="2846"/>
    </row>
    <row r="50" spans="1:7" ht="19.5" customHeight="1">
      <c r="A50" s="3487"/>
      <c r="B50" s="3478"/>
      <c r="C50" s="2847" t="s">
        <v>2492</v>
      </c>
      <c r="D50" s="2848"/>
      <c r="E50" s="2849">
        <v>1</v>
      </c>
      <c r="F50" s="2846" t="s">
        <v>2493</v>
      </c>
      <c r="G50" s="2846"/>
    </row>
    <row r="51" spans="1:7" ht="19.5" customHeight="1">
      <c r="A51" s="3487"/>
      <c r="B51" s="3478"/>
      <c r="C51" s="2847" t="s">
        <v>2494</v>
      </c>
      <c r="D51" s="2848"/>
      <c r="E51" s="2849">
        <v>1</v>
      </c>
      <c r="F51" s="2846" t="s">
        <v>2495</v>
      </c>
      <c r="G51" s="2846"/>
    </row>
    <row r="52" spans="1:7" ht="19.5" customHeight="1">
      <c r="A52" s="3487"/>
      <c r="B52" s="3478"/>
      <c r="C52" s="2847" t="s">
        <v>2496</v>
      </c>
      <c r="D52" s="2848"/>
      <c r="E52" s="2849">
        <v>1</v>
      </c>
      <c r="F52" s="2846" t="s">
        <v>2497</v>
      </c>
      <c r="G52" s="2846"/>
    </row>
    <row r="53" spans="1:7" ht="19.5" customHeight="1" thickBot="1">
      <c r="A53" s="3488"/>
      <c r="B53" s="3485"/>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476" t="s">
        <v>2651</v>
      </c>
      <c r="C75" s="2832" t="s">
        <v>2652</v>
      </c>
      <c r="D75" s="2832" t="s">
        <v>2653</v>
      </c>
      <c r="E75" s="2858">
        <v>0.2</v>
      </c>
      <c r="F75" s="2858">
        <v>25</v>
      </c>
    </row>
    <row r="76" spans="1:7" ht="24">
      <c r="A76" s="2858">
        <v>2</v>
      </c>
      <c r="B76" s="3478"/>
      <c r="C76" s="2832" t="s">
        <v>2654</v>
      </c>
      <c r="D76" s="2832" t="s">
        <v>2655</v>
      </c>
      <c r="E76" s="2858">
        <v>0.2</v>
      </c>
      <c r="F76" s="2858">
        <v>25</v>
      </c>
    </row>
    <row r="77" spans="1:7" ht="24">
      <c r="A77" s="2858">
        <v>3</v>
      </c>
      <c r="B77" s="3478"/>
      <c r="C77" s="2832" t="s">
        <v>2656</v>
      </c>
      <c r="D77" s="2832" t="s">
        <v>2657</v>
      </c>
      <c r="E77" s="2858">
        <v>0.2</v>
      </c>
      <c r="F77" s="2858">
        <v>25</v>
      </c>
    </row>
    <row r="78" spans="1:7" ht="13.5">
      <c r="A78" s="2858">
        <v>4</v>
      </c>
      <c r="B78" s="3478"/>
      <c r="C78" s="2832" t="s">
        <v>2658</v>
      </c>
      <c r="D78" s="2832" t="s">
        <v>2659</v>
      </c>
      <c r="E78" s="2858">
        <v>0.15</v>
      </c>
      <c r="F78" s="2858">
        <v>20</v>
      </c>
    </row>
    <row r="79" spans="1:7" ht="24">
      <c r="A79" s="2858">
        <v>5</v>
      </c>
      <c r="B79" s="3478"/>
      <c r="C79" s="2832" t="s">
        <v>2660</v>
      </c>
      <c r="D79" s="2832" t="s">
        <v>2661</v>
      </c>
      <c r="E79" s="2858">
        <v>0.15</v>
      </c>
      <c r="F79" s="2858">
        <v>20</v>
      </c>
    </row>
    <row r="80" spans="1:7" ht="24">
      <c r="A80" s="2858">
        <v>6</v>
      </c>
      <c r="B80" s="3478"/>
      <c r="C80" s="2832" t="s">
        <v>2662</v>
      </c>
      <c r="D80" s="2832" t="s">
        <v>2663</v>
      </c>
      <c r="E80" s="2858">
        <v>0.15</v>
      </c>
      <c r="F80" s="2858">
        <v>20</v>
      </c>
    </row>
    <row r="81" spans="1:6" ht="24">
      <c r="A81" s="2858">
        <v>7</v>
      </c>
      <c r="B81" s="3478"/>
      <c r="C81" s="2832" t="s">
        <v>2664</v>
      </c>
      <c r="D81" s="2832" t="s">
        <v>2665</v>
      </c>
      <c r="E81" s="2858">
        <v>0.15</v>
      </c>
      <c r="F81" s="2858">
        <v>20</v>
      </c>
    </row>
    <row r="82" spans="1:6" ht="24">
      <c r="A82" s="2858">
        <v>8</v>
      </c>
      <c r="B82" s="3478"/>
      <c r="C82" s="2832" t="s">
        <v>2666</v>
      </c>
      <c r="D82" s="2832" t="s">
        <v>2667</v>
      </c>
      <c r="E82" s="2858">
        <v>0.1</v>
      </c>
      <c r="F82" s="2858">
        <v>15</v>
      </c>
    </row>
    <row r="83" spans="1:6" ht="24">
      <c r="A83" s="2858">
        <v>9</v>
      </c>
      <c r="B83" s="3478"/>
      <c r="C83" s="2832" t="s">
        <v>2668</v>
      </c>
      <c r="D83" s="2832" t="s">
        <v>2669</v>
      </c>
      <c r="E83" s="2858">
        <v>0.1</v>
      </c>
      <c r="F83" s="2858">
        <v>15</v>
      </c>
    </row>
    <row r="84" spans="1:6" ht="24">
      <c r="A84" s="2858">
        <v>10</v>
      </c>
      <c r="B84" s="3478"/>
      <c r="C84" s="2832" t="s">
        <v>2670</v>
      </c>
      <c r="D84" s="2832" t="s">
        <v>2671</v>
      </c>
      <c r="E84" s="2858">
        <v>0.1</v>
      </c>
      <c r="F84" s="2858">
        <v>15</v>
      </c>
    </row>
    <row r="85" spans="1:6" ht="24">
      <c r="A85" s="2858">
        <v>11</v>
      </c>
      <c r="B85" s="3478"/>
      <c r="C85" s="2832" t="s">
        <v>2672</v>
      </c>
      <c r="D85" s="2832" t="s">
        <v>2673</v>
      </c>
      <c r="E85" s="2858">
        <v>0.1</v>
      </c>
      <c r="F85" s="2858">
        <v>15</v>
      </c>
    </row>
    <row r="86" spans="1:6" ht="24">
      <c r="A86" s="2858">
        <v>12</v>
      </c>
      <c r="B86" s="3478"/>
      <c r="C86" s="2832" t="s">
        <v>2674</v>
      </c>
      <c r="D86" s="2832" t="s">
        <v>2675</v>
      </c>
      <c r="E86" s="2858">
        <v>0.1</v>
      </c>
      <c r="F86" s="2858">
        <v>15</v>
      </c>
    </row>
    <row r="87" spans="1:6" ht="13.5">
      <c r="A87" s="2858">
        <v>13</v>
      </c>
      <c r="B87" s="3478"/>
      <c r="C87" s="2832" t="s">
        <v>2676</v>
      </c>
      <c r="D87" s="2832" t="s">
        <v>2677</v>
      </c>
      <c r="E87" s="2858">
        <v>0.1</v>
      </c>
      <c r="F87" s="2858">
        <v>15</v>
      </c>
    </row>
    <row r="88" spans="1:6" ht="13.5">
      <c r="A88" s="2858">
        <v>14</v>
      </c>
      <c r="B88" s="3478"/>
      <c r="C88" s="2832" t="s">
        <v>2678</v>
      </c>
      <c r="D88" s="2832" t="s">
        <v>2679</v>
      </c>
      <c r="E88" s="2858">
        <v>0.1</v>
      </c>
      <c r="F88" s="2858">
        <v>15</v>
      </c>
    </row>
    <row r="89" spans="1:6" ht="13.5">
      <c r="A89" s="2858">
        <v>15</v>
      </c>
      <c r="B89" s="3478"/>
      <c r="C89" s="2832" t="s">
        <v>2680</v>
      </c>
      <c r="D89" s="2832" t="s">
        <v>2681</v>
      </c>
      <c r="E89" s="2858">
        <v>0.1</v>
      </c>
      <c r="F89" s="2858">
        <v>15</v>
      </c>
    </row>
    <row r="90" spans="1:6" ht="24">
      <c r="A90" s="2858">
        <v>16</v>
      </c>
      <c r="B90" s="3478"/>
      <c r="C90" s="2832" t="s">
        <v>2682</v>
      </c>
      <c r="D90" s="2832" t="s">
        <v>2683</v>
      </c>
      <c r="E90" s="2858">
        <v>0.1</v>
      </c>
      <c r="F90" s="2858">
        <v>15</v>
      </c>
    </row>
    <row r="91" spans="1:6" ht="24">
      <c r="A91" s="2858">
        <v>17</v>
      </c>
      <c r="B91" s="3477"/>
      <c r="C91" s="2832" t="s">
        <v>2684</v>
      </c>
      <c r="D91" s="2832" t="s">
        <v>2685</v>
      </c>
      <c r="E91" s="2858">
        <v>0.1</v>
      </c>
      <c r="F91" s="2858">
        <v>15</v>
      </c>
    </row>
    <row r="92" spans="1:6" ht="13.5">
      <c r="A92" s="2858">
        <v>18</v>
      </c>
      <c r="B92" s="3476" t="s">
        <v>2686</v>
      </c>
      <c r="C92" s="2832" t="s">
        <v>2687</v>
      </c>
      <c r="D92" s="2832" t="s">
        <v>2688</v>
      </c>
      <c r="E92" s="2858">
        <v>0.2</v>
      </c>
      <c r="F92" s="2858">
        <v>25</v>
      </c>
    </row>
    <row r="93" spans="1:6" ht="24">
      <c r="A93" s="2858">
        <v>19</v>
      </c>
      <c r="B93" s="3478"/>
      <c r="C93" s="2832" t="s">
        <v>2689</v>
      </c>
      <c r="D93" s="2832" t="s">
        <v>2690</v>
      </c>
      <c r="E93" s="2858">
        <v>0.2</v>
      </c>
      <c r="F93" s="2858">
        <v>25</v>
      </c>
    </row>
    <row r="94" spans="1:6" ht="13.5">
      <c r="A94" s="2858">
        <v>20</v>
      </c>
      <c r="B94" s="3478"/>
      <c r="C94" s="2832" t="s">
        <v>2691</v>
      </c>
      <c r="D94" s="2832" t="s">
        <v>2692</v>
      </c>
      <c r="E94" s="2858">
        <v>0.15</v>
      </c>
      <c r="F94" s="2858">
        <v>20</v>
      </c>
    </row>
    <row r="95" spans="1:6" ht="13.5">
      <c r="A95" s="2858">
        <v>21</v>
      </c>
      <c r="B95" s="3478"/>
      <c r="C95" s="2832" t="s">
        <v>2693</v>
      </c>
      <c r="D95" s="2832" t="s">
        <v>2694</v>
      </c>
      <c r="E95" s="2858">
        <v>0.15</v>
      </c>
      <c r="F95" s="2858">
        <v>20</v>
      </c>
    </row>
    <row r="96" spans="1:6" ht="13.5">
      <c r="A96" s="2858">
        <v>22</v>
      </c>
      <c r="B96" s="3478"/>
      <c r="C96" s="2832" t="s">
        <v>2695</v>
      </c>
      <c r="D96" s="2832" t="s">
        <v>2696</v>
      </c>
      <c r="E96" s="2858">
        <v>0.15</v>
      </c>
      <c r="F96" s="2858">
        <v>20</v>
      </c>
    </row>
    <row r="97" spans="1:6" ht="36">
      <c r="A97" s="2858">
        <v>23</v>
      </c>
      <c r="B97" s="3478"/>
      <c r="C97" s="2832" t="s">
        <v>2697</v>
      </c>
      <c r="D97" s="2832" t="s">
        <v>2698</v>
      </c>
      <c r="E97" s="2858">
        <v>0.15</v>
      </c>
      <c r="F97" s="2858">
        <v>20</v>
      </c>
    </row>
    <row r="98" spans="1:6" ht="13.5">
      <c r="A98" s="2858">
        <v>24</v>
      </c>
      <c r="B98" s="3478"/>
      <c r="C98" s="2832" t="s">
        <v>2699</v>
      </c>
      <c r="D98" s="2832" t="s">
        <v>2700</v>
      </c>
      <c r="E98" s="2858">
        <v>0.1</v>
      </c>
      <c r="F98" s="2858">
        <v>15</v>
      </c>
    </row>
    <row r="99" spans="1:6" ht="13.5">
      <c r="A99" s="2858">
        <v>25</v>
      </c>
      <c r="B99" s="3478"/>
      <c r="C99" s="2832" t="s">
        <v>2701</v>
      </c>
      <c r="D99" s="2832" t="s">
        <v>2702</v>
      </c>
      <c r="E99" s="2858">
        <v>0.1</v>
      </c>
      <c r="F99" s="2858">
        <v>15</v>
      </c>
    </row>
    <row r="100" spans="1:6" ht="24">
      <c r="A100" s="2858">
        <v>26</v>
      </c>
      <c r="B100" s="3478"/>
      <c r="C100" s="2832" t="s">
        <v>2703</v>
      </c>
      <c r="D100" s="2832" t="s">
        <v>2704</v>
      </c>
      <c r="E100" s="2858">
        <v>0.1</v>
      </c>
      <c r="F100" s="2858">
        <v>15</v>
      </c>
    </row>
    <row r="101" spans="1:6" ht="24">
      <c r="A101" s="2858">
        <v>27</v>
      </c>
      <c r="B101" s="3478"/>
      <c r="C101" s="2832" t="s">
        <v>2705</v>
      </c>
      <c r="D101" s="2832" t="s">
        <v>2706</v>
      </c>
      <c r="E101" s="2858">
        <v>0.1</v>
      </c>
      <c r="F101" s="2858">
        <v>15</v>
      </c>
    </row>
    <row r="102" spans="1:6" ht="13.5">
      <c r="A102" s="2858">
        <v>28</v>
      </c>
      <c r="B102" s="3478"/>
      <c r="C102" s="2832" t="s">
        <v>2707</v>
      </c>
      <c r="D102" s="2832" t="s">
        <v>2708</v>
      </c>
      <c r="E102" s="2858">
        <v>0.1</v>
      </c>
      <c r="F102" s="2858">
        <v>15</v>
      </c>
    </row>
    <row r="103" spans="1:6" ht="13.5">
      <c r="A103" s="2858">
        <v>29</v>
      </c>
      <c r="B103" s="3478"/>
      <c r="C103" s="2832" t="s">
        <v>2709</v>
      </c>
      <c r="D103" s="2832" t="s">
        <v>2710</v>
      </c>
      <c r="E103" s="2858">
        <v>0.1</v>
      </c>
      <c r="F103" s="2858">
        <v>15</v>
      </c>
    </row>
    <row r="104" spans="1:6" ht="13.5">
      <c r="A104" s="2858">
        <v>30</v>
      </c>
      <c r="B104" s="3478"/>
      <c r="C104" s="2832" t="s">
        <v>2711</v>
      </c>
      <c r="D104" s="2832" t="s">
        <v>2712</v>
      </c>
      <c r="E104" s="2858">
        <v>0.1</v>
      </c>
      <c r="F104" s="2858">
        <v>15</v>
      </c>
    </row>
    <row r="105" spans="1:6" ht="24">
      <c r="A105" s="2858">
        <v>31</v>
      </c>
      <c r="B105" s="3478"/>
      <c r="C105" s="2832" t="s">
        <v>2713</v>
      </c>
      <c r="D105" s="2832" t="s">
        <v>2714</v>
      </c>
      <c r="E105" s="2858">
        <v>0.1</v>
      </c>
      <c r="F105" s="2858">
        <v>15</v>
      </c>
    </row>
    <row r="106" spans="1:6" ht="24">
      <c r="A106" s="2858">
        <v>32</v>
      </c>
      <c r="B106" s="3478"/>
      <c r="C106" s="2832" t="s">
        <v>2715</v>
      </c>
      <c r="D106" s="2832" t="s">
        <v>2716</v>
      </c>
      <c r="E106" s="2858">
        <v>0.1</v>
      </c>
      <c r="F106" s="2858">
        <v>15</v>
      </c>
    </row>
    <row r="107" spans="1:6" ht="24">
      <c r="A107" s="2858">
        <v>33</v>
      </c>
      <c r="B107" s="3478"/>
      <c r="C107" s="2832" t="s">
        <v>2717</v>
      </c>
      <c r="D107" s="2832" t="s">
        <v>2718</v>
      </c>
      <c r="E107" s="2858">
        <v>0.1</v>
      </c>
      <c r="F107" s="2858">
        <v>15</v>
      </c>
    </row>
    <row r="108" spans="1:6" ht="24">
      <c r="A108" s="2858">
        <v>34</v>
      </c>
      <c r="B108" s="3477"/>
      <c r="C108" s="2832" t="s">
        <v>2719</v>
      </c>
      <c r="D108" s="2832" t="s">
        <v>2720</v>
      </c>
      <c r="E108" s="2858">
        <v>0.1</v>
      </c>
      <c r="F108" s="2858">
        <v>15</v>
      </c>
    </row>
    <row r="109" spans="1:6" ht="24">
      <c r="A109" s="2858">
        <v>35</v>
      </c>
      <c r="B109" s="3476" t="s">
        <v>2721</v>
      </c>
      <c r="C109" s="2858" t="s">
        <v>2722</v>
      </c>
      <c r="D109" s="2832" t="s">
        <v>2723</v>
      </c>
      <c r="E109" s="2858">
        <v>0.15</v>
      </c>
      <c r="F109" s="2858">
        <v>20</v>
      </c>
    </row>
    <row r="110" spans="1:6" ht="13.5">
      <c r="A110" s="2858">
        <v>36</v>
      </c>
      <c r="B110" s="3478"/>
      <c r="C110" s="2858" t="s">
        <v>2724</v>
      </c>
      <c r="D110" s="2832" t="s">
        <v>2725</v>
      </c>
      <c r="E110" s="2858">
        <v>0.15</v>
      </c>
      <c r="F110" s="2858">
        <v>20</v>
      </c>
    </row>
    <row r="111" spans="1:6" ht="13.5">
      <c r="A111" s="2858">
        <v>37</v>
      </c>
      <c r="B111" s="3478"/>
      <c r="C111" s="2858" t="s">
        <v>2726</v>
      </c>
      <c r="D111" s="2832" t="s">
        <v>2727</v>
      </c>
      <c r="E111" s="2858">
        <v>0.15</v>
      </c>
      <c r="F111" s="2858">
        <v>20</v>
      </c>
    </row>
    <row r="112" spans="1:6" ht="13.5">
      <c r="A112" s="2858">
        <v>38</v>
      </c>
      <c r="B112" s="3478"/>
      <c r="C112" s="2858" t="s">
        <v>2728</v>
      </c>
      <c r="D112" s="2832" t="s">
        <v>2729</v>
      </c>
      <c r="E112" s="2858">
        <v>0.1</v>
      </c>
      <c r="F112" s="2858">
        <v>15</v>
      </c>
    </row>
    <row r="113" spans="1:6" ht="24">
      <c r="A113" s="2858">
        <v>39</v>
      </c>
      <c r="B113" s="3478"/>
      <c r="C113" s="2858" t="s">
        <v>2730</v>
      </c>
      <c r="D113" s="2832" t="s">
        <v>2731</v>
      </c>
      <c r="E113" s="2858">
        <v>0.1</v>
      </c>
      <c r="F113" s="2858">
        <v>15</v>
      </c>
    </row>
    <row r="114" spans="1:6" ht="24">
      <c r="A114" s="2858">
        <v>40</v>
      </c>
      <c r="B114" s="3477"/>
      <c r="C114" s="2858" t="s">
        <v>2732</v>
      </c>
      <c r="D114" s="2832" t="s">
        <v>2733</v>
      </c>
      <c r="E114" s="2858">
        <v>0.1</v>
      </c>
      <c r="F114" s="2858">
        <v>15</v>
      </c>
    </row>
    <row r="115" spans="1:6" ht="13.5">
      <c r="A115" s="2858">
        <v>41</v>
      </c>
      <c r="B115" s="3475" t="s">
        <v>2734</v>
      </c>
      <c r="C115" s="2858" t="s">
        <v>2735</v>
      </c>
      <c r="D115" s="2832" t="s">
        <v>2736</v>
      </c>
      <c r="E115" s="2858">
        <v>0.1</v>
      </c>
      <c r="F115" s="2858">
        <v>15</v>
      </c>
    </row>
    <row r="116" spans="1:6" ht="13.5">
      <c r="A116" s="2858">
        <v>42</v>
      </c>
      <c r="B116" s="3475"/>
      <c r="C116" s="2858" t="s">
        <v>2737</v>
      </c>
      <c r="D116" s="2832" t="s">
        <v>2738</v>
      </c>
      <c r="E116" s="2858">
        <v>0.1</v>
      </c>
      <c r="F116" s="2858">
        <v>15</v>
      </c>
    </row>
    <row r="117" spans="1:6" ht="24">
      <c r="A117" s="2858">
        <v>43</v>
      </c>
      <c r="B117" s="3475"/>
      <c r="C117" s="2858" t="s">
        <v>2739</v>
      </c>
      <c r="D117" s="2832" t="s">
        <v>2740</v>
      </c>
      <c r="E117" s="2858">
        <v>0.1</v>
      </c>
      <c r="F117" s="2858">
        <v>15</v>
      </c>
    </row>
    <row r="118" spans="1:6" ht="13.5">
      <c r="A118" s="2858">
        <v>44</v>
      </c>
      <c r="B118" s="3476" t="s">
        <v>2741</v>
      </c>
      <c r="C118" s="2858" t="s">
        <v>2742</v>
      </c>
      <c r="D118" s="2832" t="s">
        <v>2743</v>
      </c>
      <c r="E118" s="2858">
        <v>0.1</v>
      </c>
      <c r="F118" s="2858">
        <v>15</v>
      </c>
    </row>
    <row r="119" spans="1:6" ht="24">
      <c r="A119" s="2858">
        <v>45</v>
      </c>
      <c r="B119" s="3477"/>
      <c r="C119" s="2832" t="s">
        <v>2744</v>
      </c>
      <c r="D119" s="2832" t="s">
        <v>2745</v>
      </c>
      <c r="E119" s="2858">
        <v>0.1</v>
      </c>
      <c r="F119" s="2858">
        <v>15</v>
      </c>
    </row>
    <row r="120" spans="1:6" ht="24">
      <c r="A120" s="2858">
        <v>46</v>
      </c>
      <c r="B120" s="3476" t="s">
        <v>2746</v>
      </c>
      <c r="C120" s="2858" t="s">
        <v>2747</v>
      </c>
      <c r="D120" s="2832" t="s">
        <v>2748</v>
      </c>
      <c r="E120" s="2858">
        <v>0.1</v>
      </c>
      <c r="F120" s="2858">
        <v>15</v>
      </c>
    </row>
    <row r="121" spans="1:6" ht="24">
      <c r="A121" s="2858">
        <v>47</v>
      </c>
      <c r="B121" s="3477"/>
      <c r="C121" s="2858" t="s">
        <v>2749</v>
      </c>
      <c r="D121" s="2832" t="s">
        <v>2750</v>
      </c>
      <c r="E121" s="2858">
        <v>0.1</v>
      </c>
      <c r="F121" s="2858">
        <v>15</v>
      </c>
    </row>
    <row r="122" spans="1:6" ht="13.5">
      <c r="A122" s="2858">
        <v>48</v>
      </c>
      <c r="B122" s="3476" t="s">
        <v>2751</v>
      </c>
      <c r="C122" s="2858" t="s">
        <v>2752</v>
      </c>
      <c r="D122" s="2832" t="s">
        <v>2753</v>
      </c>
      <c r="E122" s="2858">
        <v>0.1</v>
      </c>
      <c r="F122" s="2858">
        <v>15</v>
      </c>
    </row>
    <row r="123" spans="1:6" ht="13.5">
      <c r="A123" s="2858">
        <v>49</v>
      </c>
      <c r="B123" s="3477"/>
      <c r="C123" s="2858" t="s">
        <v>2754</v>
      </c>
      <c r="D123" s="2832" t="s">
        <v>2755</v>
      </c>
      <c r="E123" s="2858">
        <v>0.1</v>
      </c>
      <c r="F123" s="2858">
        <v>15</v>
      </c>
    </row>
    <row r="124" spans="1:6" ht="24">
      <c r="A124" s="2858">
        <v>50</v>
      </c>
      <c r="B124" s="3475" t="s">
        <v>2756</v>
      </c>
      <c r="C124" s="2858" t="s">
        <v>2757</v>
      </c>
      <c r="D124" s="2832" t="s">
        <v>2758</v>
      </c>
      <c r="E124" s="2858">
        <v>0.1</v>
      </c>
      <c r="F124" s="2858">
        <v>15</v>
      </c>
    </row>
    <row r="125" spans="1:6" ht="24">
      <c r="A125" s="2858">
        <v>51</v>
      </c>
      <c r="B125" s="3475"/>
      <c r="C125" s="2858" t="s">
        <v>2759</v>
      </c>
      <c r="D125" s="2832" t="s">
        <v>2760</v>
      </c>
      <c r="E125" s="2858">
        <v>0.1</v>
      </c>
      <c r="F125" s="2858">
        <v>15</v>
      </c>
    </row>
    <row r="126" spans="1:6" ht="24">
      <c r="A126" s="2858">
        <v>52</v>
      </c>
      <c r="B126" s="3475" t="s">
        <v>2761</v>
      </c>
      <c r="C126" s="2858" t="s">
        <v>2762</v>
      </c>
      <c r="D126" s="2832" t="s">
        <v>2763</v>
      </c>
      <c r="E126" s="2858">
        <v>0.1</v>
      </c>
      <c r="F126" s="2858">
        <v>15</v>
      </c>
    </row>
    <row r="127" spans="1:6" ht="24">
      <c r="A127" s="2858">
        <v>53</v>
      </c>
      <c r="B127" s="3475"/>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75" t="s">
        <v>2769</v>
      </c>
      <c r="C129" s="2858" t="s">
        <v>2770</v>
      </c>
      <c r="D129" s="2832" t="s">
        <v>2771</v>
      </c>
      <c r="E129" s="2858">
        <v>0.1</v>
      </c>
      <c r="F129" s="2858">
        <v>15</v>
      </c>
    </row>
    <row r="130" spans="1:6" ht="13.5">
      <c r="A130" s="2858">
        <v>56</v>
      </c>
      <c r="B130" s="3475"/>
      <c r="C130" s="2858" t="s">
        <v>2772</v>
      </c>
      <c r="D130" s="2832" t="s">
        <v>2773</v>
      </c>
      <c r="E130" s="2858">
        <v>0.1</v>
      </c>
      <c r="F130" s="2858">
        <v>15</v>
      </c>
    </row>
    <row r="131" spans="1:6" ht="24">
      <c r="A131" s="2858">
        <v>57</v>
      </c>
      <c r="B131" s="3475"/>
      <c r="C131" s="2858" t="s">
        <v>2774</v>
      </c>
      <c r="D131" s="2832" t="s">
        <v>2775</v>
      </c>
      <c r="E131" s="2858">
        <v>0.1</v>
      </c>
      <c r="F131" s="2858">
        <v>15</v>
      </c>
    </row>
    <row r="132" spans="1:6" ht="24">
      <c r="A132" s="2858">
        <v>58</v>
      </c>
      <c r="B132" s="3475" t="s">
        <v>2776</v>
      </c>
      <c r="C132" s="2858" t="s">
        <v>2777</v>
      </c>
      <c r="D132" s="2832" t="s">
        <v>2778</v>
      </c>
      <c r="E132" s="2858">
        <v>0.1</v>
      </c>
      <c r="F132" s="2858">
        <v>15</v>
      </c>
    </row>
    <row r="133" spans="1:6" ht="13.5">
      <c r="A133" s="2858">
        <v>59</v>
      </c>
      <c r="B133" s="3475"/>
      <c r="C133" s="2858" t="s">
        <v>2779</v>
      </c>
      <c r="D133" s="2832" t="s">
        <v>2780</v>
      </c>
      <c r="E133" s="2858">
        <v>0.1</v>
      </c>
      <c r="F133" s="2858">
        <v>15</v>
      </c>
    </row>
    <row r="134" spans="1:6" ht="13.5">
      <c r="A134" s="2858">
        <v>60</v>
      </c>
      <c r="B134" s="3476" t="s">
        <v>2781</v>
      </c>
      <c r="C134" s="2858" t="s">
        <v>2782</v>
      </c>
      <c r="D134" s="2832" t="s">
        <v>2783</v>
      </c>
      <c r="E134" s="2858">
        <v>0.1</v>
      </c>
      <c r="F134" s="2858">
        <v>15</v>
      </c>
    </row>
    <row r="135" spans="1:6" ht="13.5">
      <c r="A135" s="2858">
        <v>61</v>
      </c>
      <c r="B135" s="3477"/>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75" t="s">
        <v>2789</v>
      </c>
      <c r="C137" s="2858" t="s">
        <v>2790</v>
      </c>
      <c r="D137" s="2832" t="s">
        <v>2791</v>
      </c>
      <c r="E137" s="2858">
        <v>0.1</v>
      </c>
      <c r="F137" s="2858">
        <v>15</v>
      </c>
    </row>
    <row r="138" spans="1:6" ht="13.5">
      <c r="A138" s="2858">
        <v>64</v>
      </c>
      <c r="B138" s="3475"/>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1.1748000000000001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1.1174999999999999</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91"/>
      <c r="B4" s="3174" t="s">
        <v>917</v>
      </c>
      <c r="C4" s="3174"/>
      <c r="D4" s="3174"/>
      <c r="E4" s="1391"/>
    </row>
    <row r="5" spans="1:5" ht="16.5" thickTop="1">
      <c r="B5" s="3172" t="s">
        <v>909</v>
      </c>
      <c r="C5" s="1392" t="s">
        <v>910</v>
      </c>
      <c r="D5" s="797" t="e">
        <f ca="1">结果表!H101</f>
        <v>#REF!</v>
      </c>
    </row>
    <row r="6" spans="1:5" ht="15.75">
      <c r="B6" s="3172"/>
      <c r="C6" s="1392" t="s">
        <v>911</v>
      </c>
      <c r="D6" s="797" t="e">
        <f ca="1">NUMBERSTRING(INT(D5*10000),2)&amp;"元整"</f>
        <v>#REF!</v>
      </c>
    </row>
    <row r="7" spans="1:5" ht="15.75">
      <c r="B7" s="3177"/>
      <c r="C7" s="1393" t="s">
        <v>912</v>
      </c>
      <c r="D7" s="798" t="e">
        <f ca="1">结果表!H102</f>
        <v>#REF!</v>
      </c>
    </row>
    <row r="8" spans="1:5" ht="15.75">
      <c r="B8" s="3178" t="str">
        <f>结果表!E103</f>
        <v>2.估价师知悉的法定优先受偿款</v>
      </c>
      <c r="C8" s="1394" t="s">
        <v>913</v>
      </c>
      <c r="D8" s="798">
        <f>结果表!H103</f>
        <v>0</v>
      </c>
    </row>
    <row r="9" spans="1:5" ht="15.75">
      <c r="B9" s="318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1" t="str">
        <f>结果表!E107</f>
        <v>3.房地产抵押价值</v>
      </c>
      <c r="C13" s="1397" t="s">
        <v>910</v>
      </c>
      <c r="D13" s="800" t="e">
        <f ca="1">结果表!H107</f>
        <v>#REF!</v>
      </c>
    </row>
    <row r="14" spans="1:5" ht="15.75">
      <c r="B14" s="3172"/>
      <c r="C14" s="1392" t="s">
        <v>911</v>
      </c>
      <c r="D14" s="797" t="e">
        <f ca="1">NUMBERSTRING(INT(D13*10000),2)&amp;"元整"</f>
        <v>#REF!</v>
      </c>
    </row>
    <row r="15" spans="1:5" ht="15">
      <c r="B15" s="3177"/>
      <c r="C15" s="1393" t="s">
        <v>921</v>
      </c>
      <c r="D15" s="806" t="e">
        <f ca="1">结果表!H108</f>
        <v>#REF!</v>
      </c>
    </row>
    <row r="16" spans="1:5" ht="15">
      <c r="B16" s="3178" t="str">
        <f>结果表!E109</f>
        <v>——</v>
      </c>
      <c r="C16" s="1397" t="s">
        <v>922</v>
      </c>
      <c r="D16" s="1398" t="str">
        <f>结果表!H109</f>
        <v>——</v>
      </c>
    </row>
    <row r="17" spans="1:5" ht="15.75">
      <c r="B17" s="3179"/>
      <c r="C17" s="1392" t="s">
        <v>923</v>
      </c>
      <c r="D17" s="797" t="e">
        <f>NUMBERSTRING(INT(D16*10000),2)&amp;"元整"</f>
        <v>#VALUE!</v>
      </c>
    </row>
    <row r="18" spans="1:5" ht="15">
      <c r="B18" s="3180"/>
      <c r="C18" s="1393" t="s">
        <v>912</v>
      </c>
      <c r="D18" s="806" t="str">
        <f>结果表!H110</f>
        <v>——</v>
      </c>
    </row>
    <row r="19" spans="1:5" ht="15.75">
      <c r="B19" s="3171" t="str">
        <f>结果表!E111</f>
        <v>——</v>
      </c>
      <c r="C19" s="1397" t="s">
        <v>910</v>
      </c>
      <c r="D19" s="798" t="str">
        <f>结果表!H111</f>
        <v>——</v>
      </c>
    </row>
    <row r="20" spans="1:5" ht="15.75">
      <c r="B20" s="3172"/>
      <c r="C20" s="1392" t="s">
        <v>923</v>
      </c>
      <c r="D20" s="797" t="e">
        <f>NUMBERSTRING(INT(D19*10000),2)&amp;"元整"</f>
        <v>#VALUE!</v>
      </c>
    </row>
    <row r="21" spans="1:5" ht="15.75" thickBot="1">
      <c r="B21" s="317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48963</v>
      </c>
      <c r="C2" s="2" t="s">
        <v>106</v>
      </c>
      <c r="D2" s="191"/>
      <c r="E2" s="191"/>
      <c r="F2" s="191"/>
      <c r="G2" s="191"/>
    </row>
    <row r="3" spans="1:7" s="192" customFormat="1" ht="18" customHeight="1" thickBot="1">
      <c r="A3" s="195" t="s">
        <v>58</v>
      </c>
      <c r="B3" s="196">
        <f ca="1">ROUND(B2*10000/'数据-汇总表'!E3,0)</f>
        <v>13910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704</v>
      </c>
      <c r="D10" s="795">
        <f>'数据-汇总表'!E6</f>
        <v>35200.39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704</v>
      </c>
      <c r="D19" s="204">
        <f>'数据-汇总表'!E3</f>
        <v>35200.39</v>
      </c>
      <c r="E19" s="203">
        <f>'数据-取费表'!B31</f>
        <v>200</v>
      </c>
      <c r="F19" s="223"/>
      <c r="G19" s="1" t="s">
        <v>436</v>
      </c>
    </row>
    <row r="20" spans="1:7" s="206" customFormat="1" ht="13.5" customHeight="1">
      <c r="A20" s="731" t="s">
        <v>419</v>
      </c>
      <c r="B20" s="202" t="s">
        <v>77</v>
      </c>
      <c r="C20" s="224">
        <f>ROUND((C5+C19)*F20,0)</f>
        <v>426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1368</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45</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2174</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2174</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27359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17653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15840</v>
      </c>
      <c r="D34" s="209"/>
      <c r="E34" s="212"/>
      <c r="F34" s="249">
        <f>IF('数据-取费表'!B24=0,1,'数据-取费表'!N16)</f>
        <v>1</v>
      </c>
      <c r="G34" s="211" t="s">
        <v>89</v>
      </c>
    </row>
    <row r="35" spans="1:7" ht="13.5" customHeight="1">
      <c r="A35" s="734" t="s">
        <v>351</v>
      </c>
      <c r="B35" s="207" t="s">
        <v>33</v>
      </c>
      <c r="C35" s="212">
        <f>ROUND(C34*F35,0)</f>
        <v>792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704</v>
      </c>
      <c r="D37" s="209">
        <f>'数据-汇总表'!E3</f>
        <v>35200.39</v>
      </c>
      <c r="E37" s="241">
        <f>'数据-取费表'!B35</f>
        <v>200</v>
      </c>
      <c r="F37" s="251"/>
      <c r="G37" s="253" t="s">
        <v>92</v>
      </c>
    </row>
    <row r="38" spans="1:7" ht="13.5" customHeight="1">
      <c r="A38" s="734" t="s">
        <v>354</v>
      </c>
      <c r="B38" s="207" t="s">
        <v>36</v>
      </c>
      <c r="C38" s="212">
        <f>ROUND(C34*F38,0)</f>
        <v>317</v>
      </c>
      <c r="D38" s="212"/>
      <c r="E38" s="212"/>
      <c r="F38" s="251">
        <f>'数据-取费表'!B36</f>
        <v>0.02</v>
      </c>
      <c r="G38" s="211" t="s">
        <v>90</v>
      </c>
    </row>
    <row r="39" spans="1:7" s="206" customFormat="1" ht="13.5" customHeight="1">
      <c r="A39" s="731" t="s">
        <v>338</v>
      </c>
      <c r="B39" s="202" t="s">
        <v>77</v>
      </c>
      <c r="C39" s="224">
        <f>ROUND(C33*F20,0)</f>
        <v>353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564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553</v>
      </c>
      <c r="D42" s="230"/>
      <c r="E42" s="230"/>
      <c r="F42" s="231"/>
      <c r="G42" s="3352" t="s">
        <v>94</v>
      </c>
    </row>
    <row r="43" spans="1:7" ht="13.5" customHeight="1">
      <c r="A43" s="734" t="s">
        <v>347</v>
      </c>
      <c r="B43" s="207" t="s">
        <v>426</v>
      </c>
      <c r="C43" s="230">
        <f ca="1">ROUND(IF('数据-取费表'!B22&lt;=1,C39*F22*'数据-取费表'!B21/2,C39*(POWER((1+F22),'数据-取费表'!B21/2)-1)),0)</f>
        <v>11</v>
      </c>
      <c r="D43" s="230"/>
      <c r="E43" s="230"/>
      <c r="F43" s="231"/>
      <c r="G43" s="3353"/>
    </row>
    <row r="44" spans="1:7" ht="13.5" customHeight="1">
      <c r="A44" s="734" t="s">
        <v>348</v>
      </c>
      <c r="B44" s="207" t="s">
        <v>428</v>
      </c>
      <c r="C44" s="230">
        <f ca="1">ROUND(IF('数据-取费表'!B22&lt;=1,C40*F22*'数据-取费表'!B21/2,C40*(POWER((1+F22),'数据-取费表'!B21/2)-1)),4)</f>
        <v>5.9999999999999995E-4</v>
      </c>
      <c r="D44" s="230"/>
      <c r="E44" s="230"/>
      <c r="F44" s="231"/>
      <c r="G44" s="3354"/>
    </row>
    <row r="45" spans="1:7" s="206" customFormat="1" ht="13.5" customHeight="1">
      <c r="A45" s="731" t="s">
        <v>341</v>
      </c>
      <c r="B45" s="236" t="s">
        <v>85</v>
      </c>
      <c r="C45" s="237">
        <f>C46</f>
        <v>1801</v>
      </c>
      <c r="D45" s="227">
        <f>C47</f>
        <v>2E-3</v>
      </c>
      <c r="E45" s="228" t="s">
        <v>102</v>
      </c>
      <c r="F45" s="238"/>
      <c r="G45" s="239" t="s">
        <v>434</v>
      </c>
    </row>
    <row r="46" spans="1:7" s="206" customFormat="1" ht="13.5" customHeight="1">
      <c r="A46" s="734" t="s">
        <v>349</v>
      </c>
      <c r="B46" s="240" t="s">
        <v>427</v>
      </c>
      <c r="C46" s="241">
        <f>ROUND((C33+C39)*F27,0)</f>
        <v>1801</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22045</v>
      </c>
      <c r="D49" s="224"/>
      <c r="E49" s="224"/>
      <c r="F49" s="256"/>
      <c r="G49" s="226" t="s">
        <v>435</v>
      </c>
    </row>
    <row r="50" spans="1:7" s="250" customFormat="1" ht="24">
      <c r="A50" s="731" t="s">
        <v>344</v>
      </c>
      <c r="B50" s="202" t="s">
        <v>97</v>
      </c>
      <c r="C50" s="224"/>
      <c r="D50" s="224"/>
      <c r="E50" s="224"/>
      <c r="F50" s="256">
        <f>IF('数据-取费表'!B24=0,'数据-取费表'!N16,1)</f>
        <v>0.98</v>
      </c>
      <c r="G50" s="239" t="s">
        <v>98</v>
      </c>
    </row>
    <row r="51" spans="1:7" ht="16.5" customHeight="1">
      <c r="A51" s="731" t="s">
        <v>345</v>
      </c>
      <c r="B51" s="202" t="s">
        <v>105</v>
      </c>
      <c r="C51" s="224">
        <f ca="1">ROUND(C49*F50,0)</f>
        <v>21604</v>
      </c>
      <c r="D51" s="224"/>
      <c r="E51" s="224"/>
      <c r="F51" s="256"/>
      <c r="G51" s="226" t="s">
        <v>37</v>
      </c>
    </row>
    <row r="52" spans="1:7" s="200" customFormat="1" ht="16.5" thickBot="1">
      <c r="A52" s="257" t="s">
        <v>38</v>
      </c>
      <c r="B52" s="258"/>
      <c r="C52" s="259">
        <f ca="1">C31+C51</f>
        <v>48963</v>
      </c>
      <c r="D52" s="258"/>
      <c r="E52" s="258"/>
      <c r="F52" s="258"/>
      <c r="G52" s="260"/>
    </row>
    <row r="55" spans="1:7" ht="15">
      <c r="B55" s="262" t="s">
        <v>39</v>
      </c>
      <c r="C55" s="263"/>
    </row>
    <row r="56" spans="1:7">
      <c r="B56" s="265" t="s">
        <v>40</v>
      </c>
      <c r="C56" s="266">
        <f ca="1">ROUND(C51/C52,3)</f>
        <v>0.441</v>
      </c>
    </row>
    <row r="57" spans="1:7">
      <c r="B57" s="265" t="s">
        <v>41</v>
      </c>
      <c r="C57" s="267">
        <f ca="1">1-C56</f>
        <v>0.55899999999999994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9" t="s">
        <v>3181</v>
      </c>
      <c r="B1" s="3489"/>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90" t="s">
        <v>3232</v>
      </c>
      <c r="B1" s="3490"/>
      <c r="C1" s="3490"/>
      <c r="D1" s="3490"/>
      <c r="E1" s="3490"/>
      <c r="F1" s="3491"/>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46007</v>
      </c>
      <c r="B1" s="2930" t="s">
        <v>3376</v>
      </c>
      <c r="C1" s="2931"/>
      <c r="D1" s="2931"/>
      <c r="E1" s="2931"/>
      <c r="F1" s="2931"/>
      <c r="G1" s="2931"/>
      <c r="H1" s="2931"/>
      <c r="I1" s="2931"/>
      <c r="J1" s="2897"/>
      <c r="K1" s="2931" t="s">
        <v>454</v>
      </c>
      <c r="L1" s="2931"/>
      <c r="M1" s="2931"/>
      <c r="N1" s="2931"/>
      <c r="O1" s="2931"/>
      <c r="P1" s="2931"/>
      <c r="Q1" s="2897"/>
      <c r="R1" s="3492" t="s">
        <v>456</v>
      </c>
      <c r="S1" s="3493"/>
      <c r="T1" s="3493"/>
      <c r="U1" s="3493"/>
      <c r="V1" s="3493"/>
      <c r="W1" s="3493"/>
      <c r="X1" s="2897"/>
      <c r="Y1" s="3492" t="s">
        <v>457</v>
      </c>
      <c r="Z1" s="3493"/>
      <c r="AA1" s="3493"/>
      <c r="AB1" s="3493"/>
      <c r="AC1" s="3493"/>
      <c r="AD1" s="3493"/>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492" t="s">
        <v>2827</v>
      </c>
      <c r="S29" s="3493"/>
      <c r="T29" s="3493"/>
      <c r="U29" s="3493"/>
      <c r="V29" s="3493"/>
      <c r="W29" s="3493"/>
      <c r="X29" s="2897"/>
      <c r="Y29" s="3492" t="s">
        <v>2828</v>
      </c>
      <c r="Z29" s="3493"/>
      <c r="AA29" s="3493"/>
      <c r="AB29" s="3493"/>
      <c r="AC29" s="3493"/>
      <c r="AD29" s="3493"/>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5" sqref="G35"/>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5" sqref="G35"/>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5" t="s">
        <v>2839</v>
      </c>
      <c r="B1" s="3505"/>
      <c r="C1" s="3505"/>
      <c r="D1" s="3505"/>
      <c r="E1" s="3505"/>
      <c r="F1" s="3505"/>
      <c r="G1" s="3506"/>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3"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04"/>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5" sqref="G35"/>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46007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84"/>
      <c r="B3" s="3184"/>
      <c r="C3" s="3184"/>
      <c r="D3" s="801" t="s">
        <v>925</v>
      </c>
      <c r="E3" s="801" t="s">
        <v>931</v>
      </c>
      <c r="F3" s="801" t="s">
        <v>925</v>
      </c>
      <c r="G3" s="801" t="s">
        <v>926</v>
      </c>
      <c r="H3" s="801" t="s">
        <v>925</v>
      </c>
      <c r="I3" s="801" t="s">
        <v>926</v>
      </c>
    </row>
    <row r="4" spans="1:9" ht="15">
      <c r="A4" s="1403" t="str">
        <f>项目基本情况!S2</f>
        <v>北京市房地产</v>
      </c>
      <c r="B4" s="801">
        <f>项目基本情况!C17</f>
        <v>35200.39</v>
      </c>
      <c r="C4" s="801">
        <f>项目基本情况!C18</f>
        <v>20352.8</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4" t="s">
        <v>927</v>
      </c>
      <c r="B5" s="3184"/>
      <c r="C5" s="3184"/>
      <c r="D5" s="3184" t="e">
        <f ca="1">结果表!D119</f>
        <v>#REF!</v>
      </c>
      <c r="E5" s="3184"/>
      <c r="F5" s="3184" t="e">
        <f ca="1">结果表!F119</f>
        <v>#REF!</v>
      </c>
      <c r="G5" s="3184"/>
      <c r="H5" s="3184" t="e">
        <f ca="1">结果表!H119</f>
        <v>#REF!</v>
      </c>
      <c r="I5" s="3184"/>
    </row>
    <row r="6" spans="1:9" ht="15.75">
      <c r="A6" s="3183" t="str">
        <f>结果表!A120</f>
        <v>估价师知悉的法定优先受偿款</v>
      </c>
      <c r="B6" s="3183"/>
      <c r="C6" s="3183"/>
      <c r="D6" s="3183">
        <f>结果表!D120</f>
        <v>0</v>
      </c>
      <c r="E6" s="3183"/>
      <c r="F6" s="3183"/>
      <c r="G6" s="3183"/>
      <c r="H6" s="3183"/>
      <c r="I6" s="3183"/>
    </row>
    <row r="7" spans="1:9" ht="15">
      <c r="A7" s="3184" t="s">
        <v>927</v>
      </c>
      <c r="B7" s="3184"/>
      <c r="C7" s="3184"/>
      <c r="D7" s="3185" t="str">
        <f>结果表!D121</f>
        <v>零元整</v>
      </c>
      <c r="E7" s="3186"/>
      <c r="F7" s="3186"/>
      <c r="G7" s="3186"/>
      <c r="H7" s="3186"/>
      <c r="I7" s="3187"/>
    </row>
    <row r="8" spans="1:9" ht="15.75">
      <c r="A8" s="3183" t="str">
        <f>结果表!A122</f>
        <v>房地产抵押价值</v>
      </c>
      <c r="B8" s="3183"/>
      <c r="C8" s="3183"/>
      <c r="D8" s="3183" t="e">
        <f ca="1">结果表!D122</f>
        <v>#REF!</v>
      </c>
      <c r="E8" s="3183"/>
      <c r="F8" s="3183"/>
      <c r="G8" s="3183"/>
      <c r="H8" s="3183"/>
      <c r="I8" s="3183"/>
    </row>
    <row r="9" spans="1:9" ht="15">
      <c r="A9" s="3184" t="s">
        <v>927</v>
      </c>
      <c r="B9" s="3184"/>
      <c r="C9" s="3184"/>
      <c r="D9" s="3184" t="e">
        <f ca="1">结果表!D123</f>
        <v>#REF!</v>
      </c>
      <c r="E9" s="3184"/>
      <c r="F9" s="3184"/>
      <c r="G9" s="3184"/>
      <c r="H9" s="3184"/>
      <c r="I9" s="3184"/>
    </row>
    <row r="10" spans="1:9" ht="15.75">
      <c r="A10" s="3183" t="str">
        <f>结果表!A124</f>
        <v/>
      </c>
      <c r="B10" s="3183"/>
      <c r="C10" s="3183"/>
      <c r="D10" s="3183" t="str">
        <f>结果表!D124</f>
        <v>——</v>
      </c>
      <c r="E10" s="3183"/>
      <c r="F10" s="3183"/>
      <c r="G10" s="3183"/>
      <c r="H10" s="3183"/>
      <c r="I10" s="3183"/>
    </row>
    <row r="11" spans="1:9" ht="15">
      <c r="A11" s="3184" t="s">
        <v>927</v>
      </c>
      <c r="B11" s="3184"/>
      <c r="C11" s="3184"/>
      <c r="D11" s="3184" t="e">
        <f>结果表!D125</f>
        <v>#VALUE!</v>
      </c>
      <c r="E11" s="3184"/>
      <c r="F11" s="3184"/>
      <c r="G11" s="3184"/>
      <c r="H11" s="3184"/>
      <c r="I11" s="3184"/>
    </row>
    <row r="12" spans="1:9" ht="15.75">
      <c r="A12" s="3183" t="str">
        <f>结果表!A126</f>
        <v/>
      </c>
      <c r="B12" s="3183"/>
      <c r="C12" s="3183"/>
      <c r="D12" s="3183" t="str">
        <f>结果表!D126</f>
        <v>——</v>
      </c>
      <c r="E12" s="3183"/>
      <c r="F12" s="3183"/>
      <c r="G12" s="3183"/>
      <c r="H12" s="3183"/>
      <c r="I12" s="3183"/>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6" t="s">
        <v>949</v>
      </c>
      <c r="B1" s="3196"/>
      <c r="C1" s="3196"/>
      <c r="D1" s="3196"/>
    </row>
    <row r="2" spans="1:4" ht="18">
      <c r="A2" s="3197" t="s">
        <v>933</v>
      </c>
      <c r="B2" s="3197"/>
      <c r="C2" s="3197"/>
      <c r="D2" s="319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7" t="s">
        <v>939</v>
      </c>
      <c r="B6" s="3197"/>
      <c r="C6" s="3197"/>
      <c r="D6" s="319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8"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0" t="str">
        <f>IF(项目基本情况!B8="抵押","4.本次评估估价师所知悉的法定优先受偿款情况说明如下：","——")</f>
        <v>4.本次评估估价师所知悉的法定优先受偿款情况说明如下：</v>
      </c>
      <c r="B14" s="3195"/>
      <c r="C14" s="3195"/>
      <c r="D14" s="3195"/>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4" t="s">
        <v>956</v>
      </c>
      <c r="B15" s="3199" t="s">
        <v>109</v>
      </c>
      <c r="C15" s="3200"/>
    </row>
    <row r="16" spans="1:7" ht="13.5">
      <c r="A16" s="3205"/>
      <c r="B16" s="3199" t="s">
        <v>42</v>
      </c>
      <c r="C16" s="3200"/>
    </row>
    <row r="17" spans="1:3" ht="13.5">
      <c r="A17" s="3205"/>
      <c r="B17" s="3202" t="s">
        <v>957</v>
      </c>
      <c r="C17" s="1429" t="s">
        <v>956</v>
      </c>
    </row>
    <row r="18" spans="1:3" ht="13.5">
      <c r="A18" s="3205"/>
      <c r="B18" s="3202"/>
      <c r="C18" s="1429" t="s">
        <v>958</v>
      </c>
    </row>
    <row r="19" spans="1:3" ht="13.5">
      <c r="A19" s="3205"/>
      <c r="B19" s="3202"/>
      <c r="C19" s="1429" t="s">
        <v>959</v>
      </c>
    </row>
    <row r="20" spans="1:3" ht="13.5">
      <c r="A20" s="3206"/>
      <c r="B20" s="3201" t="s">
        <v>960</v>
      </c>
      <c r="C20" s="3200"/>
    </row>
    <row r="21" spans="1:3" ht="13.5">
      <c r="A21" s="1430" t="s">
        <v>961</v>
      </c>
      <c r="B21" s="1431"/>
      <c r="C21" s="1432"/>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9" t="s">
        <v>967</v>
      </c>
    </row>
    <row r="26" spans="1:3" ht="13.5">
      <c r="A26" s="3203"/>
      <c r="B26" s="3202"/>
      <c r="C26" s="1429" t="s">
        <v>968</v>
      </c>
    </row>
    <row r="27" spans="1:3" ht="13.5">
      <c r="A27" s="3203"/>
      <c r="B27" s="3202"/>
      <c r="C27" s="1429" t="s">
        <v>969</v>
      </c>
    </row>
    <row r="28" spans="1:3" ht="13.5">
      <c r="A28" s="3203"/>
      <c r="B28" s="3202"/>
      <c r="C28" s="1429" t="s">
        <v>970</v>
      </c>
    </row>
    <row r="29" spans="1:3" ht="13.5">
      <c r="A29" s="3203"/>
      <c r="B29" s="3202"/>
      <c r="C29" s="1429" t="s">
        <v>971</v>
      </c>
    </row>
    <row r="30" spans="1:3" ht="13.5">
      <c r="A30" s="3203"/>
      <c r="B30" s="3202"/>
      <c r="C30" s="1429" t="s">
        <v>972</v>
      </c>
    </row>
    <row r="31" spans="1:3" ht="13.5">
      <c r="A31" s="3203"/>
      <c r="B31" s="3202"/>
      <c r="C31" s="1429" t="s">
        <v>973</v>
      </c>
    </row>
    <row r="32" spans="1:3" ht="13.5">
      <c r="A32" s="3203"/>
      <c r="B32" s="3202"/>
      <c r="C32" s="1429" t="s">
        <v>974</v>
      </c>
    </row>
    <row r="33" spans="1:3" ht="13.5">
      <c r="A33" s="3203"/>
      <c r="B33" s="320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46007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60"/>
      <c r="E18" s="3209" t="s">
        <v>2162</v>
      </c>
      <c r="F18" s="3208"/>
      <c r="G18" s="320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2025-12-16T03:19:47Z</dcterms:modified>
</cp:coreProperties>
</file>