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冯德智\"/>
    </mc:Choice>
  </mc:AlternateContent>
  <xr:revisionPtr revIDLastSave="0" documentId="13_ncr:1_{70AE320D-DD94-489F-97BE-CB9A6C63C53D}" xr6:coauthVersionLast="47" xr6:coauthVersionMax="47" xr10:uidLastSave="{00000000-0000-0000-0000-000000000000}"/>
  <bookViews>
    <workbookView xWindow="576" yWindow="900" windowWidth="13908" windowHeight="1152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商业" sheetId="15" r:id="rId25"/>
    <sheet name="收益法 (元)" sheetId="67" state="hidden" r:id="rId26"/>
    <sheet name="收益法-酒店模型" sheetId="77" state="hidden" r:id="rId27"/>
    <sheet name="收益法-办公车库" sheetId="84" r:id="rId28"/>
    <sheet name="收益法（汇总）" sheetId="70" r:id="rId29"/>
    <sheet name="台账" sheetId="82" r:id="rId30"/>
    <sheet name="租金"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'收益法-办公车库'!$A$1:$F$43,'收益法-办公车库'!$H$3:$M$29,'收益法-办公车库'!$A$46:$F$71,'收益法-办公车库'!$I$46:$N$65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O15" i="3" l="1"/>
  <c r="G20" i="6" s="1"/>
  <c r="G43" i="82" s="1"/>
  <c r="M14" i="3"/>
  <c r="K13" i="3"/>
  <c r="I13" i="3"/>
  <c r="I91" i="9"/>
  <c r="L7" i="1"/>
  <c r="H47" i="82"/>
  <c r="I34" i="82"/>
  <c r="Q72" i="84"/>
  <c r="F60" i="84"/>
  <c r="Q59" i="84"/>
  <c r="K59" i="84"/>
  <c r="P74" i="84" s="1"/>
  <c r="F59" i="84"/>
  <c r="Q58" i="84"/>
  <c r="Q51" i="84"/>
  <c r="J50" i="84"/>
  <c r="M47" i="84"/>
  <c r="D46" i="84"/>
  <c r="F34" i="84"/>
  <c r="F62" i="84" s="1"/>
  <c r="F33" i="84"/>
  <c r="F61" i="84" s="1"/>
  <c r="F32" i="84"/>
  <c r="F31" i="84"/>
  <c r="F28" i="84"/>
  <c r="C28" i="84" s="1"/>
  <c r="F23" i="84"/>
  <c r="D24" i="84" s="1"/>
  <c r="F21" i="84"/>
  <c r="M20" i="84"/>
  <c r="F20" i="84"/>
  <c r="M19" i="84"/>
  <c r="M18" i="84"/>
  <c r="F18" i="84"/>
  <c r="M17" i="84"/>
  <c r="F17" i="84"/>
  <c r="F15" i="84"/>
  <c r="Y7" i="1"/>
  <c r="Y6" i="1"/>
  <c r="H52" i="82"/>
  <c r="H41" i="82"/>
  <c r="G40" i="82"/>
  <c r="G51" i="82" s="1"/>
  <c r="G33" i="82"/>
  <c r="I33" i="82" s="1"/>
  <c r="M30" i="82"/>
  <c r="F30" i="82"/>
  <c r="G62" i="81"/>
  <c r="G63" i="81"/>
  <c r="G64" i="81"/>
  <c r="G65" i="81"/>
  <c r="M65" i="81" s="1"/>
  <c r="N65" i="81" s="1"/>
  <c r="G66" i="81"/>
  <c r="G67" i="81"/>
  <c r="G68" i="81"/>
  <c r="G69" i="81"/>
  <c r="M69" i="81" s="1"/>
  <c r="N69" i="81" s="1"/>
  <c r="G61" i="81"/>
  <c r="G44" i="81"/>
  <c r="D42" i="81"/>
  <c r="D33" i="81"/>
  <c r="G51" i="43"/>
  <c r="G52" i="43"/>
  <c r="G53" i="43"/>
  <c r="G54" i="43"/>
  <c r="G55" i="43"/>
  <c r="G56" i="43"/>
  <c r="G57" i="43"/>
  <c r="G58" i="43"/>
  <c r="G50" i="43"/>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M100" i="81"/>
  <c r="N100" i="81" s="1"/>
  <c r="K100" i="81"/>
  <c r="J100" i="81" s="1"/>
  <c r="D100" i="81"/>
  <c r="B100" i="81"/>
  <c r="M99" i="81"/>
  <c r="N99" i="81" s="1"/>
  <c r="K99" i="81"/>
  <c r="J99" i="81" s="1"/>
  <c r="D99" i="81"/>
  <c r="B99" i="81"/>
  <c r="N98" i="81"/>
  <c r="M98" i="81"/>
  <c r="K98" i="81"/>
  <c r="J98" i="81"/>
  <c r="D98" i="81"/>
  <c r="M97" i="81"/>
  <c r="N97" i="81" s="1"/>
  <c r="K97" i="81"/>
  <c r="J97" i="81" s="1"/>
  <c r="D97" i="81"/>
  <c r="B97" i="81"/>
  <c r="M96" i="81"/>
  <c r="N96" i="81" s="1"/>
  <c r="K96" i="81"/>
  <c r="J96" i="81" s="1"/>
  <c r="D96" i="81"/>
  <c r="N95" i="81"/>
  <c r="M95" i="81"/>
  <c r="K95" i="81"/>
  <c r="J95" i="81"/>
  <c r="D95" i="81"/>
  <c r="B95" i="81"/>
  <c r="M94" i="81"/>
  <c r="N94" i="81" s="1"/>
  <c r="K94" i="81"/>
  <c r="J94" i="81" s="1"/>
  <c r="D94" i="81"/>
  <c r="B94" i="81"/>
  <c r="M93" i="81"/>
  <c r="N93" i="81" s="1"/>
  <c r="K93" i="81"/>
  <c r="J93" i="81" s="1"/>
  <c r="F93" i="81"/>
  <c r="H95" i="81" s="1"/>
  <c r="E93" i="81"/>
  <c r="B91" i="81" s="1"/>
  <c r="D93" i="81"/>
  <c r="M90" i="81"/>
  <c r="N90" i="81" s="1"/>
  <c r="K90" i="81"/>
  <c r="J90" i="81" s="1"/>
  <c r="D90" i="81"/>
  <c r="B90" i="81"/>
  <c r="M89" i="81"/>
  <c r="N89" i="81" s="1"/>
  <c r="K89" i="81"/>
  <c r="J89" i="81" s="1"/>
  <c r="D89" i="81"/>
  <c r="N88" i="81"/>
  <c r="M88" i="81"/>
  <c r="K88" i="81"/>
  <c r="J88" i="81"/>
  <c r="D88" i="81"/>
  <c r="B88" i="81"/>
  <c r="M87" i="81"/>
  <c r="N87" i="81" s="1"/>
  <c r="K87" i="81"/>
  <c r="J87" i="81" s="1"/>
  <c r="D87" i="81"/>
  <c r="B87" i="81"/>
  <c r="M86" i="81"/>
  <c r="N86" i="81" s="1"/>
  <c r="K86" i="81"/>
  <c r="J86" i="81" s="1"/>
  <c r="D86" i="81"/>
  <c r="E83" i="81" s="1"/>
  <c r="B86" i="81"/>
  <c r="N85" i="81"/>
  <c r="M85" i="81"/>
  <c r="K85" i="81"/>
  <c r="J85" i="81"/>
  <c r="D85" i="81"/>
  <c r="B85" i="81"/>
  <c r="N84" i="81"/>
  <c r="M84" i="81"/>
  <c r="K84" i="81"/>
  <c r="J84" i="81"/>
  <c r="D84" i="81"/>
  <c r="B84" i="81"/>
  <c r="N83" i="81"/>
  <c r="M83" i="81"/>
  <c r="K83" i="81"/>
  <c r="J83" i="81" s="1"/>
  <c r="F83" i="81"/>
  <c r="D83" i="81"/>
  <c r="B83" i="81"/>
  <c r="B81" i="81"/>
  <c r="N80" i="81"/>
  <c r="M80" i="81"/>
  <c r="K80" i="81"/>
  <c r="J80" i="81"/>
  <c r="D80" i="81"/>
  <c r="M79" i="81"/>
  <c r="N79" i="81" s="1"/>
  <c r="K79" i="81"/>
  <c r="J79" i="81" s="1"/>
  <c r="H79" i="81"/>
  <c r="D79" i="81"/>
  <c r="B79" i="81"/>
  <c r="M78" i="81"/>
  <c r="N78" i="81" s="1"/>
  <c r="K78" i="81"/>
  <c r="J78" i="81" s="1"/>
  <c r="D78" i="81"/>
  <c r="N77" i="81"/>
  <c r="M77" i="81"/>
  <c r="K77" i="81"/>
  <c r="J77" i="81"/>
  <c r="D77" i="81"/>
  <c r="B77" i="81"/>
  <c r="M76" i="81"/>
  <c r="N76" i="81" s="1"/>
  <c r="K76" i="81"/>
  <c r="J76" i="81" s="1"/>
  <c r="H76" i="81"/>
  <c r="D76" i="81"/>
  <c r="B76" i="81"/>
  <c r="M75" i="81"/>
  <c r="N75" i="81" s="1"/>
  <c r="K75" i="81"/>
  <c r="J75" i="81" s="1"/>
  <c r="D75" i="81"/>
  <c r="E72" i="81" s="1"/>
  <c r="B75" i="81"/>
  <c r="N74" i="81"/>
  <c r="M74" i="81"/>
  <c r="K74" i="81"/>
  <c r="J74" i="81" s="1"/>
  <c r="D74" i="81"/>
  <c r="B74" i="81"/>
  <c r="N73" i="81"/>
  <c r="M73" i="81"/>
  <c r="K73" i="81"/>
  <c r="J73" i="81"/>
  <c r="D73" i="81"/>
  <c r="B73" i="81"/>
  <c r="N72" i="81"/>
  <c r="M72" i="81"/>
  <c r="K72" i="81"/>
  <c r="J72" i="81" s="1"/>
  <c r="F72" i="81"/>
  <c r="D72" i="81"/>
  <c r="B72" i="81"/>
  <c r="B70" i="81"/>
  <c r="K69" i="81"/>
  <c r="J69" i="81" s="1"/>
  <c r="B69" i="81"/>
  <c r="N68" i="81"/>
  <c r="M68" i="81"/>
  <c r="K68" i="81"/>
  <c r="J68" i="81" s="1"/>
  <c r="D68" i="81"/>
  <c r="B68" i="81"/>
  <c r="N67" i="81"/>
  <c r="M67" i="81"/>
  <c r="K67" i="81"/>
  <c r="J67" i="81" s="1"/>
  <c r="B67" i="81"/>
  <c r="M66" i="81"/>
  <c r="N66" i="81" s="1"/>
  <c r="K66" i="81"/>
  <c r="J66" i="81" s="1"/>
  <c r="K65" i="81"/>
  <c r="J65" i="81" s="1"/>
  <c r="D65" i="81"/>
  <c r="B65" i="81"/>
  <c r="N64" i="81"/>
  <c r="M64" i="81"/>
  <c r="K64" i="81"/>
  <c r="J64" i="81" s="1"/>
  <c r="N63" i="81"/>
  <c r="M63" i="81"/>
  <c r="K63" i="81"/>
  <c r="J63" i="81" s="1"/>
  <c r="B63" i="81"/>
  <c r="M62" i="81"/>
  <c r="N62" i="81" s="1"/>
  <c r="K62" i="81"/>
  <c r="J62" i="81"/>
  <c r="D62" i="81"/>
  <c r="B62" i="81"/>
  <c r="M61" i="81"/>
  <c r="N61" i="81" s="1"/>
  <c r="K61" i="81"/>
  <c r="J61" i="81" s="1"/>
  <c r="D61" i="81"/>
  <c r="B61" i="81"/>
  <c r="N58" i="81"/>
  <c r="M58" i="81"/>
  <c r="K58" i="81"/>
  <c r="J58" i="81" s="1"/>
  <c r="D58" i="81"/>
  <c r="B58" i="81"/>
  <c r="N57" i="81"/>
  <c r="M57" i="81"/>
  <c r="K57" i="81"/>
  <c r="J57" i="81"/>
  <c r="D57" i="81"/>
  <c r="B57" i="81"/>
  <c r="N56" i="81"/>
  <c r="M56" i="81"/>
  <c r="K56" i="81"/>
  <c r="J56" i="81" s="1"/>
  <c r="D56" i="81"/>
  <c r="B56" i="81"/>
  <c r="M55" i="81"/>
  <c r="N55" i="81" s="1"/>
  <c r="K55" i="81"/>
  <c r="J55" i="81" s="1"/>
  <c r="D55" i="81"/>
  <c r="N54" i="81"/>
  <c r="M54" i="81"/>
  <c r="K54" i="81"/>
  <c r="J54" i="81"/>
  <c r="D54" i="81"/>
  <c r="B54" i="81"/>
  <c r="N53" i="81"/>
  <c r="M53" i="81"/>
  <c r="K53" i="81"/>
  <c r="J53" i="81" s="1"/>
  <c r="D53" i="81"/>
  <c r="N52" i="81"/>
  <c r="M52" i="81"/>
  <c r="K52" i="81"/>
  <c r="J52" i="81"/>
  <c r="D52" i="81"/>
  <c r="B52" i="81"/>
  <c r="N51" i="81"/>
  <c r="M51" i="81"/>
  <c r="K51" i="81"/>
  <c r="J51" i="81"/>
  <c r="D51" i="81"/>
  <c r="B51" i="81"/>
  <c r="M50" i="81"/>
  <c r="N50" i="81" s="1"/>
  <c r="K50" i="81"/>
  <c r="J50" i="81" s="1"/>
  <c r="D50" i="81"/>
  <c r="B50" i="81"/>
  <c r="H42" i="81"/>
  <c r="H41" i="81"/>
  <c r="H40" i="81"/>
  <c r="H39" i="81"/>
  <c r="H38" i="81"/>
  <c r="H37" i="81"/>
  <c r="Q32" i="81"/>
  <c r="O32" i="81"/>
  <c r="N32" i="81"/>
  <c r="M32" i="81"/>
  <c r="J24" i="81"/>
  <c r="I24" i="81"/>
  <c r="G24" i="81"/>
  <c r="E44" i="81" s="1"/>
  <c r="C44" i="81" s="1"/>
  <c r="E24" i="81"/>
  <c r="P32" i="81" s="1"/>
  <c r="M23" i="81"/>
  <c r="I23" i="81"/>
  <c r="G23" i="81"/>
  <c r="C22" i="81"/>
  <c r="C20" i="81"/>
  <c r="G17" i="81"/>
  <c r="C17" i="81"/>
  <c r="C13" i="81"/>
  <c r="AJ10" i="81"/>
  <c r="AI10" i="81"/>
  <c r="AE10" i="81"/>
  <c r="AB10" i="81"/>
  <c r="AA10" i="81"/>
  <c r="Y10" i="81"/>
  <c r="E10" i="81"/>
  <c r="C10" i="81"/>
  <c r="C11" i="81" s="1"/>
  <c r="E11" i="81" s="1"/>
  <c r="AJ9" i="81"/>
  <c r="AI9" i="81"/>
  <c r="AH9" i="81"/>
  <c r="AH10" i="81" s="1"/>
  <c r="AG9" i="81"/>
  <c r="AG10" i="81" s="1"/>
  <c r="AF9" i="81"/>
  <c r="AF10" i="81" s="1"/>
  <c r="AE9" i="81"/>
  <c r="AD9" i="81"/>
  <c r="AD10" i="81" s="1"/>
  <c r="AC9" i="81"/>
  <c r="AC10" i="81" s="1"/>
  <c r="AB9" i="81"/>
  <c r="AA9" i="81"/>
  <c r="Z9" i="81"/>
  <c r="Z10" i="81" s="1"/>
  <c r="E9" i="81"/>
  <c r="C9" i="81"/>
  <c r="E8" i="81"/>
  <c r="C7" i="81"/>
  <c r="S4" i="81"/>
  <c r="U2" i="81"/>
  <c r="I2" i="81"/>
  <c r="G2" i="81"/>
  <c r="M1" i="81"/>
  <c r="D1" i="81"/>
  <c r="U2" i="43"/>
  <c r="D37" i="43"/>
  <c r="D33" i="43"/>
  <c r="N9" i="1"/>
  <c r="N10" i="1" s="1"/>
  <c r="N11" i="1" s="1"/>
  <c r="N12" i="1" s="1"/>
  <c r="N13" i="1" s="1"/>
  <c r="N7" i="1"/>
  <c r="N6" i="1"/>
  <c r="F20" i="6"/>
  <c r="G42" i="82" s="1"/>
  <c r="G19" i="6"/>
  <c r="G41" i="82" s="1"/>
  <c r="G52" i="82" s="1"/>
  <c r="F19" i="6"/>
  <c r="C19" i="6"/>
  <c r="G48" i="82" l="1"/>
  <c r="I43" i="82"/>
  <c r="G47" i="82"/>
  <c r="I42" i="82"/>
  <c r="I41" i="82"/>
  <c r="G32" i="82"/>
  <c r="I32" i="82" s="1"/>
  <c r="I35" i="82" s="1"/>
  <c r="G53" i="82"/>
  <c r="I51" i="82"/>
  <c r="I40" i="82"/>
  <c r="I47" i="82"/>
  <c r="I48" i="82"/>
  <c r="G49" i="82"/>
  <c r="G44" i="82"/>
  <c r="P61" i="84"/>
  <c r="D22" i="84"/>
  <c r="D23" i="84"/>
  <c r="J51" i="84"/>
  <c r="I52" i="82"/>
  <c r="D63" i="81"/>
  <c r="D64" i="81"/>
  <c r="D69" i="81"/>
  <c r="D66" i="81"/>
  <c r="E61" i="81" s="1"/>
  <c r="B59" i="81" s="1"/>
  <c r="D67" i="81"/>
  <c r="C24" i="81"/>
  <c r="I18" i="81"/>
  <c r="H101" i="81"/>
  <c r="G18" i="81"/>
  <c r="F42" i="81"/>
  <c r="F40" i="81"/>
  <c r="F38" i="81"/>
  <c r="F37" i="81"/>
  <c r="O21" i="81"/>
  <c r="K21" i="81"/>
  <c r="L21" i="81"/>
  <c r="E21" i="81"/>
  <c r="S5" i="81"/>
  <c r="S3" i="81"/>
  <c r="J21" i="81"/>
  <c r="D21" i="81"/>
  <c r="H116" i="81"/>
  <c r="F39" i="81"/>
  <c r="C27" i="81"/>
  <c r="N21" i="81"/>
  <c r="C21" i="81"/>
  <c r="X7" i="81"/>
  <c r="I21" i="81"/>
  <c r="S6" i="81"/>
  <c r="P28" i="81"/>
  <c r="P26" i="81"/>
  <c r="M24" i="81"/>
  <c r="P29" i="81"/>
  <c r="O23" i="81"/>
  <c r="C23" i="81"/>
  <c r="P27" i="81"/>
  <c r="P25" i="81"/>
  <c r="M10" i="81"/>
  <c r="N9" i="81"/>
  <c r="N12" i="81"/>
  <c r="M11" i="81"/>
  <c r="M6" i="81"/>
  <c r="N4" i="81"/>
  <c r="M12" i="81"/>
  <c r="N7" i="81"/>
  <c r="N5" i="81"/>
  <c r="M4" i="81"/>
  <c r="N3" i="81"/>
  <c r="N2" i="81"/>
  <c r="F50" i="81" s="1"/>
  <c r="M9" i="81"/>
  <c r="M7" i="81"/>
  <c r="M3" i="81"/>
  <c r="N1" i="81"/>
  <c r="N10" i="81"/>
  <c r="N8" i="81"/>
  <c r="M5" i="81"/>
  <c r="M2" i="81"/>
  <c r="C6" i="81" s="1"/>
  <c r="E50" i="81"/>
  <c r="B48" i="81" s="1"/>
  <c r="H85" i="81"/>
  <c r="H89" i="81"/>
  <c r="H86" i="81"/>
  <c r="H84" i="81"/>
  <c r="H88" i="81"/>
  <c r="H83" i="81"/>
  <c r="H90" i="81"/>
  <c r="N11" i="81"/>
  <c r="H21" i="81"/>
  <c r="F41" i="81"/>
  <c r="S2" i="81"/>
  <c r="N6" i="81"/>
  <c r="M8" i="81"/>
  <c r="M21" i="81"/>
  <c r="H80" i="81"/>
  <c r="H74" i="81"/>
  <c r="H78" i="81"/>
  <c r="H75" i="81"/>
  <c r="H73" i="81"/>
  <c r="H77" i="81"/>
  <c r="H72" i="81"/>
  <c r="H87" i="81"/>
  <c r="E17" i="81"/>
  <c r="H98" i="81"/>
  <c r="H99" i="81"/>
  <c r="H96" i="81"/>
  <c r="H93" i="81"/>
  <c r="H100" i="81"/>
  <c r="H94" i="81"/>
  <c r="H97" i="81"/>
  <c r="C60" i="78"/>
  <c r="D60" i="78" s="1"/>
  <c r="B55" i="78"/>
  <c r="D55" i="78" s="1"/>
  <c r="D53" i="78"/>
  <c r="D52" i="78"/>
  <c r="D51" i="78" s="1"/>
  <c r="B51" i="78"/>
  <c r="B56" i="78" s="1"/>
  <c r="I44" i="82" l="1"/>
  <c r="H44" i="82" s="1"/>
  <c r="I49" i="82"/>
  <c r="H49" i="82" s="1"/>
  <c r="I53" i="82"/>
  <c r="H53" i="82" s="1"/>
  <c r="C28" i="81"/>
  <c r="F61" i="81"/>
  <c r="H58" i="81"/>
  <c r="H52" i="81"/>
  <c r="H55" i="81"/>
  <c r="H57" i="81"/>
  <c r="H54" i="81"/>
  <c r="H50" i="81"/>
  <c r="H56" i="81"/>
  <c r="H53" i="81"/>
  <c r="H51" i="81"/>
  <c r="C5" i="81"/>
  <c r="D5" i="81"/>
  <c r="G21" i="81"/>
  <c r="C51" i="78"/>
  <c r="C56" i="78" s="1"/>
  <c r="C58" i="78" s="1"/>
  <c r="B62" i="78"/>
  <c r="B54" i="78"/>
  <c r="D54" i="78" s="1"/>
  <c r="D56" i="78" s="1"/>
  <c r="H64" i="81" l="1"/>
  <c r="H67" i="81"/>
  <c r="H62" i="81"/>
  <c r="H63" i="81"/>
  <c r="H65" i="81"/>
  <c r="H66" i="81"/>
  <c r="H68" i="81"/>
  <c r="H61" i="81"/>
  <c r="H69" i="81"/>
  <c r="C37" i="81"/>
  <c r="C41" i="81"/>
  <c r="C39" i="81"/>
  <c r="C42" i="81"/>
  <c r="C38" i="81"/>
  <c r="C40" i="81"/>
  <c r="T12" i="81"/>
  <c r="V12" i="81" s="1"/>
  <c r="T11" i="81"/>
  <c r="V11" i="81" s="1"/>
  <c r="T14" i="81"/>
  <c r="V14" i="81" s="1"/>
  <c r="T7" i="81"/>
  <c r="V7" i="81" s="1"/>
  <c r="T16" i="81"/>
  <c r="V16" i="81" s="1"/>
  <c r="T13" i="81"/>
  <c r="V13" i="81" s="1"/>
  <c r="T10" i="81"/>
  <c r="V10" i="81" s="1"/>
  <c r="T9" i="81"/>
  <c r="V9" i="81" s="1"/>
  <c r="T8" i="81"/>
  <c r="V8" i="81" s="1"/>
  <c r="T6" i="81"/>
  <c r="V6" i="81" s="1"/>
  <c r="T4" i="81"/>
  <c r="V4" i="81" s="1"/>
  <c r="T15" i="81"/>
  <c r="V15" i="81" s="1"/>
  <c r="T3" i="81"/>
  <c r="V3" i="81" s="1"/>
  <c r="T5" i="81"/>
  <c r="V5" i="81" s="1"/>
  <c r="T2" i="81"/>
  <c r="V2" i="81" s="1"/>
  <c r="D58" i="78"/>
  <c r="D62" i="78" s="1"/>
  <c r="C62" i="78" s="1"/>
  <c r="E39" i="81" l="1"/>
  <c r="G39" i="81"/>
  <c r="I39" i="81" s="1"/>
  <c r="G40" i="81"/>
  <c r="I40" i="81" s="1"/>
  <c r="E40" i="81"/>
  <c r="E41" i="81"/>
  <c r="G41" i="81"/>
  <c r="I41" i="81" s="1"/>
  <c r="G38" i="81"/>
  <c r="I38" i="81" s="1"/>
  <c r="E38" i="81"/>
  <c r="G37" i="81"/>
  <c r="I37" i="81" s="1"/>
  <c r="E37" i="81"/>
  <c r="G42" i="81"/>
  <c r="I42" i="81" s="1"/>
  <c r="E42" i="8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H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4" i="35"/>
  <c r="F36" i="34"/>
  <c r="J35"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S44" i="39"/>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F32" i="33"/>
  <c r="AA32" i="33"/>
  <c r="J19" i="33"/>
  <c r="AC19" i="33"/>
  <c r="J15" i="33"/>
  <c r="AC15" i="33"/>
  <c r="F11" i="33"/>
  <c r="AA11" i="33" s="1"/>
  <c r="W40" i="33"/>
  <c r="F37" i="40"/>
  <c r="AA37" i="40"/>
  <c r="F36" i="40"/>
  <c r="AA36" i="40"/>
  <c r="H28" i="40"/>
  <c r="U28" i="40"/>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c r="F14" i="21"/>
  <c r="S14" i="21" s="1"/>
  <c r="U14" i="21"/>
  <c r="H28" i="21"/>
  <c r="AB28" i="21" s="1"/>
  <c r="F28" i="21"/>
  <c r="AA28" i="21" s="1"/>
  <c r="J28" i="21"/>
  <c r="W28" i="21" s="1"/>
  <c r="H30" i="21"/>
  <c r="U30" i="21"/>
  <c r="J30" i="21"/>
  <c r="AC30" i="21" s="1"/>
  <c r="J44" i="21"/>
  <c r="AC44" i="21" s="1"/>
  <c r="H44" i="21"/>
  <c r="U44" i="2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AB30" i="34" s="1"/>
  <c r="F30" i="34"/>
  <c r="S30" i="34" s="1"/>
  <c r="J30" i="34"/>
  <c r="H32" i="34"/>
  <c r="AB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F25" i="36"/>
  <c r="S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U19" i="40" s="1"/>
  <c r="F19" i="40"/>
  <c r="S19" i="40" s="1"/>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A118" i="9"/>
  <c r="A4" i="52"/>
  <c r="B41" i="72" s="1"/>
  <c r="J11" i="39"/>
  <c r="W11" i="39"/>
  <c r="F11" i="39"/>
  <c r="S11"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47" i="3"/>
  <c r="AZ144" i="3"/>
  <c r="AZ168" i="3"/>
  <c r="AZ176" i="3"/>
  <c r="AZ184" i="3"/>
  <c r="AZ97" i="3"/>
  <c r="AZ120" i="3"/>
  <c r="G534" i="3"/>
  <c r="G530" i="3"/>
  <c r="G522" i="3"/>
  <c r="G516" i="3"/>
  <c r="G512" i="3"/>
  <c r="G506" i="3"/>
  <c r="G498" i="3"/>
  <c r="G494" i="3"/>
  <c r="G16"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Z496" i="3"/>
  <c r="G548" i="3"/>
  <c r="G538" i="3"/>
  <c r="G520" i="3"/>
  <c r="G502" i="3"/>
  <c r="BS5" i="3"/>
  <c r="BP5" i="3"/>
  <c r="BN5" i="3"/>
  <c r="BK5" i="3"/>
  <c r="BI5" i="3"/>
  <c r="BG5" i="3"/>
  <c r="BE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69" i="3"/>
  <c r="AZ74" i="3"/>
  <c r="AZ86" i="3"/>
  <c r="AZ110" i="3"/>
  <c r="F23" i="39"/>
  <c r="AA23" i="39"/>
  <c r="H27" i="36"/>
  <c r="U27" i="36" s="1"/>
  <c r="F27" i="36"/>
  <c r="AA27" i="36" s="1"/>
  <c r="H33" i="34"/>
  <c r="U33" i="34"/>
  <c r="F32" i="37"/>
  <c r="AA32" i="37" s="1"/>
  <c r="F20" i="36"/>
  <c r="AA20" i="36" s="1"/>
  <c r="J33" i="34"/>
  <c r="AC33" i="34" s="1"/>
  <c r="H23" i="39"/>
  <c r="U23" i="39" s="1"/>
  <c r="K9" i="1"/>
  <c r="M9" i="1" s="1"/>
  <c r="D93" i="9"/>
  <c r="W27" i="34"/>
  <c r="AC27" i="34"/>
  <c r="AB33" i="36"/>
  <c r="U33" i="36"/>
  <c r="AC12" i="39"/>
  <c r="W12" i="39"/>
  <c r="AC39" i="40"/>
  <c r="W39" i="40"/>
  <c r="AZ465" i="3"/>
  <c r="AZ586" i="3"/>
  <c r="W12" i="33"/>
  <c r="AC12" i="33"/>
  <c r="AA32" i="36"/>
  <c r="S32" i="36"/>
  <c r="BL14" i="3"/>
  <c r="U30" i="33"/>
  <c r="AC13" i="34"/>
  <c r="AA47" i="34"/>
  <c r="W28" i="37"/>
  <c r="S19" i="39"/>
  <c r="F12" i="33"/>
  <c r="AA12" i="33" s="1"/>
  <c r="H12" i="39"/>
  <c r="AB12" i="39" s="1"/>
  <c r="F39" i="40"/>
  <c r="AA39" i="40" s="1"/>
  <c r="BA14" i="3"/>
  <c r="AZ254" i="3"/>
  <c r="AZ286" i="3"/>
  <c r="AZ189" i="3"/>
  <c r="B12" i="1"/>
  <c r="E12" i="1" s="1"/>
  <c r="B10" i="1"/>
  <c r="E10" i="1" s="1"/>
  <c r="K12" i="1"/>
  <c r="M12" i="1" s="1"/>
  <c r="S13" i="1"/>
  <c r="AR13" i="1" s="1"/>
  <c r="R13" i="1"/>
  <c r="J51" i="67"/>
  <c r="B41" i="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L17" i="3"/>
  <c r="AZ17" i="3"/>
  <c r="BL13" i="3"/>
  <c r="J56" i="9"/>
  <c r="U29" i="34"/>
  <c r="E5" i="6"/>
  <c r="E32" i="6"/>
  <c r="E19" i="69"/>
  <c r="E19" i="68"/>
  <c r="E19" i="11"/>
  <c r="E1" i="73"/>
  <c r="G22" i="69"/>
  <c r="G22" i="68"/>
  <c r="G26" i="12"/>
  <c r="G22" i="11"/>
  <c r="C6" i="43"/>
  <c r="B19" i="53"/>
  <c r="B37" i="72" s="1"/>
  <c r="C7" i="2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B39" i="39"/>
  <c r="W34" i="39"/>
  <c r="U38" i="39"/>
  <c r="S8" i="39"/>
  <c r="U32" i="36"/>
  <c r="W29" i="36"/>
  <c r="AC20" i="36"/>
  <c r="U25" i="36"/>
  <c r="AB28" i="36"/>
  <c r="AA13" i="36"/>
  <c r="W9" i="36"/>
  <c r="W22" i="36"/>
  <c r="W23" i="36"/>
  <c r="AC25" i="35"/>
  <c r="U25" i="35"/>
  <c r="S24" i="35"/>
  <c r="U24" i="35"/>
  <c r="W35" i="35"/>
  <c r="AA16" i="35"/>
  <c r="AA35" i="37"/>
  <c r="W36" i="37"/>
  <c r="S27" i="37"/>
  <c r="S28" i="37"/>
  <c r="W32" i="37"/>
  <c r="U36" i="37"/>
  <c r="S40" i="37"/>
  <c r="U38" i="37"/>
  <c r="AB37" i="37"/>
  <c r="AC34" i="37"/>
  <c r="AB35" i="37"/>
  <c r="AA31" i="37"/>
  <c r="U19" i="37"/>
  <c r="U8" i="37"/>
  <c r="AA40" i="34"/>
  <c r="AB40"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62" i="43"/>
  <c r="B65" i="43"/>
  <c r="D23" i="15"/>
  <c r="D22" i="15"/>
  <c r="E4" i="4"/>
  <c r="B5" i="62" s="1"/>
  <c r="B73" i="72" s="1"/>
  <c r="C4" i="4"/>
  <c r="F30" i="11"/>
  <c r="C48" i="11" s="1"/>
  <c r="F28" i="67"/>
  <c r="M18" i="67"/>
  <c r="F32" i="67"/>
  <c r="F60" i="67" s="1"/>
  <c r="M18" i="15"/>
  <c r="F28" i="15"/>
  <c r="S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U25" i="33"/>
  <c r="AB25" i="33"/>
  <c r="S25" i="33"/>
  <c r="AA25" i="33"/>
  <c r="H87" i="33"/>
  <c r="I87" i="33"/>
  <c r="J87" i="33" s="1"/>
  <c r="K87" i="33" s="1"/>
  <c r="L87" i="33" s="1"/>
  <c r="M87" i="33" s="1"/>
  <c r="J25" i="33"/>
  <c r="AC25" i="33" s="1"/>
  <c r="AB23" i="33"/>
  <c r="U23" i="33"/>
  <c r="F23" i="33"/>
  <c r="H19" i="33"/>
  <c r="AB19" i="33" s="1"/>
  <c r="G81" i="33"/>
  <c r="H17" i="33"/>
  <c r="U17" i="33" s="1"/>
  <c r="F17" i="33"/>
  <c r="S17" i="33" s="1"/>
  <c r="W17" i="33"/>
  <c r="AC17" i="33"/>
  <c r="AB15" i="21"/>
  <c r="J23" i="21"/>
  <c r="W23" i="21" s="1"/>
  <c r="F85" i="21"/>
  <c r="G85"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AA17"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B7" i="76"/>
  <c r="F6" i="15"/>
  <c r="E13" i="76"/>
  <c r="E7" i="76"/>
  <c r="E9" i="76"/>
  <c r="F7" i="15"/>
  <c r="F36" i="15"/>
  <c r="F40" i="15"/>
  <c r="E8" i="76"/>
  <c r="J15" i="15"/>
  <c r="B8" i="76"/>
  <c r="E11" i="76"/>
  <c r="B12" i="76"/>
  <c r="M29" i="15"/>
  <c r="L47" i="15"/>
  <c r="M28" i="15"/>
  <c r="M24" i="15"/>
  <c r="F43" i="15"/>
  <c r="M6" i="15"/>
  <c r="M9" i="15"/>
  <c r="F8" i="15"/>
  <c r="F4" i="73"/>
  <c r="F38" i="15"/>
  <c r="M26" i="15"/>
  <c r="E2" i="69"/>
  <c r="F9" i="15"/>
  <c r="F26" i="15"/>
  <c r="F20" i="31"/>
  <c r="D6" i="73"/>
  <c r="M8" i="15"/>
  <c r="E10" i="76"/>
  <c r="F6" i="73"/>
  <c r="M22" i="15"/>
  <c r="F3" i="73"/>
  <c r="E12" i="76"/>
  <c r="C76" i="15"/>
  <c r="E2" i="68"/>
  <c r="F42" i="15"/>
  <c r="F37" i="15"/>
  <c r="B10" i="76"/>
  <c r="B11" i="76"/>
  <c r="M23" i="15"/>
  <c r="B13" i="76"/>
  <c r="F13" i="15"/>
  <c r="F7" i="73"/>
  <c r="F5" i="73"/>
  <c r="AO13" i="1"/>
  <c r="F16" i="15"/>
  <c r="H5" i="3" l="1"/>
  <c r="BC5" i="3"/>
  <c r="J57" i="9"/>
  <c r="J59" i="9" s="1"/>
  <c r="J61" i="9" s="1"/>
  <c r="B7" i="1"/>
  <c r="E7" i="1" s="1"/>
  <c r="G1" i="84"/>
  <c r="K8" i="1"/>
  <c r="M8" i="1" s="1"/>
  <c r="D53" i="43"/>
  <c r="D51" i="43"/>
  <c r="D55" i="43"/>
  <c r="C40" i="69"/>
  <c r="C21" i="68"/>
  <c r="F3" i="35"/>
  <c r="G1" i="67"/>
  <c r="K1" i="12"/>
  <c r="K7" i="1"/>
  <c r="G1" i="69"/>
  <c r="G1" i="68"/>
  <c r="G29" i="6"/>
  <c r="F29" i="6"/>
  <c r="AZ14" i="3"/>
  <c r="C29" i="39"/>
  <c r="B58" i="43"/>
  <c r="B69" i="43"/>
  <c r="B68" i="43"/>
  <c r="B79" i="43"/>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4" i="12" s="1"/>
  <c r="C7" i="34"/>
  <c r="C59" i="34" s="1"/>
  <c r="D59" i="34" s="1"/>
  <c r="E59" i="34" s="1"/>
  <c r="F59" i="34" s="1"/>
  <c r="G59" i="34" s="1"/>
  <c r="H59" i="34" s="1"/>
  <c r="I59" i="34" s="1"/>
  <c r="J59" i="34" s="1"/>
  <c r="K59" i="34" s="1"/>
  <c r="L59" i="34" s="1"/>
  <c r="M59" i="34" s="1"/>
  <c r="N59" i="34" s="1"/>
  <c r="O59" i="34" s="1"/>
  <c r="C7" i="40"/>
  <c r="C63" i="40" s="1"/>
  <c r="D63" i="40" s="1"/>
  <c r="C7" i="39"/>
  <c r="C67" i="39" s="1"/>
  <c r="U19" i="33"/>
  <c r="AA32" i="21"/>
  <c r="S32" i="21"/>
  <c r="AB32" i="21"/>
  <c r="U32" i="21"/>
  <c r="U45" i="21"/>
  <c r="AB45" i="21"/>
  <c r="F48" i="9"/>
  <c r="O52" i="9" s="1"/>
  <c r="F31" i="12"/>
  <c r="F30" i="69"/>
  <c r="F48" i="69" s="1"/>
  <c r="D68" i="9"/>
  <c r="F30" i="68"/>
  <c r="F48" i="68" s="1"/>
  <c r="F52" i="9"/>
  <c r="F32" i="15"/>
  <c r="F60" i="15" s="1"/>
  <c r="F54" i="9"/>
  <c r="W12" i="37"/>
  <c r="AC12" i="37"/>
  <c r="AC12" i="40"/>
  <c r="W12" i="40"/>
  <c r="AC32" i="39"/>
  <c r="W32" i="39"/>
  <c r="AA21" i="39"/>
  <c r="S21" i="39"/>
  <c r="AC31" i="40"/>
  <c r="W31" i="40"/>
  <c r="U36" i="33"/>
  <c r="AB36" i="33"/>
  <c r="C21" i="71"/>
  <c r="D21" i="71" s="1"/>
  <c r="U32" i="39"/>
  <c r="AA37" i="21"/>
  <c r="S37" i="21"/>
  <c r="U26" i="33"/>
  <c r="AB26" i="33"/>
  <c r="S32" i="37"/>
  <c r="AZ529" i="3"/>
  <c r="AZ537" i="3"/>
  <c r="J12" i="36"/>
  <c r="F12" i="36"/>
  <c r="H12" i="36"/>
  <c r="H34" i="36"/>
  <c r="J34" i="36"/>
  <c r="W34" i="36" s="1"/>
  <c r="J39" i="37"/>
  <c r="H39" i="37"/>
  <c r="F39" i="37"/>
  <c r="S39" i="37" s="1"/>
  <c r="H45" i="39"/>
  <c r="J45" i="39"/>
  <c r="W45" i="39" s="1"/>
  <c r="BL550" i="3"/>
  <c r="AC39" i="34"/>
  <c r="AA34" i="33"/>
  <c r="AA19" i="33"/>
  <c r="S39" i="40"/>
  <c r="AC37" i="33"/>
  <c r="U19" i="34"/>
  <c r="AA29" i="37"/>
  <c r="S35" i="35"/>
  <c r="S20" i="36"/>
  <c r="AB31" i="40"/>
  <c r="AA45" i="34"/>
  <c r="AC13" i="39"/>
  <c r="S15" i="39"/>
  <c r="U37" i="39"/>
  <c r="AC34" i="33"/>
  <c r="AC17" i="34"/>
  <c r="U12" i="40"/>
  <c r="AZ391" i="3"/>
  <c r="AZ364" i="3"/>
  <c r="AZ329" i="3"/>
  <c r="AZ304" i="3"/>
  <c r="AZ306" i="3"/>
  <c r="W35" i="40"/>
  <c r="AA13" i="33"/>
  <c r="AZ535" i="3"/>
  <c r="AZ557" i="3"/>
  <c r="AZ513" i="3"/>
  <c r="AZ575" i="3"/>
  <c r="AZ528" i="3"/>
  <c r="AZ574" i="3"/>
  <c r="AZ540" i="3"/>
  <c r="AZ502" i="3"/>
  <c r="W31" i="34"/>
  <c r="J25" i="36"/>
  <c r="AA29" i="35"/>
  <c r="AB12" i="35"/>
  <c r="S38" i="40"/>
  <c r="U31" i="35"/>
  <c r="F45" i="39"/>
  <c r="AA38" i="33"/>
  <c r="S38" i="33"/>
  <c r="H9" i="33"/>
  <c r="F9" i="33"/>
  <c r="AA9" i="33" s="1"/>
  <c r="J36" i="35"/>
  <c r="AC36" i="35" s="1"/>
  <c r="AC22" i="35"/>
  <c r="W22" i="35"/>
  <c r="AB38" i="40"/>
  <c r="U38" i="40"/>
  <c r="G552" i="3"/>
  <c r="AB20" i="35"/>
  <c r="U41" i="39"/>
  <c r="AB41" i="34"/>
  <c r="S37" i="37"/>
  <c r="AA19" i="40"/>
  <c r="U13" i="37"/>
  <c r="AC5" i="3"/>
  <c r="AZ357" i="3"/>
  <c r="AZ322" i="3"/>
  <c r="AZ313" i="3"/>
  <c r="AZ394" i="3"/>
  <c r="S14" i="40"/>
  <c r="AA25" i="21"/>
  <c r="F36" i="35"/>
  <c r="W44" i="33"/>
  <c r="AC36" i="34"/>
  <c r="AZ519" i="3"/>
  <c r="AZ531" i="3"/>
  <c r="AZ573" i="3"/>
  <c r="AZ583" i="3"/>
  <c r="AZ568" i="3"/>
  <c r="AZ576" i="3"/>
  <c r="S44" i="34"/>
  <c r="AA14" i="34"/>
  <c r="AC38" i="34"/>
  <c r="AC11" i="40"/>
  <c r="U40" i="33"/>
  <c r="AA41" i="33"/>
  <c r="U23" i="34"/>
  <c r="W28" i="35"/>
  <c r="BL587" i="3"/>
  <c r="AZ587" i="3" s="1"/>
  <c r="F12" i="35"/>
  <c r="J12" i="35"/>
  <c r="U39" i="40"/>
  <c r="AB39" i="40"/>
  <c r="AZ347" i="3"/>
  <c r="AA11" i="39"/>
  <c r="AZ571" i="3"/>
  <c r="AZ579" i="3"/>
  <c r="AZ516" i="3"/>
  <c r="AC11" i="35"/>
  <c r="B97" i="43"/>
  <c r="B75" i="43"/>
  <c r="AB35" i="33"/>
  <c r="U35" i="33"/>
  <c r="J26" i="33"/>
  <c r="F26" i="33"/>
  <c r="AC9" i="34"/>
  <c r="W9" i="34"/>
  <c r="AC28" i="36"/>
  <c r="W28" i="36"/>
  <c r="J24" i="36"/>
  <c r="H24" i="36"/>
  <c r="F24" i="36"/>
  <c r="AB30" i="37"/>
  <c r="U30" i="37"/>
  <c r="H44" i="39"/>
  <c r="J44" i="39"/>
  <c r="AA34" i="39"/>
  <c r="AA31" i="35"/>
  <c r="S31" i="35"/>
  <c r="AZ419" i="3"/>
  <c r="AZ422" i="3"/>
  <c r="AZ443" i="3"/>
  <c r="AZ444" i="3"/>
  <c r="AZ451" i="3"/>
  <c r="G587" i="3"/>
  <c r="BA551" i="3"/>
  <c r="AZ551" i="3" s="1"/>
  <c r="BA550" i="3"/>
  <c r="AZ550" i="3" s="1"/>
  <c r="BL548" i="3"/>
  <c r="AZ548" i="3" s="1"/>
  <c r="G399" i="3"/>
  <c r="BL400" i="3"/>
  <c r="AZ400" i="3" s="1"/>
  <c r="BL408" i="3"/>
  <c r="BL411" i="3"/>
  <c r="BL413" i="3"/>
  <c r="AZ413" i="3" s="1"/>
  <c r="G416" i="3"/>
  <c r="BL417" i="3"/>
  <c r="BL418" i="3"/>
  <c r="BL420" i="3"/>
  <c r="G423" i="3"/>
  <c r="BL424" i="3"/>
  <c r="G427" i="3"/>
  <c r="BL435" i="3"/>
  <c r="BL436" i="3"/>
  <c r="G458" i="3"/>
  <c r="BL459" i="3"/>
  <c r="G462" i="3"/>
  <c r="BA467" i="3"/>
  <c r="BA468" i="3"/>
  <c r="BL585" i="3"/>
  <c r="AZ585" i="3" s="1"/>
  <c r="AC31" i="35"/>
  <c r="G558" i="3"/>
  <c r="BL398" i="3"/>
  <c r="G402" i="3"/>
  <c r="BL403" i="3"/>
  <c r="AZ403" i="3" s="1"/>
  <c r="G405" i="3"/>
  <c r="G406" i="3"/>
  <c r="BA408" i="3"/>
  <c r="AZ408" i="3" s="1"/>
  <c r="BA409" i="3"/>
  <c r="AZ409" i="3" s="1"/>
  <c r="BA411" i="3"/>
  <c r="AZ411" i="3" s="1"/>
  <c r="BL414" i="3"/>
  <c r="BL415" i="3"/>
  <c r="BA417" i="3"/>
  <c r="AZ417" i="3" s="1"/>
  <c r="BL421" i="3"/>
  <c r="BL422" i="3"/>
  <c r="BL432" i="3"/>
  <c r="BA441" i="3"/>
  <c r="BA449" i="3"/>
  <c r="G452" i="3"/>
  <c r="BL452" i="3"/>
  <c r="G454" i="3"/>
  <c r="BA464" i="3"/>
  <c r="BL469" i="3"/>
  <c r="BA485" i="3"/>
  <c r="G490" i="3"/>
  <c r="BL395" i="3"/>
  <c r="BL2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AZ425" i="3" s="1"/>
  <c r="BA426" i="3"/>
  <c r="BL427" i="3"/>
  <c r="G429" i="3"/>
  <c r="G438" i="3"/>
  <c r="BL438" i="3"/>
  <c r="BL439" i="3"/>
  <c r="G444" i="3"/>
  <c r="G445" i="3"/>
  <c r="BL445" i="3"/>
  <c r="BL446" i="3"/>
  <c r="BL451" i="3"/>
  <c r="BA463" i="3"/>
  <c r="BA469" i="3"/>
  <c r="AZ469" i="3" s="1"/>
  <c r="BL472" i="3"/>
  <c r="G478" i="3"/>
  <c r="BL208" i="3"/>
  <c r="BA217" i="3"/>
  <c r="AZ217" i="3" s="1"/>
  <c r="G220" i="3"/>
  <c r="BL224" i="3"/>
  <c r="BA228" i="3"/>
  <c r="AZ228" i="3" s="1"/>
  <c r="G231" i="3"/>
  <c r="BL237" i="3"/>
  <c r="G256" i="3"/>
  <c r="G260" i="3"/>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BA243" i="3"/>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A427" i="3"/>
  <c r="BA433" i="3"/>
  <c r="AZ433" i="3" s="1"/>
  <c r="BA435" i="3"/>
  <c r="AZ435" i="3" s="1"/>
  <c r="BL437" i="3"/>
  <c r="AZ437" i="3" s="1"/>
  <c r="G439" i="3"/>
  <c r="BL441" i="3"/>
  <c r="BL442" i="3"/>
  <c r="BL444" i="3"/>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290" i="3"/>
  <c r="BL298" i="3"/>
  <c r="BL299" i="3"/>
  <c r="BA188" i="3"/>
  <c r="AZ188" i="3" s="1"/>
  <c r="BL195" i="3"/>
  <c r="AZ195"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G292" i="3"/>
  <c r="BA125" i="3"/>
  <c r="AZ125" i="3" s="1"/>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A22" i="3"/>
  <c r="BA25" i="3"/>
  <c r="BA26" i="3"/>
  <c r="BL28" i="3"/>
  <c r="BA29" i="3"/>
  <c r="BA43" i="3"/>
  <c r="V24" i="71"/>
  <c r="E23" i="71"/>
  <c r="E22" i="71" s="1"/>
  <c r="E21" i="71" s="1"/>
  <c r="E20" i="71" s="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5" i="3"/>
  <c r="BL27" i="3"/>
  <c r="AZ27" i="3" s="1"/>
  <c r="BA28" i="3"/>
  <c r="AZ28" i="3" s="1"/>
  <c r="BL30" i="3"/>
  <c r="BL31" i="3"/>
  <c r="AZ31" i="3" s="1"/>
  <c r="BA40" i="3"/>
  <c r="G47" i="3"/>
  <c r="BL48" i="3"/>
  <c r="BA55" i="3"/>
  <c r="AZ55" i="3" s="1"/>
  <c r="BL57" i="3"/>
  <c r="AZ64" i="3"/>
  <c r="C47" i="71"/>
  <c r="D47" i="71" s="1"/>
  <c r="D46" i="71"/>
  <c r="AZ108" i="3"/>
  <c r="D31" i="71"/>
  <c r="C32" i="71"/>
  <c r="C52" i="71"/>
  <c r="D51" i="71"/>
  <c r="C55" i="71"/>
  <c r="D54" i="71"/>
  <c r="C60" i="71"/>
  <c r="D59" i="71"/>
  <c r="N67" i="71"/>
  <c r="B66" i="71"/>
  <c r="F66" i="71"/>
  <c r="Q67" i="71"/>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BA30" i="3"/>
  <c r="G38" i="3"/>
  <c r="BA38" i="3"/>
  <c r="AZ38" i="3" s="1"/>
  <c r="BL40" i="3"/>
  <c r="BL41" i="3"/>
  <c r="AZ41" i="3" s="1"/>
  <c r="G51" i="3"/>
  <c r="BA52" i="3"/>
  <c r="AZ52" i="3" s="1"/>
  <c r="BL54" i="3"/>
  <c r="BL64" i="3"/>
  <c r="BL82" i="3"/>
  <c r="BA98" i="3"/>
  <c r="P65" i="71"/>
  <c r="P66" i="71"/>
  <c r="S21" i="33"/>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BA49" i="3"/>
  <c r="BA51" i="3"/>
  <c r="G55" i="3"/>
  <c r="BL56" i="3"/>
  <c r="BA58" i="3"/>
  <c r="BL59" i="3"/>
  <c r="AZ59" i="3" s="1"/>
  <c r="BL60" i="3"/>
  <c r="AZ60" i="3" s="1"/>
  <c r="BA61" i="3"/>
  <c r="AZ61" i="3" s="1"/>
  <c r="BA68" i="3"/>
  <c r="BA73" i="3"/>
  <c r="BA80" i="3"/>
  <c r="BL84" i="3"/>
  <c r="BA89" i="3"/>
  <c r="G103" i="3"/>
  <c r="BA103" i="3"/>
  <c r="AZ103" i="3" s="1"/>
  <c r="BA104" i="3"/>
  <c r="BA106" i="3"/>
  <c r="BL108"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BA66" i="3"/>
  <c r="BA71" i="3"/>
  <c r="G76" i="3"/>
  <c r="BL77" i="3"/>
  <c r="AZ77" i="3" s="1"/>
  <c r="BA79" i="3"/>
  <c r="AZ79" i="3" s="1"/>
  <c r="G82" i="3"/>
  <c r="G83" i="3"/>
  <c r="BA84" i="3"/>
  <c r="AZ84" i="3" s="1"/>
  <c r="BL88" i="3"/>
  <c r="AZ88" i="3" s="1"/>
  <c r="G90" i="3"/>
  <c r="BL90" i="3"/>
  <c r="BL92" i="3"/>
  <c r="G101" i="3"/>
  <c r="BA101" i="3"/>
  <c r="AZ101" i="3" s="1"/>
  <c r="G108" i="3"/>
  <c r="G109" i="3"/>
  <c r="BL112" i="3"/>
  <c r="S21" i="34"/>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BL83" i="3"/>
  <c r="G86" i="3"/>
  <c r="G87" i="3"/>
  <c r="BA90" i="3"/>
  <c r="BL94" i="3"/>
  <c r="AZ94" i="3" s="1"/>
  <c r="BA100" i="3"/>
  <c r="AZ100" i="3" s="1"/>
  <c r="BA102" i="3"/>
  <c r="AZ102" i="3" s="1"/>
  <c r="BL105" i="3"/>
  <c r="AZ105" i="3" s="1"/>
  <c r="G107" i="3"/>
  <c r="BL107" i="3"/>
  <c r="BA111" i="3"/>
  <c r="AB28" i="71"/>
  <c r="AB33" i="71"/>
  <c r="AA30" i="71"/>
  <c r="E35" i="71"/>
  <c r="E36" i="71" s="1"/>
  <c r="U36" i="71" s="1"/>
  <c r="AB31" i="71"/>
  <c r="AA36" i="71"/>
  <c r="B47" i="71"/>
  <c r="B48" i="71" s="1"/>
  <c r="S48"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D58" i="21"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L59" i="15"/>
  <c r="N59" i="15"/>
  <c r="M59" i="15"/>
  <c r="F66" i="15"/>
  <c r="F64" i="15"/>
  <c r="C27" i="15"/>
  <c r="F65" i="15"/>
  <c r="B13" i="70"/>
  <c r="F68" i="15"/>
  <c r="D9" i="69"/>
  <c r="C36" i="69"/>
  <c r="D9" i="68"/>
  <c r="F16" i="84"/>
  <c r="L48" i="84"/>
  <c r="F38" i="67"/>
  <c r="F42" i="67"/>
  <c r="M6" i="84"/>
  <c r="M29" i="84"/>
  <c r="F36" i="67"/>
  <c r="D4" i="73"/>
  <c r="F6" i="84"/>
  <c r="F8" i="67"/>
  <c r="M29" i="67"/>
  <c r="F38" i="84"/>
  <c r="M22" i="84"/>
  <c r="M24" i="67"/>
  <c r="F43" i="67"/>
  <c r="F36" i="84"/>
  <c r="M22" i="67"/>
  <c r="M27" i="84"/>
  <c r="D3" i="73"/>
  <c r="M23" i="84"/>
  <c r="D7" i="73"/>
  <c r="F42" i="84"/>
  <c r="F7" i="84"/>
  <c r="M28" i="84"/>
  <c r="F37" i="67"/>
  <c r="M9" i="84"/>
  <c r="C76" i="84"/>
  <c r="M8" i="67"/>
  <c r="F26" i="67"/>
  <c r="F40" i="84"/>
  <c r="F9" i="67"/>
  <c r="C16" i="15"/>
  <c r="F9" i="84"/>
  <c r="J15" i="84"/>
  <c r="M23" i="67"/>
  <c r="M28" i="67"/>
  <c r="F37" i="84"/>
  <c r="F8" i="84"/>
  <c r="D5" i="73"/>
  <c r="F6" i="67"/>
  <c r="F40" i="67"/>
  <c r="M26" i="67"/>
  <c r="F26" i="84"/>
  <c r="L48" i="15"/>
  <c r="F16" i="67"/>
  <c r="F13" i="67"/>
  <c r="M6" i="67"/>
  <c r="F13" i="84"/>
  <c r="F7" i="67"/>
  <c r="J15" i="67"/>
  <c r="M8" i="84"/>
  <c r="M26" i="84"/>
  <c r="L48" i="67"/>
  <c r="L47" i="67"/>
  <c r="L47" i="84"/>
  <c r="M24" i="84"/>
  <c r="M9" i="67"/>
  <c r="C76" i="67"/>
  <c r="F43" i="84"/>
  <c r="G3" i="43" l="1"/>
  <c r="H26" i="43" s="1"/>
  <c r="G3" i="81"/>
  <c r="Q71" i="84"/>
  <c r="C27" i="84"/>
  <c r="F51" i="84"/>
  <c r="J57" i="84"/>
  <c r="J55" i="84" s="1"/>
  <c r="J58" i="84" s="1"/>
  <c r="Q50" i="84" s="1"/>
  <c r="I54" i="84"/>
  <c r="J53" i="84"/>
  <c r="L56" i="84" s="1"/>
  <c r="F68" i="84"/>
  <c r="F64" i="84"/>
  <c r="F65" i="84"/>
  <c r="L59" i="84"/>
  <c r="L58" i="84"/>
  <c r="N59" i="84"/>
  <c r="M59" i="84"/>
  <c r="F66" i="84"/>
  <c r="Q16" i="1"/>
  <c r="F27" i="69" s="1"/>
  <c r="C47" i="69" s="1"/>
  <c r="D45" i="69" s="1"/>
  <c r="F71" i="84"/>
  <c r="M7" i="84"/>
  <c r="J6" i="84" s="1"/>
  <c r="F50" i="84"/>
  <c r="C6" i="84"/>
  <c r="M7" i="1"/>
  <c r="F11" i="84"/>
  <c r="M11" i="84"/>
  <c r="J10" i="84" s="1"/>
  <c r="L58" i="15"/>
  <c r="Q73" i="15" s="1"/>
  <c r="J57" i="15"/>
  <c r="J55" i="15" s="1"/>
  <c r="J58" i="15" s="1"/>
  <c r="Q50" i="15" s="1"/>
  <c r="I54" i="15"/>
  <c r="J53" i="15"/>
  <c r="L56" i="15" s="1"/>
  <c r="G9" i="1"/>
  <c r="M59" i="67"/>
  <c r="N59" i="67"/>
  <c r="L59" i="67"/>
  <c r="Q61" i="67" s="1"/>
  <c r="F64" i="67"/>
  <c r="F71" i="67"/>
  <c r="F68" i="67"/>
  <c r="C27" i="67"/>
  <c r="F51" i="67"/>
  <c r="F66" i="67"/>
  <c r="M7" i="67"/>
  <c r="J6" i="67" s="1"/>
  <c r="J18" i="67" s="1"/>
  <c r="F50" i="67"/>
  <c r="H16" i="1"/>
  <c r="N94" i="46"/>
  <c r="N370" i="46"/>
  <c r="J26" i="43"/>
  <c r="G26" i="43"/>
  <c r="F26" i="43"/>
  <c r="P6" i="1"/>
  <c r="C13" i="12" s="1"/>
  <c r="K16" i="1"/>
  <c r="E26" i="43"/>
  <c r="E59" i="40"/>
  <c r="F30" i="6"/>
  <c r="K46" i="36"/>
  <c r="L46" i="36" s="1"/>
  <c r="M46" i="36" s="1"/>
  <c r="N46" i="36" s="1"/>
  <c r="O46" i="36" s="1"/>
  <c r="J7" i="36"/>
  <c r="C65" i="40"/>
  <c r="G16" i="1"/>
  <c r="F10" i="39" s="1"/>
  <c r="S10" i="39" s="1"/>
  <c r="C36" i="68"/>
  <c r="C77" i="9"/>
  <c r="C74" i="9" s="1"/>
  <c r="C48" i="69"/>
  <c r="L56" i="67"/>
  <c r="L58" i="67"/>
  <c r="I54" i="67"/>
  <c r="J53" i="67"/>
  <c r="F1" i="67" s="1"/>
  <c r="J57" i="67"/>
  <c r="J55" i="67" s="1"/>
  <c r="J58" i="67" s="1"/>
  <c r="Q50" i="67" s="1"/>
  <c r="C6" i="67"/>
  <c r="C32" i="67" s="1"/>
  <c r="F31" i="67"/>
  <c r="Q71" i="67"/>
  <c r="F65" i="67"/>
  <c r="AZ71" i="3"/>
  <c r="C40" i="71"/>
  <c r="D39" i="71"/>
  <c r="C44" i="71"/>
  <c r="D43" i="71"/>
  <c r="AZ332" i="3"/>
  <c r="AZ427" i="3"/>
  <c r="AZ238" i="3"/>
  <c r="AZ432" i="3"/>
  <c r="AZ415" i="3"/>
  <c r="AC24" i="36"/>
  <c r="W24" i="36"/>
  <c r="S36" i="35"/>
  <c r="AA36" i="35"/>
  <c r="U34" i="36"/>
  <c r="AB34" i="36"/>
  <c r="AZ82" i="3"/>
  <c r="AZ66" i="3"/>
  <c r="C70" i="71"/>
  <c r="D70" i="71" s="1"/>
  <c r="D71" i="71"/>
  <c r="AZ51" i="3"/>
  <c r="C36" i="71"/>
  <c r="D35" i="71"/>
  <c r="D60" i="71"/>
  <c r="T60" i="71"/>
  <c r="T52" i="71"/>
  <c r="D52" i="71"/>
  <c r="AZ150" i="3"/>
  <c r="AZ294" i="3"/>
  <c r="AZ25" i="3"/>
  <c r="AZ242" i="3"/>
  <c r="AZ464" i="3"/>
  <c r="S26" i="33"/>
  <c r="AA26" i="33"/>
  <c r="W12" i="35"/>
  <c r="AC12" i="35"/>
  <c r="AB39" i="37"/>
  <c r="U39" i="37"/>
  <c r="AB12" i="36"/>
  <c r="U12" i="36"/>
  <c r="AZ111" i="3"/>
  <c r="AZ63" i="3"/>
  <c r="T28" i="71"/>
  <c r="D28" i="71"/>
  <c r="U28" i="71" s="1"/>
  <c r="C27" i="71"/>
  <c r="D79" i="71"/>
  <c r="C78" i="71"/>
  <c r="D78" i="71" s="1"/>
  <c r="AZ58" i="3"/>
  <c r="AZ49" i="3"/>
  <c r="N65" i="71"/>
  <c r="N66" i="71"/>
  <c r="T32" i="71"/>
  <c r="D32" i="71"/>
  <c r="AZ29" i="3"/>
  <c r="AZ208" i="3"/>
  <c r="AZ441" i="3"/>
  <c r="AC44" i="39"/>
  <c r="W44" i="39"/>
  <c r="S24" i="36"/>
  <c r="AA24" i="36"/>
  <c r="W26" i="33"/>
  <c r="AC26" i="33"/>
  <c r="AA45" i="39"/>
  <c r="S45" i="39"/>
  <c r="AC39" i="37"/>
  <c r="W39" i="37"/>
  <c r="AA12" i="36"/>
  <c r="S12" i="36"/>
  <c r="G5" i="3"/>
  <c r="B3" i="3" s="1"/>
  <c r="E389" i="3" s="1"/>
  <c r="D83" i="71"/>
  <c r="C82" i="71"/>
  <c r="D82" i="71" s="1"/>
  <c r="O65" i="71"/>
  <c r="D66" i="71"/>
  <c r="O66" i="71"/>
  <c r="C56" i="71"/>
  <c r="D55" i="71"/>
  <c r="AZ243" i="3"/>
  <c r="AB44" i="39"/>
  <c r="U44" i="39"/>
  <c r="AB24" i="36"/>
  <c r="U24" i="36"/>
  <c r="AB9" i="33"/>
  <c r="U9" i="33"/>
  <c r="AC25" i="36"/>
  <c r="W25" i="36"/>
  <c r="AB45" i="39"/>
  <c r="U45"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74" i="15"/>
  <c r="Q61" i="15"/>
  <c r="AE11" i="1"/>
  <c r="AE9" i="1"/>
  <c r="AE8" i="1"/>
  <c r="AE12" i="1"/>
  <c r="AE10" i="1"/>
  <c r="G1" i="73"/>
  <c r="C16" i="84"/>
  <c r="F41" i="67"/>
  <c r="C16" i="67"/>
  <c r="F26" i="81" l="1"/>
  <c r="G26" i="81"/>
  <c r="J26" i="81"/>
  <c r="Z7" i="81"/>
  <c r="E26" i="81"/>
  <c r="H26" i="81"/>
  <c r="B116" i="81"/>
  <c r="C49" i="84"/>
  <c r="C61" i="84" s="1"/>
  <c r="Q60" i="15"/>
  <c r="J5" i="84"/>
  <c r="J26" i="84" s="1"/>
  <c r="F45" i="69"/>
  <c r="Q73" i="84"/>
  <c r="Q60" i="84"/>
  <c r="F1" i="84"/>
  <c r="Q52" i="84"/>
  <c r="C29" i="69"/>
  <c r="D27" i="69" s="1"/>
  <c r="Q61" i="84"/>
  <c r="Q74" i="84"/>
  <c r="F28" i="12"/>
  <c r="C29" i="12" s="1"/>
  <c r="D28" i="12" s="1"/>
  <c r="F27" i="68"/>
  <c r="F45" i="68" s="1"/>
  <c r="F27" i="11"/>
  <c r="C29" i="11" s="1"/>
  <c r="D27" i="11" s="1"/>
  <c r="C32" i="84"/>
  <c r="C33" i="84"/>
  <c r="J19" i="84"/>
  <c r="J18" i="84"/>
  <c r="O7" i="1"/>
  <c r="P7" i="1" s="1"/>
  <c r="C53" i="84"/>
  <c r="C10" i="84"/>
  <c r="C5" i="84" s="1"/>
  <c r="F1" i="15"/>
  <c r="Q52" i="15"/>
  <c r="C49" i="67"/>
  <c r="Q74" i="67"/>
  <c r="J5" i="67"/>
  <c r="J24" i="67" s="1"/>
  <c r="E526" i="3"/>
  <c r="E262" i="3"/>
  <c r="X6" i="3"/>
  <c r="E577" i="3"/>
  <c r="E553" i="3"/>
  <c r="E224" i="3"/>
  <c r="E131" i="3"/>
  <c r="E172" i="3"/>
  <c r="E555" i="3"/>
  <c r="E252" i="3"/>
  <c r="E374" i="3"/>
  <c r="E478" i="3"/>
  <c r="E473" i="3"/>
  <c r="E485" i="3"/>
  <c r="E458" i="3"/>
  <c r="E403" i="3"/>
  <c r="E534" i="3"/>
  <c r="E378" i="3"/>
  <c r="E570" i="3"/>
  <c r="E301" i="3"/>
  <c r="E260" i="3"/>
  <c r="E298" i="3"/>
  <c r="E244" i="3"/>
  <c r="E132" i="3"/>
  <c r="E263" i="3"/>
  <c r="E215" i="3"/>
  <c r="E579" i="3"/>
  <c r="E182" i="3"/>
  <c r="E74" i="3"/>
  <c r="E545" i="3"/>
  <c r="E231" i="3"/>
  <c r="E331" i="3"/>
  <c r="E279" i="3"/>
  <c r="E583" i="3"/>
  <c r="E551" i="3"/>
  <c r="E404" i="3"/>
  <c r="E496" i="3"/>
  <c r="E303" i="3"/>
  <c r="E153" i="3"/>
  <c r="E257" i="3"/>
  <c r="E167" i="3"/>
  <c r="E284" i="3"/>
  <c r="E218" i="3"/>
  <c r="E223" i="3"/>
  <c r="E371" i="3"/>
  <c r="E94" i="3"/>
  <c r="E219" i="3"/>
  <c r="E275" i="3"/>
  <c r="E423" i="3"/>
  <c r="E189" i="3"/>
  <c r="E247" i="3"/>
  <c r="E377" i="3"/>
  <c r="E89" i="3"/>
  <c r="E133" i="3"/>
  <c r="E528" i="3"/>
  <c r="E175" i="3"/>
  <c r="E567" i="3"/>
  <c r="E314" i="3"/>
  <c r="E294" i="3"/>
  <c r="E295" i="3"/>
  <c r="E256" i="3"/>
  <c r="E280" i="3"/>
  <c r="E285" i="3"/>
  <c r="E207" i="3"/>
  <c r="E127" i="3"/>
  <c r="E582" i="3"/>
  <c r="E460" i="3"/>
  <c r="E490" i="3"/>
  <c r="E391" i="3"/>
  <c r="E248" i="3"/>
  <c r="E100" i="3"/>
  <c r="E535" i="3"/>
  <c r="M6" i="3"/>
  <c r="E268" i="3"/>
  <c r="E557" i="3"/>
  <c r="E146" i="3"/>
  <c r="E124" i="3"/>
  <c r="E270" i="3"/>
  <c r="AS6" i="3"/>
  <c r="E571" i="3"/>
  <c r="E61" i="3"/>
  <c r="E516" i="3"/>
  <c r="E448" i="3"/>
  <c r="Q6" i="3"/>
  <c r="E565" i="3"/>
  <c r="E272" i="3"/>
  <c r="E438" i="3"/>
  <c r="E66" i="3"/>
  <c r="E520" i="3"/>
  <c r="E339" i="3"/>
  <c r="E104" i="3"/>
  <c r="E139" i="3"/>
  <c r="E369" i="3"/>
  <c r="E240" i="3"/>
  <c r="E483" i="3"/>
  <c r="E119" i="3"/>
  <c r="E246" i="3"/>
  <c r="E135" i="3"/>
  <c r="E563" i="3"/>
  <c r="E335" i="3"/>
  <c r="E311" i="3"/>
  <c r="E509" i="3"/>
  <c r="E217" i="3"/>
  <c r="E70" i="3"/>
  <c r="AO6" i="3"/>
  <c r="E362" i="3"/>
  <c r="E587" i="3"/>
  <c r="E181" i="3"/>
  <c r="E91" i="3"/>
  <c r="E380" i="3"/>
  <c r="E388" i="3"/>
  <c r="E186" i="3"/>
  <c r="E515" i="3"/>
  <c r="E150" i="3"/>
  <c r="E519" i="3"/>
  <c r="E336" i="3"/>
  <c r="E395" i="3"/>
  <c r="E358" i="3"/>
  <c r="E366" i="3"/>
  <c r="E444" i="3"/>
  <c r="I6" i="3"/>
  <c r="E429" i="3"/>
  <c r="E128" i="3"/>
  <c r="E254" i="3"/>
  <c r="E321" i="3"/>
  <c r="E501" i="3"/>
  <c r="E432" i="3"/>
  <c r="E208" i="3"/>
  <c r="E306" i="3"/>
  <c r="E87" i="3"/>
  <c r="E373" i="3"/>
  <c r="E48" i="3"/>
  <c r="E250" i="3"/>
  <c r="E176" i="3"/>
  <c r="E43" i="3"/>
  <c r="E370" i="3"/>
  <c r="E140" i="3"/>
  <c r="E510" i="3"/>
  <c r="E442" i="3"/>
  <c r="E310" i="3"/>
  <c r="E482" i="3"/>
  <c r="E205" i="3"/>
  <c r="E360" i="3"/>
  <c r="E243" i="3"/>
  <c r="E83" i="3"/>
  <c r="E440" i="3"/>
  <c r="E202" i="3"/>
  <c r="E38" i="3"/>
  <c r="E392" i="3"/>
  <c r="E364" i="3"/>
  <c r="E141" i="3"/>
  <c r="E58" i="3"/>
  <c r="E51" i="3"/>
  <c r="E500" i="3"/>
  <c r="E138" i="3"/>
  <c r="E19" i="3"/>
  <c r="E297" i="3"/>
  <c r="E341" i="3"/>
  <c r="E259" i="3"/>
  <c r="AD6" i="3"/>
  <c r="E154" i="3"/>
  <c r="E98" i="3"/>
  <c r="E136" i="3"/>
  <c r="E313" i="3"/>
  <c r="E288" i="3"/>
  <c r="E168" i="3"/>
  <c r="E93" i="3"/>
  <c r="E379" i="3"/>
  <c r="E547" i="3"/>
  <c r="E126" i="3"/>
  <c r="E29" i="3"/>
  <c r="E328" i="3"/>
  <c r="E97" i="3"/>
  <c r="E41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33" i="3"/>
  <c r="E206" i="3"/>
  <c r="E469" i="3"/>
  <c r="E324" i="3"/>
  <c r="E393" i="3"/>
  <c r="E40" i="3"/>
  <c r="E170" i="3"/>
  <c r="E123" i="3"/>
  <c r="E365" i="3"/>
  <c r="E521" i="3"/>
  <c r="E312" i="3"/>
  <c r="E446" i="3"/>
  <c r="E149" i="3"/>
  <c r="E47" i="3"/>
  <c r="E39" i="3"/>
  <c r="E459" i="3"/>
  <c r="E187" i="3"/>
  <c r="E122" i="3"/>
  <c r="E532" i="3"/>
  <c r="E471" i="3"/>
  <c r="E14" i="3"/>
  <c r="E411" i="3"/>
  <c r="E546" i="3"/>
  <c r="AM6" i="3"/>
  <c r="O6" i="3"/>
  <c r="E523" i="3"/>
  <c r="E169" i="3"/>
  <c r="E302" i="3"/>
  <c r="E402" i="3"/>
  <c r="E156" i="3"/>
  <c r="E177" i="3"/>
  <c r="E424" i="3"/>
  <c r="E55" i="3"/>
  <c r="E580" i="3"/>
  <c r="E164" i="3"/>
  <c r="E443" i="3"/>
  <c r="E121" i="3"/>
  <c r="E30" i="3"/>
  <c r="E282" i="3"/>
  <c r="E229" i="3"/>
  <c r="V6" i="3"/>
  <c r="E130" i="3"/>
  <c r="E117" i="3"/>
  <c r="E578" i="3"/>
  <c r="E253" i="3"/>
  <c r="E45" i="3"/>
  <c r="E527" i="3"/>
  <c r="E433" i="3"/>
  <c r="E318" i="3"/>
  <c r="E271" i="3"/>
  <c r="E414" i="3"/>
  <c r="E27" i="3"/>
  <c r="E384" i="3"/>
  <c r="E343" i="3"/>
  <c r="E337" i="3"/>
  <c r="E561" i="3"/>
  <c r="E216" i="3"/>
  <c r="E503" i="3"/>
  <c r="E350" i="3"/>
  <c r="E347" i="3"/>
  <c r="E228" i="3"/>
  <c r="E472" i="3"/>
  <c r="E468" i="3"/>
  <c r="E214" i="3"/>
  <c r="E227" i="3"/>
  <c r="E327" i="3"/>
  <c r="E400" i="3"/>
  <c r="E489" i="3"/>
  <c r="E211" i="3"/>
  <c r="E109" i="3"/>
  <c r="E322" i="3"/>
  <c r="E431" i="3"/>
  <c r="E514" i="3"/>
  <c r="E387" i="3"/>
  <c r="E69" i="3"/>
  <c r="E445" i="3"/>
  <c r="E191" i="3"/>
  <c r="E385" i="3"/>
  <c r="E200" i="3"/>
  <c r="E296" i="3"/>
  <c r="E487" i="3"/>
  <c r="E118" i="3"/>
  <c r="E273" i="3"/>
  <c r="E95" i="3"/>
  <c r="E309" i="3"/>
  <c r="E251" i="3"/>
  <c r="E13" i="3"/>
  <c r="E342" i="3"/>
  <c r="E486" i="3"/>
  <c r="E333" i="3"/>
  <c r="E137" i="3"/>
  <c r="E340" i="3"/>
  <c r="E552" i="3"/>
  <c r="E24" i="3"/>
  <c r="E421" i="3"/>
  <c r="E209" i="3"/>
  <c r="E464" i="3"/>
  <c r="E584" i="3"/>
  <c r="E163" i="3"/>
  <c r="E488" i="3"/>
  <c r="E504" i="3"/>
  <c r="E352" i="3"/>
  <c r="E474" i="3"/>
  <c r="E475" i="3"/>
  <c r="E397" i="3"/>
  <c r="E548" i="3"/>
  <c r="E92" i="3"/>
  <c r="E319" i="3"/>
  <c r="E574" i="3"/>
  <c r="E506"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15" i="3"/>
  <c r="E368" i="3"/>
  <c r="Z6" i="3"/>
  <c r="E345" i="3"/>
  <c r="E28" i="3"/>
  <c r="Q60" i="67"/>
  <c r="Q73" i="67"/>
  <c r="E142" i="3"/>
  <c r="AY6" i="3"/>
  <c r="AY176" i="3" s="1"/>
  <c r="E242" i="3"/>
  <c r="E148" i="3"/>
  <c r="AI6" i="3"/>
  <c r="E161" i="3"/>
  <c r="E278" i="3"/>
  <c r="AB6" i="3"/>
  <c r="E201" i="3"/>
  <c r="AJ6" i="3"/>
  <c r="E572" i="3"/>
  <c r="E531" i="3"/>
  <c r="E204" i="3"/>
  <c r="E171" i="3"/>
  <c r="E560" i="3"/>
  <c r="E399" i="3"/>
  <c r="E183" i="3"/>
  <c r="AR6" i="3"/>
  <c r="E530" i="3"/>
  <c r="E476" i="3"/>
  <c r="E269" i="3"/>
  <c r="E450" i="3"/>
  <c r="E511" i="3"/>
  <c r="E382" i="3"/>
  <c r="E230" i="3"/>
  <c r="E569" i="3"/>
  <c r="E334" i="3"/>
  <c r="P6" i="3"/>
  <c r="E274" i="3"/>
  <c r="E481" i="3"/>
  <c r="AA6" i="3"/>
  <c r="E213" i="3"/>
  <c r="E390" i="3"/>
  <c r="E317" i="3"/>
  <c r="E145" i="3"/>
  <c r="E537" i="3"/>
  <c r="E82" i="3"/>
  <c r="Y6" i="3"/>
  <c r="E375" i="3"/>
  <c r="E57" i="3"/>
  <c r="E155" i="3"/>
  <c r="E52" i="3"/>
  <c r="E463" i="3"/>
  <c r="E225" i="3"/>
  <c r="E383" i="3"/>
  <c r="Q52" i="67"/>
  <c r="J10" i="39"/>
  <c r="W10" i="39" s="1"/>
  <c r="D26" i="43"/>
  <c r="C25" i="43" s="1"/>
  <c r="C33" i="43" s="1"/>
  <c r="E349" i="3"/>
  <c r="E536"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65" i="3"/>
  <c r="E90" i="3"/>
  <c r="E101" i="3"/>
  <c r="E50" i="3"/>
  <c r="E112" i="3"/>
  <c r="E299" i="3"/>
  <c r="E15" i="3"/>
  <c r="E346" i="3"/>
  <c r="E498" i="3"/>
  <c r="E493" i="3"/>
  <c r="E326" i="3"/>
  <c r="E78" i="3"/>
  <c r="E452" i="3"/>
  <c r="E456" i="3"/>
  <c r="E287" i="3"/>
  <c r="E18" i="3"/>
  <c r="E283" i="3"/>
  <c r="E64" i="3"/>
  <c r="E554" i="3"/>
  <c r="E398" i="3"/>
  <c r="E524" i="3"/>
  <c r="E62" i="3"/>
  <c r="E147" i="3"/>
  <c r="AQ6" i="3"/>
  <c r="E234" i="3"/>
  <c r="E455" i="3"/>
  <c r="E60" i="3"/>
  <c r="E178" i="3"/>
  <c r="J6" i="3"/>
  <c r="E427" i="3"/>
  <c r="E188" i="3"/>
  <c r="E232" i="3"/>
  <c r="E412" i="3"/>
  <c r="E26" i="3"/>
  <c r="E451" i="3"/>
  <c r="E525" i="3"/>
  <c r="E113" i="3"/>
  <c r="E235" i="3"/>
  <c r="E281" i="3"/>
  <c r="E184" i="3"/>
  <c r="E467" i="3"/>
  <c r="E37" i="3"/>
  <c r="E502" i="3"/>
  <c r="AP6" i="3"/>
  <c r="E539" i="3"/>
  <c r="L6" i="3"/>
  <c r="E276" i="3"/>
  <c r="E108" i="3"/>
  <c r="E401" i="3"/>
  <c r="AH6" i="3"/>
  <c r="E422" i="3"/>
  <c r="E543" i="3"/>
  <c r="E105" i="3"/>
  <c r="E16" i="3"/>
  <c r="E158" i="3"/>
  <c r="E49" i="3"/>
  <c r="E220" i="3"/>
  <c r="E428" i="3"/>
  <c r="E115" i="3"/>
  <c r="E420" i="3"/>
  <c r="E497" i="3"/>
  <c r="E408" i="3"/>
  <c r="E405" i="3"/>
  <c r="E173" i="3"/>
  <c r="E22" i="3"/>
  <c r="E102" i="3"/>
  <c r="E34" i="3"/>
  <c r="E174" i="3"/>
  <c r="E42" i="3"/>
  <c r="E198" i="3"/>
  <c r="E63" i="3"/>
  <c r="E67" i="3"/>
  <c r="E267" i="3"/>
  <c r="E409" i="3"/>
  <c r="E241" i="3"/>
  <c r="E417" i="3"/>
  <c r="E449" i="3"/>
  <c r="E575" i="3"/>
  <c r="E3" i="6"/>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96" i="3"/>
  <c r="AL6" i="3"/>
  <c r="E494" i="3"/>
  <c r="E68" i="3"/>
  <c r="E84" i="3"/>
  <c r="E160" i="3"/>
  <c r="E59" i="3"/>
  <c r="E258" i="3"/>
  <c r="E491" i="3"/>
  <c r="E430" i="3"/>
  <c r="E286" i="3"/>
  <c r="AA10" i="39"/>
  <c r="F10" i="40"/>
  <c r="S10" i="40" s="1"/>
  <c r="H10" i="39"/>
  <c r="U10" i="39" s="1"/>
  <c r="H10" i="40"/>
  <c r="AB10" i="40" s="1"/>
  <c r="J10" i="40"/>
  <c r="AC10" i="40" s="1"/>
  <c r="E513" i="3"/>
  <c r="E81" i="3"/>
  <c r="E355" i="3"/>
  <c r="E33" i="3"/>
  <c r="E492" i="3"/>
  <c r="E249" i="3"/>
  <c r="E46" i="3"/>
  <c r="E484" i="3"/>
  <c r="E544" i="3"/>
  <c r="E292" i="3"/>
  <c r="E152" i="3"/>
  <c r="E479" i="3"/>
  <c r="E517" i="3"/>
  <c r="E255" i="3"/>
  <c r="E466" i="3"/>
  <c r="E499" i="3"/>
  <c r="E212" i="3"/>
  <c r="D56" i="71"/>
  <c r="T56" i="71"/>
  <c r="D36" i="71"/>
  <c r="T36" i="71"/>
  <c r="T40" i="71"/>
  <c r="D40" i="71"/>
  <c r="C26" i="71"/>
  <c r="D26" i="71" s="1"/>
  <c r="D27" i="71"/>
  <c r="E522" i="3"/>
  <c r="E129" i="3"/>
  <c r="E75" i="3"/>
  <c r="E332" i="3"/>
  <c r="E21" i="3"/>
  <c r="E264" i="3"/>
  <c r="E381" i="3"/>
  <c r="E144" i="3"/>
  <c r="E23" i="3"/>
  <c r="E300" i="3"/>
  <c r="E103" i="3"/>
  <c r="E425" i="3"/>
  <c r="E76" i="3"/>
  <c r="E363" i="3"/>
  <c r="E192" i="3"/>
  <c r="E56" i="3"/>
  <c r="E435" i="3"/>
  <c r="I3" i="6"/>
  <c r="E541" i="3"/>
  <c r="R6" i="3"/>
  <c r="E199" i="3"/>
  <c r="D44" i="71"/>
  <c r="T44" i="71"/>
  <c r="B40" i="1"/>
  <c r="F24" i="84"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188"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AE7" i="1"/>
  <c r="M27" i="67"/>
  <c r="M27" i="15"/>
  <c r="AY418" i="3" l="1"/>
  <c r="AY419" i="3"/>
  <c r="D3" i="33"/>
  <c r="B14" i="74"/>
  <c r="G35" i="82"/>
  <c r="H35" i="82" s="1"/>
  <c r="AY408" i="3"/>
  <c r="AY459" i="3"/>
  <c r="AY31" i="3"/>
  <c r="D119" i="81"/>
  <c r="E119" i="81" s="1"/>
  <c r="F119" i="81" s="1"/>
  <c r="G119" i="81" s="1"/>
  <c r="H119" i="81" s="1"/>
  <c r="I119" i="81"/>
  <c r="J119" i="81" s="1"/>
  <c r="K119" i="81" s="1"/>
  <c r="L119" i="81" s="1"/>
  <c r="M119" i="81" s="1"/>
  <c r="I122" i="81"/>
  <c r="J122" i="81" s="1"/>
  <c r="K122" i="81" s="1"/>
  <c r="L122" i="81" s="1"/>
  <c r="M122" i="81" s="1"/>
  <c r="B119" i="81"/>
  <c r="C119" i="81" s="1"/>
  <c r="D122" i="81"/>
  <c r="E122" i="81" s="1"/>
  <c r="F122" i="81" s="1"/>
  <c r="G122" i="81" s="1"/>
  <c r="H122" i="81" s="1"/>
  <c r="D118" i="81"/>
  <c r="E118" i="81" s="1"/>
  <c r="F118" i="81" s="1"/>
  <c r="G118" i="81" s="1"/>
  <c r="H118" i="81" s="1"/>
  <c r="B122" i="81"/>
  <c r="C122" i="81" s="1"/>
  <c r="I120" i="81"/>
  <c r="J120" i="81" s="1"/>
  <c r="K120" i="81" s="1"/>
  <c r="L120" i="81" s="1"/>
  <c r="M120" i="81" s="1"/>
  <c r="D121" i="81"/>
  <c r="E121" i="81" s="1"/>
  <c r="F121" i="81" s="1"/>
  <c r="G121" i="81"/>
  <c r="H121" i="81" s="1"/>
  <c r="B120" i="81"/>
  <c r="C120" i="81" s="1"/>
  <c r="I118" i="81"/>
  <c r="J118" i="81" s="1"/>
  <c r="K118" i="81" s="1"/>
  <c r="L118" i="81" s="1"/>
  <c r="M118" i="81" s="1"/>
  <c r="D120" i="81"/>
  <c r="E120" i="81" s="1"/>
  <c r="F120" i="81" s="1"/>
  <c r="G120" i="81" s="1"/>
  <c r="H120" i="81" s="1"/>
  <c r="I121" i="81"/>
  <c r="J121" i="81" s="1"/>
  <c r="K121" i="81" s="1"/>
  <c r="L121" i="81" s="1"/>
  <c r="M121" i="81" s="1"/>
  <c r="B118" i="81"/>
  <c r="B121" i="81"/>
  <c r="C121" i="81" s="1"/>
  <c r="AY505" i="3"/>
  <c r="AY405" i="3"/>
  <c r="AY295" i="3"/>
  <c r="AY413" i="3"/>
  <c r="AY369" i="3"/>
  <c r="AY549" i="3"/>
  <c r="D26" i="81"/>
  <c r="C25" i="81" s="1"/>
  <c r="C33" i="81" s="1"/>
  <c r="C48" i="84"/>
  <c r="C60" i="84" s="1"/>
  <c r="J24" i="84"/>
  <c r="C29" i="68"/>
  <c r="D27" i="68" s="1"/>
  <c r="C47" i="68"/>
  <c r="D45" i="68" s="1"/>
  <c r="O16" i="1"/>
  <c r="C38" i="84"/>
  <c r="C24" i="84"/>
  <c r="L36" i="43"/>
  <c r="L37" i="43" s="1"/>
  <c r="P37" i="43" s="1"/>
  <c r="L36" i="81"/>
  <c r="C48" i="67"/>
  <c r="C66" i="67" s="1"/>
  <c r="AA10" i="40"/>
  <c r="BT6" i="3"/>
  <c r="AY330" i="3"/>
  <c r="AY531" i="3"/>
  <c r="AY562" i="3"/>
  <c r="AC10" i="39"/>
  <c r="U10" i="40"/>
  <c r="W10" i="40"/>
  <c r="AY394" i="3"/>
  <c r="AY321" i="3"/>
  <c r="AY29" i="3"/>
  <c r="AY477" i="3"/>
  <c r="AY479" i="3"/>
  <c r="AY375" i="3"/>
  <c r="AY296" i="3"/>
  <c r="AY213" i="3"/>
  <c r="AY331" i="3"/>
  <c r="D3" i="6"/>
  <c r="C14" i="74" s="1"/>
  <c r="AY129" i="3"/>
  <c r="BN6" i="3"/>
  <c r="AY387" i="3"/>
  <c r="AY360" i="3"/>
  <c r="AY260" i="3"/>
  <c r="F25" i="12"/>
  <c r="C26" i="12" s="1"/>
  <c r="D25" i="12" s="1"/>
  <c r="AB10" i="39"/>
  <c r="D3" i="37"/>
  <c r="AY257" i="3"/>
  <c r="AY19" i="3"/>
  <c r="AY396" i="3"/>
  <c r="AY175" i="3"/>
  <c r="AY110" i="3"/>
  <c r="AY298" i="3"/>
  <c r="AY159" i="3"/>
  <c r="AY280" i="3"/>
  <c r="AY410" i="3"/>
  <c r="AY80" i="3"/>
  <c r="AY173" i="3"/>
  <c r="AY279" i="3"/>
  <c r="AY534" i="3"/>
  <c r="AY283" i="3"/>
  <c r="AY209" i="3"/>
  <c r="D3" i="34"/>
  <c r="AY71" i="3"/>
  <c r="AY545" i="3"/>
  <c r="AY174" i="3"/>
  <c r="AY528" i="3"/>
  <c r="AY575" i="3"/>
  <c r="AY504" i="3"/>
  <c r="AY86" i="3"/>
  <c r="AY35" i="3"/>
  <c r="AY487" i="3"/>
  <c r="AY584" i="3"/>
  <c r="AY478" i="3"/>
  <c r="AY302" i="3"/>
  <c r="AY475" i="3"/>
  <c r="AY44" i="3"/>
  <c r="AY335" i="3"/>
  <c r="AY566" i="3"/>
  <c r="AY62" i="3"/>
  <c r="AY64" i="3"/>
  <c r="AY347" i="3"/>
  <c r="AY122" i="3"/>
  <c r="AY91" i="3"/>
  <c r="AY570" i="3"/>
  <c r="AY380" i="3"/>
  <c r="AY480" i="3"/>
  <c r="AY49" i="3"/>
  <c r="AY481" i="3"/>
  <c r="AY348" i="3"/>
  <c r="AY133" i="3"/>
  <c r="AY26" i="3"/>
  <c r="AY115" i="3"/>
  <c r="AY307" i="3"/>
  <c r="AY107" i="3"/>
  <c r="AY265" i="3"/>
  <c r="AY402" i="3"/>
  <c r="AY320" i="3"/>
  <c r="AY432" i="3"/>
  <c r="AY22" i="3"/>
  <c r="AY140" i="3"/>
  <c r="AY564" i="3"/>
  <c r="AY352" i="3"/>
  <c r="AY490" i="3"/>
  <c r="AY148" i="3"/>
  <c r="AY362" i="3"/>
  <c r="AY46" i="3"/>
  <c r="AY426" i="3"/>
  <c r="AY137" i="3"/>
  <c r="AY507" i="3"/>
  <c r="AY40" i="3"/>
  <c r="AY261" i="3"/>
  <c r="AY315" i="3"/>
  <c r="AY421" i="3"/>
  <c r="AY323" i="3"/>
  <c r="AY94" i="3"/>
  <c r="AY266" i="3"/>
  <c r="AY536" i="3"/>
  <c r="AY227" i="3"/>
  <c r="AY100" i="3"/>
  <c r="AY497" i="3"/>
  <c r="AY577" i="3"/>
  <c r="AY467" i="3"/>
  <c r="AY36" i="3"/>
  <c r="AY244" i="3"/>
  <c r="AY501" i="3"/>
  <c r="AY398" i="3"/>
  <c r="AY353" i="3"/>
  <c r="AY56" i="3"/>
  <c r="AY230" i="3"/>
  <c r="AY154" i="3"/>
  <c r="AY97" i="3"/>
  <c r="AY310" i="3"/>
  <c r="AY441" i="3"/>
  <c r="AY289" i="3"/>
  <c r="AY297" i="3"/>
  <c r="D3" i="21"/>
  <c r="M18" i="9"/>
  <c r="B118" i="9" s="1"/>
  <c r="C17" i="4"/>
  <c r="B4" i="52" s="1"/>
  <c r="B43" i="7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96" i="3"/>
  <c r="AY499" i="3"/>
  <c r="BA6" i="3"/>
  <c r="AY187" i="3"/>
  <c r="AY127" i="3"/>
  <c r="AY376" i="3"/>
  <c r="AY314" i="3"/>
  <c r="AY424" i="3"/>
  <c r="AY517" i="3"/>
  <c r="AY70" i="3"/>
  <c r="AY179" i="3"/>
  <c r="AY119" i="3"/>
  <c r="AY256" i="3"/>
  <c r="AY306" i="3"/>
  <c r="AY416" i="3"/>
  <c r="BC6" i="3"/>
  <c r="AY49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37" i="3"/>
  <c r="AY169" i="3"/>
  <c r="AY282" i="3"/>
  <c r="AY223" i="3"/>
  <c r="AY345" i="3"/>
  <c r="AY328" i="3"/>
  <c r="AY484" i="3"/>
  <c r="AY442" i="3"/>
  <c r="AY423" i="3"/>
  <c r="AY502" i="3"/>
  <c r="BR6" i="3"/>
  <c r="AY78" i="3"/>
  <c r="AY264" i="3"/>
  <c r="AY587" i="3"/>
  <c r="AY36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D14" i="12"/>
  <c r="D17" i="12" s="1"/>
  <c r="C17" i="12" s="1"/>
  <c r="AY143" i="3"/>
  <c r="AY451" i="3"/>
  <c r="AY551" i="3"/>
  <c r="AY250" i="3"/>
  <c r="AY208" i="3"/>
  <c r="AY13" i="3"/>
  <c r="AY563" i="3"/>
  <c r="AY461" i="3"/>
  <c r="AY511" i="3"/>
  <c r="AY224" i="3"/>
  <c r="AY437" i="3"/>
  <c r="AY285" i="3"/>
  <c r="AY14" i="3"/>
  <c r="AY312" i="3"/>
  <c r="AY65" i="3"/>
  <c r="AY543" i="3"/>
  <c r="AY20" i="3"/>
  <c r="AY212" i="3"/>
  <c r="AY435" i="3"/>
  <c r="AY146" i="3"/>
  <c r="AY90" i="3"/>
  <c r="BQ6" i="3"/>
  <c r="AY166" i="3"/>
  <c r="AY397" i="3"/>
  <c r="AY61" i="3"/>
  <c r="AY420" i="3"/>
  <c r="AY225" i="3"/>
  <c r="L18" i="9"/>
  <c r="D37" i="11"/>
  <c r="AY521" i="3"/>
  <c r="AY386" i="3"/>
  <c r="AY164" i="3"/>
  <c r="AY568" i="3"/>
  <c r="AY301" i="3"/>
  <c r="AY79" i="3"/>
  <c r="AY522" i="3"/>
  <c r="AY434" i="3"/>
  <c r="AY305" i="3"/>
  <c r="AY113" i="3"/>
  <c r="AY567" i="3"/>
  <c r="AY474" i="3"/>
  <c r="AY288" i="3"/>
  <c r="AY39" i="3"/>
  <c r="AY216" i="3"/>
  <c r="AY203" i="3"/>
  <c r="AY548" i="3"/>
  <c r="AY399" i="3"/>
  <c r="AY492" i="3"/>
  <c r="AY385" i="3"/>
  <c r="AY205" i="3"/>
  <c r="AY550" i="3"/>
  <c r="AY273" i="3"/>
  <c r="AY27" i="3"/>
  <c r="AY512" i="3"/>
  <c r="AY466" i="3"/>
  <c r="AY221" i="3"/>
  <c r="AY167" i="3"/>
  <c r="AY509" i="3"/>
  <c r="AY579" i="3"/>
  <c r="AY453" i="3"/>
  <c r="AY313" i="3"/>
  <c r="AY189" i="3"/>
  <c r="AY519" i="3"/>
  <c r="AY341" i="3"/>
  <c r="BS6" i="3"/>
  <c r="D19" i="11"/>
  <c r="C19" i="11" s="1"/>
  <c r="E6" i="6"/>
  <c r="D10" i="11" s="1"/>
  <c r="C10" i="11" s="1"/>
  <c r="AY443" i="3"/>
  <c r="AY240" i="3"/>
  <c r="AY200" i="3"/>
  <c r="AY500" i="3"/>
  <c r="AY359" i="3"/>
  <c r="AY151" i="3"/>
  <c r="BP6" i="3"/>
  <c r="AY538" i="3"/>
  <c r="AY445" i="3"/>
  <c r="AY361" i="3"/>
  <c r="AY153" i="3"/>
  <c r="AY583" i="3"/>
  <c r="AY339" i="3"/>
  <c r="AY136" i="3"/>
  <c r="AY102" i="3"/>
  <c r="AY482" i="3"/>
  <c r="AY233" i="3"/>
  <c r="AY30" i="3"/>
  <c r="AY537" i="3"/>
  <c r="AY431" i="3"/>
  <c r="AY304" i="3"/>
  <c r="AY235" i="3"/>
  <c r="AY32" i="3"/>
  <c r="AY429" i="3"/>
  <c r="AY354" i="3"/>
  <c r="AY277" i="3"/>
  <c r="AY38" i="3"/>
  <c r="AY560" i="3"/>
  <c r="AY469" i="3"/>
  <c r="AY232" i="3"/>
  <c r="AY156" i="3"/>
  <c r="AY99" i="3"/>
  <c r="AY565" i="3"/>
  <c r="AY407" i="3"/>
  <c r="AY468" i="3"/>
  <c r="AY329" i="3"/>
  <c r="AY251" i="3"/>
  <c r="AY194" i="3"/>
  <c r="AY582" i="3"/>
  <c r="AY572" i="3"/>
  <c r="AY275" i="3"/>
  <c r="AY286" i="3"/>
  <c r="AY573" i="3"/>
  <c r="AY350" i="3"/>
  <c r="AY508" i="3"/>
  <c r="AY356" i="3"/>
  <c r="AY222" i="3"/>
  <c r="AY89" i="3"/>
  <c r="AY425" i="3"/>
  <c r="AY495" i="3"/>
  <c r="AY462" i="3"/>
  <c r="AY242" i="3"/>
  <c r="AY109" i="3"/>
  <c r="AY247" i="3"/>
  <c r="AY190" i="3"/>
  <c r="AY533" i="3"/>
  <c r="AY372" i="3"/>
  <c r="AY473" i="3"/>
  <c r="AY50" i="3"/>
  <c r="AY276" i="3"/>
  <c r="AY66" i="3"/>
  <c r="H6" i="3"/>
  <c r="AC6" i="3"/>
  <c r="F22" i="68"/>
  <c r="F41" i="68" s="1"/>
  <c r="F22" i="11"/>
  <c r="C44" i="11" s="1"/>
  <c r="D41" i="11" s="1"/>
  <c r="F24" i="67"/>
  <c r="C24" i="67" s="1"/>
  <c r="F24" i="15"/>
  <c r="C24" i="15" s="1"/>
  <c r="F22" i="69"/>
  <c r="F41" i="69" s="1"/>
  <c r="D116" i="43"/>
  <c r="E49" i="34"/>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1" i="6"/>
  <c r="D20" i="6"/>
  <c r="D26" i="6"/>
  <c r="D8" i="6"/>
  <c r="D9" i="6"/>
  <c r="D10" i="6"/>
  <c r="L19" i="9"/>
  <c r="C18" i="4"/>
  <c r="D5" i="6"/>
  <c r="D12"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F41" i="15"/>
  <c r="C17" i="84"/>
  <c r="C17" i="15"/>
  <c r="C17" i="67"/>
  <c r="F41" i="84"/>
  <c r="C14" i="67"/>
  <c r="D11" i="6" l="1"/>
  <c r="D19" i="6"/>
  <c r="D14" i="6"/>
  <c r="D24" i="6"/>
  <c r="D27" i="6" s="1"/>
  <c r="D20" i="12"/>
  <c r="C20" i="12" s="1"/>
  <c r="H24" i="6"/>
  <c r="D10" i="68"/>
  <c r="D19" i="68" s="1"/>
  <c r="D13" i="6"/>
  <c r="D23" i="6"/>
  <c r="D29" i="6"/>
  <c r="D6" i="6"/>
  <c r="M19" i="9"/>
  <c r="C118" i="9" s="1"/>
  <c r="B2" i="74" s="1"/>
  <c r="D7" i="74" s="1"/>
  <c r="D22" i="6"/>
  <c r="B1" i="74"/>
  <c r="C66" i="84"/>
  <c r="H21" i="6"/>
  <c r="R21" i="6" s="1"/>
  <c r="R8" i="1" s="1"/>
  <c r="E33" i="81"/>
  <c r="C30" i="81" s="1"/>
  <c r="B2" i="81" s="1"/>
  <c r="B3" i="81" s="1"/>
  <c r="C34" i="81"/>
  <c r="E34" i="81" s="1"/>
  <c r="C31" i="81" s="1"/>
  <c r="C118" i="81"/>
  <c r="D116" i="81" s="1"/>
  <c r="F69" i="15"/>
  <c r="J29" i="84"/>
  <c r="F69" i="84"/>
  <c r="E7" i="70"/>
  <c r="N36" i="43"/>
  <c r="O37" i="43"/>
  <c r="Q37" i="43"/>
  <c r="Q36" i="43"/>
  <c r="C60" i="67"/>
  <c r="M37" i="43"/>
  <c r="P36" i="43"/>
  <c r="O36" i="43"/>
  <c r="N37" i="43"/>
  <c r="M36" i="43"/>
  <c r="N36" i="81"/>
  <c r="L37" i="81"/>
  <c r="Q36" i="81"/>
  <c r="M36" i="81"/>
  <c r="P36" i="81"/>
  <c r="O36" i="81"/>
  <c r="C26" i="68"/>
  <c r="D22" i="68" s="1"/>
  <c r="C44" i="68"/>
  <c r="D41" i="68" s="1"/>
  <c r="D30" i="6"/>
  <c r="C26" i="11"/>
  <c r="D22" i="11" s="1"/>
  <c r="C23" i="11"/>
  <c r="H22" i="6"/>
  <c r="R22" i="6" s="1"/>
  <c r="R9" i="1" s="1"/>
  <c r="H25" i="6"/>
  <c r="R25" i="6" s="1"/>
  <c r="R12" i="1" s="1"/>
  <c r="C24" i="11"/>
  <c r="C20" i="11"/>
  <c r="E6" i="3"/>
  <c r="C44" i="69"/>
  <c r="D41" i="69" s="1"/>
  <c r="C26" i="69"/>
  <c r="D22" i="69" s="1"/>
  <c r="C16" i="71"/>
  <c r="D17" i="71"/>
  <c r="C18" i="67"/>
  <c r="C15" i="67"/>
  <c r="H23" i="6"/>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C10" i="69"/>
  <c r="C8" i="69" s="1"/>
  <c r="C5" i="69" s="1"/>
  <c r="D19" i="69"/>
  <c r="F50" i="69"/>
  <c r="F50" i="11"/>
  <c r="F50" i="68"/>
  <c r="C4" i="52"/>
  <c r="B45" i="72" s="1"/>
  <c r="A10" i="51"/>
  <c r="B9" i="72" s="1"/>
  <c r="A7" i="51"/>
  <c r="B7" i="72" s="1"/>
  <c r="C10" i="68"/>
  <c r="B29" i="1" s="1"/>
  <c r="C8"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C14" i="84"/>
  <c r="E6" i="76"/>
  <c r="B6" i="76"/>
  <c r="M21" i="84"/>
  <c r="C14" i="15"/>
  <c r="R24" i="6" l="1"/>
  <c r="R11" i="1" s="1"/>
  <c r="R23" i="6"/>
  <c r="R10" i="1" s="1"/>
  <c r="E2" i="70"/>
  <c r="D31" i="6"/>
  <c r="I5" i="6" s="1"/>
  <c r="C15" i="84"/>
  <c r="C18" i="84"/>
  <c r="J20" i="84"/>
  <c r="J17" i="84" s="1"/>
  <c r="C34" i="84"/>
  <c r="C31" i="84" s="1"/>
  <c r="F63" i="84"/>
  <c r="C62" i="84" s="1"/>
  <c r="C59" i="84" s="1"/>
  <c r="B3" i="43"/>
  <c r="C6" i="68"/>
  <c r="C7" i="68" s="1"/>
  <c r="Q37" i="81"/>
  <c r="M37" i="81"/>
  <c r="P37" i="81"/>
  <c r="N37" i="81"/>
  <c r="O37" i="81"/>
  <c r="C18" i="12"/>
  <c r="C28" i="11"/>
  <c r="C27" i="11" s="1"/>
  <c r="C25" i="11"/>
  <c r="C22"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C19" i="84"/>
  <c r="C20" i="84" s="1"/>
  <c r="C5" i="68"/>
  <c r="C23" i="68" s="1"/>
  <c r="C31" i="11"/>
  <c r="C14" i="71"/>
  <c r="D15"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91" i="9"/>
  <c r="C88" i="9" s="1"/>
  <c r="C20" i="68"/>
  <c r="C28" i="68" s="1"/>
  <c r="C27" i="68" s="1"/>
  <c r="C26" i="84"/>
  <c r="C23" i="84"/>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F35" i="15"/>
  <c r="M21" i="15"/>
  <c r="C89" i="9" l="1"/>
  <c r="C87" i="9" s="1"/>
  <c r="C29" i="84"/>
  <c r="C13" i="84" s="1"/>
  <c r="C56" i="84" s="1"/>
  <c r="C65" i="84"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2" i="9" l="1"/>
  <c r="C94" i="9"/>
  <c r="C57" i="84"/>
  <c r="C64" i="84" s="1"/>
  <c r="J14" i="84"/>
  <c r="J22" i="84" s="1"/>
  <c r="J59" i="84"/>
  <c r="J60" i="84" s="1"/>
  <c r="Q48" i="84" s="1"/>
  <c r="Q49" i="84"/>
  <c r="C36" i="84"/>
  <c r="C75" i="84"/>
  <c r="C37" i="84"/>
  <c r="Q70" i="84"/>
  <c r="C52" i="68"/>
  <c r="B2" i="68" s="1"/>
  <c r="B3" i="68" s="1"/>
  <c r="C58" i="84"/>
  <c r="C67" i="84" s="1"/>
  <c r="C68" i="84" s="1"/>
  <c r="C71" i="84"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20" i="9"/>
  <c r="J13" i="84" l="1"/>
  <c r="J23" i="84" s="1"/>
  <c r="J16" i="84" s="1"/>
  <c r="J25" i="84" s="1"/>
  <c r="C57" i="68"/>
  <c r="C30" i="84"/>
  <c r="C39" i="84" s="1"/>
  <c r="C40" i="84" s="1"/>
  <c r="C43" i="84" s="1"/>
  <c r="C102" i="9"/>
  <c r="C21" i="9"/>
  <c r="L57" i="84"/>
  <c r="L60" i="84" s="1"/>
  <c r="Q57" i="84"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1" i="84"/>
  <c r="D35" i="9"/>
  <c r="C56" i="68" l="1"/>
  <c r="C80" i="84"/>
  <c r="C79" i="84" s="1"/>
  <c r="Q67" i="84"/>
  <c r="Q69" i="84"/>
  <c r="Q68" i="84" s="1"/>
  <c r="Q56" i="84"/>
  <c r="Q62" i="84" s="1"/>
  <c r="Q47" i="84"/>
  <c r="Q53" i="84" s="1"/>
  <c r="C83" i="84"/>
  <c r="C82" i="84" s="1"/>
  <c r="C46" i="84"/>
  <c r="Q65" i="84"/>
  <c r="L46" i="84"/>
  <c r="B2" i="84" s="1"/>
  <c r="B3" i="84" s="1"/>
  <c r="Q66" i="84"/>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34" i="9"/>
  <c r="D2" i="35"/>
  <c r="Q75" i="84"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8" i="1"/>
  <c r="AO11"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D14" i="74" l="1"/>
  <c r="G14" i="74" s="1"/>
  <c r="I20" i="9"/>
  <c r="G21"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l="1"/>
  <c r="D4" i="52" s="1"/>
  <c r="B47" i="72" s="1"/>
  <c r="F118" i="9"/>
  <c r="G118" i="9" s="1"/>
  <c r="G4" i="52" s="1"/>
  <c r="B52" i="72" s="1"/>
  <c r="H118" i="9"/>
  <c r="H4" i="52" s="1"/>
  <c r="H119" i="9" l="1"/>
  <c r="H5" i="52" s="1"/>
  <c r="D119" i="9"/>
  <c r="D5" i="52" s="1"/>
  <c r="B49" i="72" s="1"/>
  <c r="H101" i="9"/>
  <c r="D5" i="53" s="1"/>
  <c r="F4" i="52"/>
  <c r="B51" i="72" s="1"/>
  <c r="I118" i="9"/>
  <c r="C104" i="9"/>
  <c r="F119" i="9"/>
  <c r="F5" i="52" s="1"/>
  <c r="B53" i="72" s="1"/>
  <c r="M48" i="9" l="1"/>
  <c r="D45" i="9"/>
  <c r="H107" i="9"/>
  <c r="H102" i="9"/>
  <c r="I4" i="52"/>
  <c r="C105" i="9"/>
  <c r="E118" i="9"/>
  <c r="E4" i="52" s="1"/>
  <c r="B48" i="72" s="1"/>
  <c r="B20" i="72"/>
  <c r="D6" i="53"/>
  <c r="B22" i="72" s="1"/>
  <c r="M49" i="9" l="1"/>
  <c r="D13" i="53"/>
  <c r="D122" i="9"/>
  <c r="H108" i="9"/>
  <c r="D52" i="9"/>
  <c r="D55" i="9"/>
  <c r="M53" i="9" s="1"/>
  <c r="C78" i="9"/>
  <c r="C73" i="9" s="1"/>
  <c r="C72" i="9"/>
  <c r="C93" i="9"/>
  <c r="C86" i="9" s="1"/>
  <c r="C85" i="9"/>
  <c r="C64" i="9"/>
  <c r="C63" i="9" s="1"/>
  <c r="C67" i="9" s="1"/>
  <c r="D53" i="9"/>
  <c r="C5" i="74"/>
  <c r="D7" i="53"/>
  <c r="B21" i="72" s="1"/>
  <c r="C79" i="9" l="1"/>
  <c r="C95" i="9"/>
  <c r="C6" i="74"/>
  <c r="D15" i="53"/>
  <c r="B31" i="72" s="1"/>
  <c r="D59" i="9"/>
  <c r="M55" i="9" s="1"/>
  <c r="C68" i="9"/>
  <c r="D54" i="9" s="1"/>
  <c r="D48" i="9" s="1"/>
  <c r="M52" i="9" s="1"/>
  <c r="D8" i="52"/>
  <c r="D123" i="9"/>
  <c r="D9" i="52" s="1"/>
  <c r="D14" i="53"/>
  <c r="B32" i="72" s="1"/>
  <c r="B30" i="72"/>
  <c r="L63" i="9"/>
  <c r="M63" i="9" s="1"/>
  <c r="L67" i="9"/>
  <c r="M67" i="9" s="1"/>
  <c r="L65" i="9"/>
  <c r="M65" i="9" s="1"/>
  <c r="L64" i="9"/>
  <c r="M64" i="9" s="1"/>
  <c r="L68" i="9"/>
  <c r="M68" i="9" s="1"/>
  <c r="L66" i="9"/>
  <c r="M66" i="9" s="1"/>
  <c r="M69" i="9" l="1"/>
  <c r="N69" i="9" s="1"/>
  <c r="C96" i="9"/>
  <c r="E96" i="9" s="1"/>
  <c r="E97" i="9" s="1"/>
  <c r="C80" i="9"/>
  <c r="E80" i="9" s="1"/>
  <c r="E81" i="9" s="1"/>
  <c r="C97" i="9" l="1"/>
  <c r="D58" i="9" s="1"/>
  <c r="D56" i="9" s="1"/>
  <c r="M54" i="9" s="1"/>
  <c r="N57" i="9" s="1"/>
  <c r="N59" i="9" s="1"/>
  <c r="H111" i="9" s="1"/>
  <c r="C81" i="9"/>
  <c r="D126" i="9" l="1"/>
  <c r="D19" i="53"/>
  <c r="N61" i="9"/>
  <c r="H112" i="9" s="1"/>
  <c r="D21" i="53" s="1"/>
  <c r="B39" i="72" s="1"/>
  <c r="I14" i="74"/>
  <c r="B8" i="74" s="1"/>
  <c r="N58" i="9"/>
  <c r="N60" i="9"/>
  <c r="P57" i="9"/>
  <c r="B38" i="72" l="1"/>
  <c r="D20" i="53"/>
  <c r="B40" i="72" s="1"/>
  <c r="D127" i="9"/>
  <c r="D13" i="52" s="1"/>
  <c r="D12" i="52"/>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3DF20EC-E361-4E36-8B64-353B8A2A7782}">
      <text>
        <r>
          <rPr>
            <b/>
            <sz val="9"/>
            <color indexed="81"/>
            <rFont val="宋体"/>
            <family val="3"/>
            <charset val="134"/>
          </rPr>
          <t>对应区片地价表</t>
        </r>
        <r>
          <rPr>
            <sz val="9"/>
            <color indexed="81"/>
            <rFont val="宋体"/>
            <family val="3"/>
            <charset val="134"/>
          </rPr>
          <t xml:space="preserve">
</t>
        </r>
      </text>
    </comment>
    <comment ref="Y9" authorId="1" shapeId="0" xr:uid="{DFCCC103-DF54-4484-8675-E6AF46145C5B}">
      <text>
        <r>
          <rPr>
            <sz val="11"/>
            <color indexed="81"/>
            <rFont val="宋体"/>
            <family val="3"/>
            <charset val="134"/>
          </rPr>
          <t xml:space="preserve">录入层数，将对应的结果录入至左侧相应层的楼层修正系数单元格中
</t>
        </r>
      </text>
    </comment>
    <comment ref="C16" authorId="1" shapeId="0" xr:uid="{C4AF05E3-9D6D-4E2E-AF19-90462E286C1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F1531011-C3AB-40BA-A493-992259FCA583}">
      <text>
        <r>
          <rPr>
            <sz val="12"/>
            <color indexed="81"/>
            <rFont val="宋体"/>
            <family val="3"/>
            <charset val="134"/>
          </rPr>
          <t>1.05~1.1</t>
        </r>
        <r>
          <rPr>
            <sz val="9"/>
            <color indexed="81"/>
            <rFont val="宋体"/>
            <family val="3"/>
            <charset val="134"/>
          </rPr>
          <t xml:space="preserve">
</t>
        </r>
      </text>
    </comment>
    <comment ref="E16" authorId="1" shapeId="0" xr:uid="{F9889F24-DA3C-4B18-8A00-D93C74D7536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8F7BEF68-D95E-43E8-ADAD-B9ECD5714B3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588CB01-A2FE-4E01-98FC-D9F8224858E9}">
      <text>
        <r>
          <rPr>
            <b/>
            <sz val="14"/>
            <color indexed="81"/>
            <rFont val="宋体"/>
            <family val="3"/>
            <charset val="134"/>
          </rPr>
          <t>工业选“中心城区”</t>
        </r>
        <r>
          <rPr>
            <sz val="9"/>
            <color indexed="81"/>
            <rFont val="宋体"/>
            <family val="3"/>
            <charset val="134"/>
          </rPr>
          <t xml:space="preserve">
</t>
        </r>
      </text>
    </comment>
    <comment ref="B35" authorId="4" shapeId="0" xr:uid="{FA2DC7C7-B1CD-4A8C-8855-A732463E43F9}">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81D5A194-80F9-4818-B157-9916D48AEA1E}">
      <text>
        <r>
          <rPr>
            <sz val="9"/>
            <color indexed="81"/>
            <rFont val="宋体"/>
            <family val="3"/>
            <charset val="134"/>
          </rPr>
          <t xml:space="preserve">需在此处填写剩余土地年限
</t>
        </r>
      </text>
    </comment>
    <comment ref="C111" authorId="0" shapeId="0" xr:uid="{884C4A04-E514-40F1-A410-7C730F9A31E7}">
      <text>
        <r>
          <rPr>
            <b/>
            <sz val="9"/>
            <color indexed="81"/>
            <rFont val="宋体"/>
            <family val="3"/>
            <charset val="134"/>
          </rPr>
          <t xml:space="preserve">所在楼层
</t>
        </r>
        <r>
          <rPr>
            <sz val="9"/>
            <color indexed="81"/>
            <rFont val="宋体"/>
            <family val="3"/>
            <charset val="134"/>
          </rPr>
          <t xml:space="preserve">
</t>
        </r>
      </text>
    </comment>
    <comment ref="D111" authorId="0" shapeId="0" xr:uid="{215ACD2E-5D32-4441-8468-5A0B83099122}">
      <text>
        <r>
          <rPr>
            <b/>
            <sz val="9"/>
            <color indexed="81"/>
            <rFont val="宋体"/>
            <family val="3"/>
            <charset val="134"/>
          </rPr>
          <t xml:space="preserve">所在楼层
</t>
        </r>
        <r>
          <rPr>
            <sz val="9"/>
            <color indexed="81"/>
            <rFont val="宋体"/>
            <family val="3"/>
            <charset val="134"/>
          </rPr>
          <t xml:space="preserve">
</t>
        </r>
      </text>
    </comment>
    <comment ref="E111" authorId="0" shapeId="0" xr:uid="{CB2378A9-A8D5-4DFB-BCE5-49E63BEF3B2E}">
      <text>
        <r>
          <rPr>
            <b/>
            <sz val="9"/>
            <color indexed="81"/>
            <rFont val="宋体"/>
            <family val="3"/>
            <charset val="134"/>
          </rPr>
          <t xml:space="preserve">所在楼层
</t>
        </r>
        <r>
          <rPr>
            <sz val="9"/>
            <color indexed="81"/>
            <rFont val="宋体"/>
            <family val="3"/>
            <charset val="134"/>
          </rPr>
          <t xml:space="preserve">
</t>
        </r>
      </text>
    </comment>
    <comment ref="F111" authorId="0" shapeId="0" xr:uid="{812B02A5-4BFD-401F-B49D-E3E745D10B05}">
      <text>
        <r>
          <rPr>
            <b/>
            <sz val="9"/>
            <color indexed="81"/>
            <rFont val="宋体"/>
            <family val="3"/>
            <charset val="134"/>
          </rPr>
          <t xml:space="preserve">所在楼层
</t>
        </r>
        <r>
          <rPr>
            <sz val="9"/>
            <color indexed="81"/>
            <rFont val="宋体"/>
            <family val="3"/>
            <charset val="134"/>
          </rPr>
          <t xml:space="preserve">
</t>
        </r>
      </text>
    </comment>
    <comment ref="G111" authorId="0" shapeId="0" xr:uid="{885BBF11-909D-4CF0-B482-A3B22CCC0D2D}">
      <text>
        <r>
          <rPr>
            <b/>
            <sz val="9"/>
            <color indexed="81"/>
            <rFont val="宋体"/>
            <family val="3"/>
            <charset val="134"/>
          </rPr>
          <t xml:space="preserve">所在楼层
</t>
        </r>
        <r>
          <rPr>
            <sz val="9"/>
            <color indexed="81"/>
            <rFont val="宋体"/>
            <family val="3"/>
            <charset val="134"/>
          </rPr>
          <t xml:space="preserve">
</t>
        </r>
      </text>
    </comment>
    <comment ref="H111" authorId="0" shapeId="0" xr:uid="{BB43C17D-513C-4523-B1D5-EABA35698F93}">
      <text>
        <r>
          <rPr>
            <b/>
            <sz val="9"/>
            <color indexed="81"/>
            <rFont val="宋体"/>
            <family val="3"/>
            <charset val="134"/>
          </rPr>
          <t xml:space="preserve">所在楼层
</t>
        </r>
        <r>
          <rPr>
            <sz val="9"/>
            <color indexed="81"/>
            <rFont val="宋体"/>
            <family val="3"/>
            <charset val="134"/>
          </rPr>
          <t xml:space="preserve">
</t>
        </r>
      </text>
    </comment>
    <comment ref="I111" authorId="0" shapeId="0" xr:uid="{A861799F-FF0C-4F10-989D-718975823FF5}">
      <text>
        <r>
          <rPr>
            <b/>
            <sz val="9"/>
            <color indexed="81"/>
            <rFont val="宋体"/>
            <family val="3"/>
            <charset val="134"/>
          </rPr>
          <t xml:space="preserve">所在楼层
</t>
        </r>
        <r>
          <rPr>
            <sz val="9"/>
            <color indexed="81"/>
            <rFont val="宋体"/>
            <family val="3"/>
            <charset val="134"/>
          </rPr>
          <t xml:space="preserve">
</t>
        </r>
      </text>
    </comment>
    <comment ref="J111" authorId="0" shapeId="0" xr:uid="{FADD6B90-ED0F-4221-B7D2-D66E75311A73}">
      <text>
        <r>
          <rPr>
            <b/>
            <sz val="9"/>
            <color indexed="81"/>
            <rFont val="宋体"/>
            <family val="3"/>
            <charset val="134"/>
          </rPr>
          <t xml:space="preserve">所在楼层
</t>
        </r>
        <r>
          <rPr>
            <sz val="9"/>
            <color indexed="81"/>
            <rFont val="宋体"/>
            <family val="3"/>
            <charset val="134"/>
          </rPr>
          <t xml:space="preserve">
</t>
        </r>
      </text>
    </comment>
    <comment ref="K111" authorId="0" shapeId="0" xr:uid="{15F6B68B-BBEC-41D8-8E06-CEB5EEE572FE}">
      <text>
        <r>
          <rPr>
            <b/>
            <sz val="9"/>
            <color indexed="81"/>
            <rFont val="宋体"/>
            <family val="3"/>
            <charset val="134"/>
          </rPr>
          <t xml:space="preserve">所在楼层
</t>
        </r>
        <r>
          <rPr>
            <sz val="9"/>
            <color indexed="81"/>
            <rFont val="宋体"/>
            <family val="3"/>
            <charset val="134"/>
          </rPr>
          <t xml:space="preserve">
</t>
        </r>
      </text>
    </comment>
    <comment ref="L111" authorId="0" shapeId="0" xr:uid="{A2927287-9A9C-4BD7-9217-BB52DE58428B}">
      <text>
        <r>
          <rPr>
            <b/>
            <sz val="9"/>
            <color indexed="81"/>
            <rFont val="宋体"/>
            <family val="3"/>
            <charset val="134"/>
          </rPr>
          <t xml:space="preserve">所在楼层
</t>
        </r>
        <r>
          <rPr>
            <sz val="9"/>
            <color indexed="81"/>
            <rFont val="宋体"/>
            <family val="3"/>
            <charset val="134"/>
          </rPr>
          <t xml:space="preserve">
</t>
        </r>
      </text>
    </comment>
    <comment ref="M111" authorId="0" shapeId="0" xr:uid="{C3501E39-3A04-4ADB-BE74-B412A3D8AD85}">
      <text>
        <r>
          <rPr>
            <b/>
            <sz val="9"/>
            <color indexed="81"/>
            <rFont val="宋体"/>
            <family val="3"/>
            <charset val="134"/>
          </rPr>
          <t xml:space="preserve">所在楼层
</t>
        </r>
        <r>
          <rPr>
            <sz val="9"/>
            <color indexed="81"/>
            <rFont val="宋体"/>
            <family val="3"/>
            <charset val="134"/>
          </rPr>
          <t xml:space="preserve">
</t>
        </r>
      </text>
    </comment>
    <comment ref="N111" authorId="0" shapeId="0" xr:uid="{661286AB-3350-4C7A-999E-DDA8ED2F9FB1}">
      <text>
        <r>
          <rPr>
            <b/>
            <sz val="9"/>
            <color indexed="81"/>
            <rFont val="宋体"/>
            <family val="3"/>
            <charset val="134"/>
          </rPr>
          <t xml:space="preserve">所在楼层
</t>
        </r>
        <r>
          <rPr>
            <sz val="9"/>
            <color indexed="81"/>
            <rFont val="宋体"/>
            <family val="3"/>
            <charset val="134"/>
          </rPr>
          <t xml:space="preserve">
</t>
        </r>
      </text>
    </comment>
    <comment ref="D116" authorId="0" shapeId="0" xr:uid="{DFA6F539-7079-4BAD-9458-29BD4720858D}">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6E09BDF-F478-4EDB-9A08-2560A5BEBE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549A04F-BAD8-497A-9A34-7DA6B9490DD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95A0C8B-7EDD-4974-8BF6-B8CE92EDB95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BD4038-38D3-45B2-BF60-35AE68D7AC6F}">
      <text>
        <r>
          <rPr>
            <sz val="11"/>
            <color indexed="81"/>
            <rFont val="宋体"/>
            <family val="3"/>
            <charset val="134"/>
          </rPr>
          <t>在建项目均选择“是”</t>
        </r>
      </text>
    </comment>
    <comment ref="F59" authorId="1" shapeId="0" xr:uid="{32FF139F-B22F-454F-B82B-6D1E6AF9126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B904457-D85D-4385-9EFC-8D6C8EC8FE00}">
      <text>
        <r>
          <rPr>
            <sz val="10"/>
            <color indexed="81"/>
            <rFont val="宋体"/>
            <family val="3"/>
            <charset val="134"/>
          </rPr>
          <t xml:space="preserve">在建
</t>
        </r>
      </text>
    </comment>
    <comment ref="N59" authorId="0" shapeId="0" xr:uid="{D13F039F-74C8-4581-8A0C-24214C88D53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<sst xmlns="http://schemas.openxmlformats.org/spreadsheetml/2006/main" count="9034" uniqueCount="3630">
  <si>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</si>
  <si>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</si>
  <si>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</si>
  <si>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</si>
  <si>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</si>
  <si>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</si>
  <si>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</si>
  <si>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</si>
  <si>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</si>
  <si>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</si>
  <si>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</si>
  <si>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</si>
  <si>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</si>
  <si>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</si>
  <si>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</si>
  <si>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</si>
  <si>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</si>
  <si>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</si>
  <si>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</si>
  <si>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</si>
  <si>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</si>
  <si>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</si>
  <si>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</si>
  <si>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</si>
  <si>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</si>
  <si>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</si>
  <si>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</si>
  <si>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</si>
  <si>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</si>
  <si>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</si>
  <si>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</si>
  <si>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</si>
  <si>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</si>
  <si>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</si>
  <si>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</si>
  <si>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</si>
  <si>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</si>
  <si>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</si>
  <si>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</si>
  <si>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</si>
  <si>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</si>
  <si>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</si>
  <si>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</si>
  <si>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</si>
  <si>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</si>
  <si>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</si>
  <si>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</si>
  <si>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</si>
  <si>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</si>
  <si>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</si>
  <si>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</si>
  <si>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</si>
  <si>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</si>
  <si>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</si>
  <si>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</si>
  <si>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</si>
  <si>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</si>
  <si>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</si>
  <si>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</si>
  <si>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</si>
  <si>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</si>
  <si>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</si>
  <si>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</si>
  <si>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</si>
  <si>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</si>
  <si>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</si>
  <si>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</si>
  <si>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</si>
  <si>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</si>
  <si>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</si>
  <si>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</si>
  <si>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</si>
  <si>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</si>
  <si>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</si>
  <si>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</si>
  <si>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</si>
  <si>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</si>
  <si>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</si>
  <si>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</si>
  <si>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</si>
  <si>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</si>
  <si>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</si>
  <si>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</si>
  <si>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</si>
  <si>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</si>
  <si>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</si>
  <si>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</si>
  <si>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</si>
  <si>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</si>
  <si>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</si>
  <si>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</si>
  <si>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</si>
  <si>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</si>
  <si>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</si>
  <si>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</si>
  <si>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</si>
  <si>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</si>
  <si>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</si>
  <si>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</si>
  <si>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</si>
  <si>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</si>
  <si>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</si>
  <si>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</si>
  <si>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</si>
  <si>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</si>
  <si>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</si>
  <si>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</si>
  <si>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</si>
  <si>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</si>
  <si>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</si>
  <si>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</si>
  <si>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</si>
  <si>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</si>
  <si>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</si>
  <si>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</si>
  <si>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</si>
  <si>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</si>
  <si>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</si>
  <si>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</si>
  <si>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</si>
  <si>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</si>
  <si>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</si>
  <si>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</si>
  <si>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</si>
  <si>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</si>
  <si>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</si>
  <si>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</si>
  <si>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</si>
  <si>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</si>
  <si>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</si>
  <si>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</si>
  <si>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</si>
  <si>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</si>
  <si>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</si>
  <si>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</si>
  <si>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</si>
  <si>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</si>
  <si>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</si>
  <si>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</si>
  <si>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</si>
  <si>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</si>
  <si>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</si>
  <si>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</si>
  <si>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</si>
  <si>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</si>
  <si>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</si>
  <si>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</si>
  <si>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</si>
  <si>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</si>
  <si>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</si>
  <si>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</si>
  <si>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</si>
  <si>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</si>
  <si>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</si>
  <si>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</si>
  <si>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</si>
  <si>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</si>
  <si>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</si>
  <si>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</si>
  <si>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</si>
  <si>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</si>
  <si>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</si>
  <si>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</si>
  <si>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</si>
  <si>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</si>
  <si>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</si>
  <si>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</si>
  <si>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</si>
  <si>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</si>
  <si>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</si>
  <si>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</si>
  <si>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</si>
  <si>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</si>
  <si>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</si>
  <si>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</si>
  <si>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</si>
  <si>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</si>
  <si>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</si>
  <si>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</si>
  <si>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</si>
  <si>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</si>
  <si>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</si>
  <si>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</si>
  <si>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</si>
  <si>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</si>
  <si>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</si>
  <si>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</si>
  <si>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</si>
  <si>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</si>
  <si>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</si>
  <si>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</si>
  <si>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</si>
  <si>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</si>
  <si>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</si>
  <si>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</si>
  <si>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</si>
  <si>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</si>
  <si>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</si>
  <si>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</si>
  <si>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</si>
  <si>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</si>
  <si>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</si>
  <si>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</si>
  <si>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</si>
  <si>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</si>
  <si>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</si>
  <si>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</si>
  <si>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</si>
  <si>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</si>
  <si>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</si>
  <si>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</si>
  <si>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</si>
  <si>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</si>
  <si>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</si>
  <si>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</si>
  <si>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</si>
  <si>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</si>
  <si>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</si>
  <si>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</si>
  <si>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</si>
  <si>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</si>
  <si>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</si>
  <si>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</si>
  <si>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</si>
  <si>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</si>
  <si>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</si>
  <si>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</si>
  <si>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</si>
  <si>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</si>
  <si>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</si>
  <si>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</si>
  <si>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</si>
  <si>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</si>
  <si>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</si>
  <si>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</si>
  <si>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</si>
  <si>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</si>
  <si>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</si>
  <si>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</si>
  <si>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</si>
  <si>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</si>
  <si>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</si>
  <si>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</si>
  <si>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</si>
  <si>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</si>
  <si>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</si>
  <si>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</si>
  <si>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</si>
  <si>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</si>
  <si>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</si>
  <si>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</si>
  <si>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</si>
  <si>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</si>
  <si>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</si>
  <si>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</si>
  <si>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</si>
  <si>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</si>
  <si>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</si>
  <si>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</si>
  <si>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</si>
  <si>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</si>
  <si>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</si>
  <si>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</si>
  <si>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</si>
  <si>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</si>
  <si>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</si>
  <si>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</si>
  <si>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</si>
  <si>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</si>
  <si>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</si>
  <si>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</si>
  <si>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</si>
  <si>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</si>
  <si>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</si>
  <si>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</si>
  <si>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</si>
  <si>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</si>
  <si>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</si>
  <si>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</si>
  <si>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</si>
  <si>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</si>
  <si>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</si>
  <si>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</si>
  <si>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</si>
  <si>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</si>
  <si>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</si>
  <si>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</si>
  <si>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</si>
  <si>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</si>
  <si>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</si>
  <si>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</si>
  <si>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</si>
  <si>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</si>
  <si>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</si>
  <si>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</si>
  <si>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</si>
  <si>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</si>
  <si>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</si>
  <si>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</si>
  <si>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</si>
  <si>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</si>
  <si>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</si>
  <si>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</si>
  <si>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</si>
  <si>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</si>
  <si>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</si>
  <si>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</si>
  <si>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</si>
  <si>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</si>
  <si>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</si>
  <si>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</si>
  <si>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</si>
  <si>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</si>
  <si>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</si>
  <si>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</si>
  <si>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</si>
  <si>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</si>
  <si>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</si>
  <si>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</si>
  <si>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</si>
  <si>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</si>
  <si>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</si>
  <si>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</si>
  <si>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</si>
  <si>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</si>
  <si>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</si>
  <si>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</si>
  <si>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</si>
  <si>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</si>
  <si>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</si>
  <si>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</si>
  <si>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</si>
  <si>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</si>
  <si>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</si>
  <si>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</si>
  <si>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</si>
  <si>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</si>
  <si>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</si>
  <si>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</si>
  <si>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</si>
  <si>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</si>
  <si>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</si>
  <si>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</si>
  <si>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</si>
  <si>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</si>
  <si>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</si>
  <si>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</si>
  <si>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</si>
  <si>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</si>
  <si>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</si>
  <si>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</si>
  <si>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</si>
  <si>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</si>
  <si>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</si>
  <si>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</si>
  <si>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</si>
  <si>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</si>
  <si>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</si>
  <si>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</si>
  <si>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</si>
  <si>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</si>
  <si>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</si>
  <si>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</si>
  <si>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</si>
  <si>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</si>
  <si>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</si>
  <si>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</si>
  <si>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</si>
  <si>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</si>
  <si>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</si>
  <si>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</si>
  <si>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</si>
  <si>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</si>
  <si>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</si>
  <si>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</si>
  <si>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</si>
  <si>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</si>
  <si>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</si>
  <si>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</si>
  <si>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</si>
  <si>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</si>
  <si>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</si>
  <si>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</si>
  <si>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</si>
  <si>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</si>
  <si>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</si>
  <si>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</si>
  <si>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</si>
  <si>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</si>
  <si>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</si>
  <si>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</si>
  <si>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</si>
  <si>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</si>
  <si>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</si>
  <si>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</si>
  <si>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</si>
  <si>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</si>
  <si>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</si>
  <si>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</si>
  <si>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</si>
  <si>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</si>
  <si>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</si>
  <si>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</si>
  <si>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</si>
  <si>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</si>
  <si>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</si>
  <si>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</si>
  <si>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</si>
  <si>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</si>
  <si>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</si>
  <si>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</si>
  <si>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</si>
  <si>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</si>
  <si>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</si>
  <si>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</si>
  <si>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</si>
  <si>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</si>
  <si>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</si>
  <si>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</si>
  <si>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</si>
  <si>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</si>
  <si>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</si>
  <si>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</si>
  <si>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</si>
  <si>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</si>
  <si>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</si>
  <si>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</si>
  <si>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</si>
  <si>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</si>
  <si>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</si>
  <si>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</si>
  <si>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</si>
  <si>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</si>
  <si>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</si>
  <si>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</si>
  <si>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</si>
  <si>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</si>
  <si>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</si>
  <si>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</si>
  <si>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</si>
  <si>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</si>
  <si>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</si>
  <si>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</si>
  <si>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</si>
  <si>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</si>
  <si>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</si>
  <si>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</si>
  <si>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</si>
  <si>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</si>
  <si>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</si>
  <si>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</si>
  <si>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</si>
  <si>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</si>
  <si>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</si>
  <si>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</si>
  <si>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</si>
  <si>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</si>
  <si>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</si>
  <si>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</si>
  <si>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</si>
  <si>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</si>
  <si>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</si>
  <si>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</si>
  <si>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</si>
  <si>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</si>
  <si>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</si>
  <si>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</si>
  <si>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</si>
  <si>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</si>
  <si>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</si>
  <si>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</si>
  <si>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</si>
  <si>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</si>
  <si>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</si>
  <si>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</si>
  <si>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</si>
  <si>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</si>
  <si>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</si>
  <si>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</si>
  <si>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</si>
  <si>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</si>
  <si>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</si>
  <si>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</si>
  <si>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</si>
  <si>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</si>
  <si>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</si>
  <si>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</si>
  <si>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</si>
  <si>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</si>
  <si>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</si>
  <si>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</si>
  <si>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</si>
  <si>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</si>
  <si>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</si>
  <si>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</si>
  <si>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</si>
  <si>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</si>
  <si>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</si>
  <si>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</si>
  <si>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</si>
  <si>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</si>
  <si>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</si>
  <si>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</si>
  <si>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</si>
  <si>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</si>
  <si>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</si>
  <si>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</si>
  <si>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</si>
  <si>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</si>
  <si>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</si>
  <si>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</si>
  <si>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</si>
  <si>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</si>
  <si>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</si>
  <si>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</si>
  <si>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</si>
  <si>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</si>
  <si>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</si>
  <si>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</si>
  <si>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</si>
  <si>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</si>
  <si>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</si>
  <si>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</si>
  <si>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</si>
  <si>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</si>
  <si>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</si>
  <si>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</si>
  <si>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</si>
  <si>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</si>
  <si>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</si>
  <si>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</si>
  <si>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</si>
  <si>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</si>
  <si>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</si>
  <si>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</si>
  <si>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</si>
  <si>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</si>
  <si>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</si>
  <si>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</si>
  <si>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</si>
  <si>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</si>
  <si>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</si>
  <si>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</si>
  <si>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</si>
  <si>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</si>
  <si>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</si>
  <si>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</si>
  <si>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</si>
  <si>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</si>
  <si>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</si>
  <si>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</si>
  <si>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</si>
  <si>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</si>
  <si>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</si>
  <si>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</si>
  <si>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</si>
  <si>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</si>
  <si>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</si>
  <si>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</si>
  <si>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</si>
  <si>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</si>
  <si>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</si>
  <si>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</si>
  <si>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</si>
  <si>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</si>
  <si>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</si>
  <si>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</si>
  <si>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</si>
  <si>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</si>
  <si>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</si>
  <si>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</si>
  <si>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</si>
  <si>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</si>
  <si>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</si>
  <si>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</si>
  <si>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</si>
  <si>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</si>
  <si>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</si>
  <si>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</si>
  <si>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</si>
  <si>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</si>
  <si>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</si>
  <si>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</si>
  <si>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</si>
  <si>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</si>
  <si>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</si>
  <si>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</si>
  <si>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</si>
  <si>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</si>
  <si>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</si>
  <si>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</si>
  <si>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</si>
  <si>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</si>
  <si>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</si>
  <si>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</si>
  <si>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</si>
  <si>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</si>
  <si>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</si>
  <si>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</si>
  <si>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</si>
  <si>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</si>
  <si>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</si>
  <si>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</si>
  <si>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</si>
  <si>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</si>
  <si>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</si>
  <si>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</si>
  <si>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</si>
  <si>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</si>
  <si>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</si>
  <si>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</si>
  <si>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</si>
  <si>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</si>
  <si>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</si>
  <si>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</si>
  <si>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</si>
  <si>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</si>
  <si>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</si>
  <si>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</si>
  <si>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</si>
  <si>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</si>
  <si>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</si>
  <si>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</si>
  <si>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</si>
  <si>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</si>
  <si>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</si>
  <si>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</si>
  <si>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</si>
  <si>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</si>
  <si>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</si>
  <si>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</si>
  <si>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</si>
  <si>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</si>
  <si>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</si>
  <si>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</si>
  <si>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</si>
  <si>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</si>
  <si>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</si>
  <si>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</si>
  <si>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</si>
  <si>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</si>
  <si>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</si>
  <si>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</si>
  <si>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</si>
  <si>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</si>
  <si>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</si>
  <si>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</si>
  <si>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</si>
  <si>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</si>
  <si>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</si>
  <si>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</si>
  <si>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</si>
  <si>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</si>
  <si>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</si>
  <si>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</si>
  <si>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</si>
  <si>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</si>
  <si>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</si>
  <si>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</si>
  <si>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</si>
  <si>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</si>
  <si>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</si>
  <si>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</si>
  <si>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</si>
  <si>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</si>
  <si>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</si>
  <si>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</si>
  <si>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</si>
  <si>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</si>
  <si>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</si>
  <si>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</si>
  <si>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</si>
  <si>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</si>
  <si>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</si>
  <si>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</si>
  <si>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</si>
  <si>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</si>
  <si>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</si>
  <si>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</si>
  <si>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</si>
  <si>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</si>
  <si>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</si>
  <si>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</si>
  <si>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</si>
  <si>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</si>
  <si>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</si>
  <si>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</si>
  <si>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</si>
  <si>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</si>
  <si>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</si>
  <si>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</si>
  <si>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</si>
  <si>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</si>
  <si>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</si>
  <si>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</si>
  <si>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</si>
  <si>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</si>
  <si>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</si>
  <si>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</si>
  <si>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</si>
  <si>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</si>
  <si>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</si>
  <si>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</si>
  <si>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</si>
  <si>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</si>
  <si>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</si>
  <si>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</si>
  <si>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</si>
  <si>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</si>
  <si>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</si>
  <si>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</si>
  <si>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</si>
  <si>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</si>
  <si>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</si>
  <si>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</si>
  <si>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</si>
  <si>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</si>
  <si>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</si>
  <si>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</si>
  <si>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</si>
  <si>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</si>
  <si>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</si>
  <si>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</si>
  <si>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</si>
  <si>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</si>
  <si>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</si>
  <si>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</si>
  <si>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</si>
  <si>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</si>
  <si>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</si>
  <si>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</si>
  <si>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</si>
  <si>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</si>
  <si>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</si>
  <si>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</si>
  <si>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</si>
  <si>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</si>
  <si>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</si>
  <si>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</si>
  <si>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</si>
  <si>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</si>
  <si>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</si>
  <si>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</si>
  <si>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</si>
  <si>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</si>
  <si>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</si>
  <si>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</si>
  <si>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</si>
  <si>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</si>
  <si>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</si>
  <si>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</si>
  <si>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</si>
  <si>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</si>
  <si>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</si>
  <si>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</si>
  <si>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</si>
  <si>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</si>
  <si>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</si>
  <si>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</si>
  <si>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</si>
  <si>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</si>
  <si>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</si>
  <si>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</si>
  <si>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</si>
  <si>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</si>
  <si>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</si>
  <si>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</si>
  <si>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</si>
  <si>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</si>
  <si>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</si>
  <si>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</si>
  <si>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</si>
  <si>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</si>
  <si>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</si>
  <si>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</si>
  <si>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</si>
  <si>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</si>
  <si>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</si>
  <si>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</si>
  <si>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</si>
  <si>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</si>
  <si>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</si>
  <si>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</si>
  <si>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</si>
  <si>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</si>
  <si>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</si>
  <si>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</si>
  <si>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</si>
  <si>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</si>
  <si>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</si>
  <si>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</si>
  <si>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</si>
  <si>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</si>
  <si>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</si>
  <si>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</si>
  <si>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</si>
  <si>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</si>
  <si>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</si>
  <si>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</si>
  <si>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</si>
  <si>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</si>
  <si>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</si>
  <si>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</si>
  <si>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</si>
  <si>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</si>
  <si>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</si>
  <si>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</si>
  <si>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</si>
  <si>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</si>
  <si>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</si>
  <si>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</si>
  <si>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</si>
  <si>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</si>
  <si>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</si>
  <si>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</si>
  <si>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</si>
  <si>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</si>
  <si>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</si>
  <si>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</si>
  <si>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</si>
  <si>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</si>
  <si>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</si>
  <si>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</si>
  <si>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</si>
  <si>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</si>
  <si>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</si>
  <si>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</si>
  <si>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</si>
  <si>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</si>
  <si>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</si>
  <si>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</si>
  <si>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</si>
  <si>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</si>
  <si>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</si>
  <si>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</si>
  <si>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</si>
  <si>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</si>
  <si>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</si>
  <si>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</si>
  <si>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</si>
  <si>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</si>
  <si>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</si>
  <si>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</si>
  <si>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</si>
  <si>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</si>
  <si>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</si>
  <si>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</si>
  <si>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</si>
  <si>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</si>
  <si>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</si>
  <si>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</si>
  <si>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</si>
  <si>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</si>
  <si>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</si>
  <si>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</si>
  <si>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</si>
  <si>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</si>
  <si>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</si>
  <si>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</si>
  <si>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</si>
  <si>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</si>
  <si>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</si>
  <si>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</si>
  <si>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</si>
  <si>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</si>
  <si>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</si>
  <si>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</si>
  <si>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</si>
  <si>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</si>
  <si>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</si>
  <si>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</si>
  <si>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</si>
  <si>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</si>
  <si>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</si>
  <si>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</si>
  <si>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</si>
  <si>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</si>
  <si>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</si>
  <si>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</si>
  <si>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</si>
  <si>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</si>
  <si>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</si>
  <si>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</si>
  <si>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</si>
  <si>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</si>
  <si>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</si>
  <si>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</si>
  <si>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</si>
  <si>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</si>
  <si>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</si>
  <si>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</si>
  <si>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</si>
  <si>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</si>
  <si>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</si>
  <si>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</si>
  <si>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</si>
  <si>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</si>
  <si>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</si>
  <si>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</si>
  <si>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</si>
  <si>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</si>
  <si>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</si>
  <si>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</si>
  <si>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</si>
  <si>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</si>
  <si>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</si>
  <si>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</si>
  <si>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</si>
  <si>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</si>
  <si>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</si>
  <si>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</si>
  <si>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</si>
  <si>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</si>
  <si>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</si>
  <si>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</si>
  <si>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</si>
  <si>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</si>
  <si>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</si>
  <si>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</si>
  <si>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</si>
  <si>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</si>
  <si>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</si>
  <si>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</si>
  <si>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</si>
  <si>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</si>
  <si>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</si>
  <si>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</si>
  <si>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</si>
  <si>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</si>
  <si>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</si>
  <si>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</si>
  <si>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</si>
  <si>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</si>
  <si>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</si>
  <si>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</si>
  <si>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</si>
  <si>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</si>
  <si>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</si>
  <si>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</si>
  <si>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</si>
  <si>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</si>
  <si>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</si>
  <si>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</si>
  <si>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</si>
  <si>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</si>
  <si>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</si>
  <si>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</si>
  <si>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</si>
  <si>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</si>
  <si>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</si>
  <si>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</si>
  <si>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</si>
  <si>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</si>
  <si>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</si>
  <si>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</si>
  <si>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</si>
  <si>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</si>
  <si>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</si>
  <si>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</si>
  <si>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</si>
  <si>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</si>
  <si>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</si>
  <si>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</si>
  <si>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</si>
  <si>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</si>
  <si>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</si>
  <si>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</si>
  <si>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</si>
  <si>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</si>
  <si>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</si>
  <si>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</si>
  <si>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</si>
  <si>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</si>
  <si>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</si>
  <si>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</si>
  <si>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</si>
  <si>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</si>
  <si>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</si>
  <si>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</si>
  <si>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</si>
  <si>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</si>
  <si>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</si>
  <si>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</si>
  <si>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</si>
  <si>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</si>
  <si>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</si>
  <si>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</si>
  <si>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</si>
  <si>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</si>
  <si>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</si>
  <si>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</si>
  <si>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</si>
  <si>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</si>
  <si>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</si>
  <si>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</si>
  <si>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</si>
  <si>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</si>
  <si>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</si>
  <si>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</si>
  <si>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</si>
  <si>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</si>
  <si>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</si>
  <si>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</si>
  <si>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</si>
  <si>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</si>
  <si>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</si>
  <si>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</si>
  <si>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</si>
  <si>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</si>
  <si>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</si>
  <si>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</si>
  <si>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</si>
  <si>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</si>
  <si>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</si>
  <si>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</si>
  <si>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</si>
  <si>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</si>
  <si>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</si>
  <si>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</si>
  <si>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</si>
  <si>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</si>
  <si>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</si>
  <si>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</si>
  <si>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</si>
  <si>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</si>
  <si>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</si>
  <si>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</si>
  <si>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</si>
  <si>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</si>
  <si>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</si>
  <si>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</si>
  <si>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</si>
  <si>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</si>
  <si>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</si>
  <si>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</si>
  <si>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</si>
  <si>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</si>
  <si>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</si>
  <si>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</si>
  <si>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</si>
  <si>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</si>
  <si>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</si>
  <si>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</si>
  <si>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</si>
  <si>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</si>
  <si>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</si>
  <si>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</si>
  <si>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</si>
  <si>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</si>
  <si>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</si>
  <si>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</si>
  <si>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</si>
  <si>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</si>
  <si>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</si>
  <si>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</si>
  <si>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</si>
  <si>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</si>
  <si>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</si>
  <si>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</si>
  <si>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</si>
  <si>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</si>
  <si>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</si>
  <si>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</si>
  <si>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</si>
  <si>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</si>
  <si>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</si>
  <si>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</si>
  <si>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</si>
  <si>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</si>
  <si>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</si>
  <si>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</si>
  <si>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</si>
  <si>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</si>
  <si>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</si>
  <si>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</si>
  <si>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</si>
  <si>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</si>
  <si>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</si>
  <si>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</si>
  <si>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</si>
  <si>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</si>
  <si>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</si>
  <si>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</si>
  <si>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</si>
  <si>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</si>
  <si>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</si>
  <si>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</si>
  <si>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</si>
  <si>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</si>
  <si>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</si>
  <si>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</si>
  <si>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</si>
  <si>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</si>
  <si>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</si>
  <si>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</si>
  <si>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</si>
  <si>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</si>
  <si>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</si>
  <si>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</si>
  <si>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</si>
  <si>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</si>
  <si>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</si>
  <si>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</si>
  <si>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</si>
  <si>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</si>
  <si>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</si>
  <si>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</si>
  <si>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</si>
  <si>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</si>
  <si>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</si>
  <si>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</si>
  <si>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</si>
  <si>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</si>
  <si>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</si>
  <si>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</si>
  <si>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</si>
  <si>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</si>
  <si>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</si>
  <si>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</si>
  <si>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</si>
  <si>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</si>
  <si>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</si>
  <si>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</si>
  <si>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</si>
  <si>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</si>
  <si>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</si>
  <si>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</si>
  <si>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</si>
  <si>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</si>
  <si>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</si>
  <si>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</si>
  <si>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</si>
  <si>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</si>
  <si>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</si>
  <si>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</si>
  <si>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</si>
  <si>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</si>
  <si>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</si>
  <si>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</si>
  <si>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</si>
  <si>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</si>
  <si>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</si>
  <si>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</si>
  <si>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</si>
  <si>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</si>
  <si>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</si>
  <si>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</si>
  <si>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</si>
  <si>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</si>
  <si>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</si>
  <si>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</si>
  <si>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</si>
  <si>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</si>
  <si>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</si>
  <si>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</si>
  <si>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</si>
  <si>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</si>
  <si>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</si>
  <si>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</si>
  <si>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</si>
  <si>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</si>
  <si>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</si>
  <si>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</si>
  <si>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</si>
  <si>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</si>
  <si>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</si>
  <si>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</si>
  <si>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</si>
  <si>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</si>
  <si>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</si>
  <si>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</si>
  <si>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</si>
  <si>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</si>
  <si>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</si>
  <si>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</si>
  <si>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</si>
  <si>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</si>
  <si>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</si>
  <si>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</si>
  <si>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</si>
  <si>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</si>
  <si>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</si>
  <si>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</si>
  <si>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</si>
  <si>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</si>
  <si>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</si>
  <si>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</si>
  <si>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</si>
  <si>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</si>
  <si>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</si>
  <si>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</si>
  <si>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</si>
  <si>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</si>
  <si>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</si>
  <si>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</si>
  <si>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</si>
  <si>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</si>
  <si>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</si>
  <si>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</si>
  <si>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</si>
  <si>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</si>
  <si>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</si>
  <si>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</si>
  <si>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</si>
  <si>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</si>
  <si>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</si>
  <si>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</si>
  <si>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</si>
  <si>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</si>
  <si>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</si>
  <si>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</si>
  <si>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</si>
  <si>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</si>
  <si>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</si>
  <si>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</si>
  <si>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</si>
  <si>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</si>
  <si>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</si>
  <si>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</si>
  <si>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</si>
  <si>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</si>
  <si>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</si>
  <si>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</si>
  <si>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</si>
  <si>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</si>
  <si>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</si>
  <si>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</si>
  <si>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</si>
  <si>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</si>
  <si>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</si>
  <si>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</si>
  <si>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</si>
  <si>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</si>
  <si>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</si>
  <si>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</si>
  <si>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</si>
  <si>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</si>
  <si>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</si>
  <si>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</si>
  <si>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</si>
  <si>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</si>
  <si>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</si>
  <si>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</si>
  <si>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</si>
  <si>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</si>
  <si>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</si>
  <si>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</si>
  <si>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</si>
  <si>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</si>
  <si>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</si>
  <si>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</si>
  <si>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</si>
  <si>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</si>
  <si>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</si>
  <si>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</si>
  <si>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</si>
  <si>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</si>
  <si>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</si>
  <si>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</si>
  <si>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</si>
  <si>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</si>
  <si>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</si>
  <si>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</si>
  <si>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</si>
  <si>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</si>
  <si>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</si>
  <si>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</si>
  <si>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</si>
  <si>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</si>
  <si>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</si>
  <si>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</si>
  <si>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</si>
  <si>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</si>
  <si>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</si>
  <si>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</si>
  <si>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</si>
  <si>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</si>
  <si>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</si>
  <si>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</si>
  <si>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</si>
  <si>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</si>
  <si>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</si>
  <si>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</si>
  <si>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</si>
  <si>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</si>
  <si>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</si>
  <si>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</si>
  <si>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</si>
  <si>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</si>
  <si>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</si>
  <si>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</si>
  <si>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</si>
  <si>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</si>
  <si>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</si>
  <si>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</si>
  <si>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</si>
  <si>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</si>
  <si>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</si>
  <si>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</si>
  <si>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</si>
  <si>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</si>
  <si>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</si>
  <si>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</si>
  <si>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</si>
  <si>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</si>
  <si>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</si>
  <si>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</si>
  <si>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</si>
  <si>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</si>
  <si>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</si>
  <si>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</si>
  <si>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</si>
  <si>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</si>
  <si>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</si>
  <si>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</si>
  <si>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</si>
  <si>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</si>
  <si>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</si>
  <si>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</si>
  <si>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</si>
  <si>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</si>
  <si>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</si>
  <si>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</si>
  <si>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</si>
  <si>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</si>
  <si>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</si>
  <si>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</si>
  <si>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</si>
  <si>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</si>
  <si>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</si>
  <si>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</si>
  <si>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</si>
  <si>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</si>
  <si>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</si>
  <si>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</si>
  <si>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</si>
  <si>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</si>
  <si>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</si>
  <si>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</si>
  <si>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</si>
  <si>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</si>
  <si>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</si>
  <si>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</si>
  <si>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</si>
  <si>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</si>
  <si>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</si>
  <si>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</si>
  <si>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</si>
  <si>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</si>
  <si>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</si>
  <si>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</si>
  <si>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</si>
  <si>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</si>
  <si>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</si>
  <si>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</si>
  <si>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</si>
  <si>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</si>
  <si>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</si>
  <si>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</si>
  <si>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</si>
  <si>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</si>
  <si>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</si>
  <si>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</si>
  <si>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</si>
  <si>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</si>
  <si>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</si>
  <si>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</si>
  <si>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</si>
  <si>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</si>
  <si>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</si>
  <si>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</si>
  <si>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</si>
  <si>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</si>
  <si>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</si>
  <si>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</si>
  <si>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</si>
  <si>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</si>
  <si>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</si>
  <si>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</si>
  <si>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</si>
  <si>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</si>
  <si>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</si>
  <si>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</si>
  <si>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</si>
  <si>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</si>
  <si>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</si>
  <si>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</si>
  <si>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</si>
  <si>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</si>
  <si>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</si>
  <si>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</si>
  <si>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</si>
  <si>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</si>
  <si>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</si>
  <si>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</si>
  <si>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</si>
  <si>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</si>
  <si>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</si>
  <si>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</si>
  <si>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</si>
  <si>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</si>
  <si>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</si>
  <si>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</si>
  <si>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</si>
  <si>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</si>
  <si>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</si>
  <si>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</si>
  <si>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</si>
  <si>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</si>
  <si>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</si>
  <si>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</si>
  <si>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</si>
  <si>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</si>
  <si>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</si>
  <si>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</si>
  <si>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</si>
  <si>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</si>
  <si>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</si>
  <si>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</si>
  <si>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</si>
  <si>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</si>
  <si>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</si>
  <si>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</si>
  <si>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</si>
  <si>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</si>
  <si>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</si>
  <si>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</si>
  <si>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</si>
  <si>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</si>
  <si>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</si>
  <si>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</si>
  <si>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</si>
  <si>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</si>
  <si>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</si>
  <si>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</si>
  <si>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</si>
  <si>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</si>
  <si>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</si>
  <si>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</si>
  <si>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</si>
  <si>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</si>
  <si>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</si>
  <si>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</si>
  <si>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</si>
  <si>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</si>
  <si>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</si>
  <si>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</si>
  <si>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</si>
  <si>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</si>
  <si>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</si>
  <si>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</si>
  <si>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</si>
  <si>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</si>
  <si>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</si>
  <si>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</si>
  <si>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</si>
  <si>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</si>
  <si>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</si>
  <si>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</si>
  <si>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</si>
  <si>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</si>
  <si>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</si>
  <si>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</si>
  <si>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</si>
  <si>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</si>
  <si>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</si>
  <si>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</si>
  <si>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</si>
  <si>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</si>
  <si>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</si>
  <si>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</si>
  <si>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</si>
  <si>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</si>
  <si>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</si>
  <si>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</si>
  <si>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</si>
  <si>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</si>
  <si>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</si>
  <si>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</si>
  <si>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</si>
  <si>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</si>
  <si>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</si>
  <si>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</si>
  <si>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</si>
  <si>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</si>
  <si>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</si>
  <si>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</si>
  <si>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</si>
  <si>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</si>
  <si>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</si>
  <si>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</si>
  <si>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</si>
  <si>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</si>
  <si>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</si>
  <si>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</si>
  <si>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</si>
  <si>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</si>
  <si>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</si>
  <si>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</si>
  <si>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</si>
  <si>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</si>
  <si>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</si>
  <si>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</si>
  <si>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</si>
  <si>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</si>
  <si>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</si>
  <si>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</si>
  <si>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</si>
  <si>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</si>
  <si>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</si>
  <si>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</si>
  <si>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</si>
  <si>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</si>
  <si>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</si>
  <si>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</si>
  <si>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</si>
  <si>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</si>
  <si>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</si>
  <si>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</si>
  <si>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</si>
  <si>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</si>
  <si>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</si>
  <si>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</si>
  <si>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</si>
  <si>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</si>
  <si>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</si>
  <si>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</si>
  <si>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</si>
  <si>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</si>
  <si>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</si>
  <si>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</si>
  <si>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</si>
  <si>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</si>
  <si>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</si>
  <si>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</si>
  <si>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</si>
  <si>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</si>
  <si>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</si>
  <si>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</si>
  <si>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</si>
  <si>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</si>
  <si>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</si>
  <si>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</si>
  <si>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</si>
  <si>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</si>
  <si>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</si>
  <si>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</si>
  <si>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</si>
  <si>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</si>
  <si>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</si>
  <si>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</si>
  <si>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</si>
  <si>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</si>
  <si>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</si>
  <si>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</si>
  <si>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</si>
  <si>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</si>
  <si>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</si>
  <si>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</si>
  <si>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</si>
  <si>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</si>
  <si>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</si>
  <si>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</si>
  <si>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</si>
  <si>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</si>
  <si>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</si>
  <si>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</si>
  <si>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</si>
  <si>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</si>
  <si>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</si>
  <si>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</si>
  <si>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</si>
  <si>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</si>
  <si>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</si>
  <si>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</si>
  <si>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</si>
  <si>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</si>
  <si>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</si>
  <si>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</si>
  <si>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</si>
  <si>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</si>
  <si>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</si>
  <si>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</si>
  <si>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</si>
  <si>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</si>
  <si>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</si>
  <si>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</si>
  <si>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</si>
  <si>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</si>
  <si>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</si>
  <si>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</si>
  <si>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</si>
  <si>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</si>
  <si>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</si>
  <si>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</si>
  <si>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</si>
  <si>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</si>
  <si>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</si>
  <si>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</si>
  <si>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</si>
  <si>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</si>
  <si>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</si>
  <si>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</si>
  <si>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</si>
  <si>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</si>
  <si>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</si>
  <si>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</si>
  <si>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</si>
  <si>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</si>
  <si>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</si>
  <si>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</si>
  <si>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</si>
  <si>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</si>
  <si>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</si>
  <si>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</si>
  <si>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</si>
  <si>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</si>
  <si>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</si>
  <si>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</si>
  <si>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</si>
  <si>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</si>
  <si>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</si>
  <si>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</si>
  <si>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</si>
  <si>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</si>
  <si>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</si>
  <si>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</si>
  <si>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</si>
  <si>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</si>
  <si>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</si>
  <si>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</si>
  <si>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</si>
  <si>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</si>
  <si>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</si>
  <si>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</si>
  <si>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</si>
  <si>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</si>
  <si>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</si>
  <si>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</si>
  <si>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</si>
  <si>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</si>
  <si>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</si>
  <si>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</si>
  <si>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</si>
  <si>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</si>
  <si>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</si>
  <si>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</si>
  <si>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</si>
  <si>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</si>
  <si>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</si>
  <si>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</si>
  <si>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</si>
  <si>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</si>
  <si>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</si>
  <si>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</si>
  <si>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</si>
  <si>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</si>
  <si>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</si>
  <si>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</si>
  <si>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</si>
  <si>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</si>
  <si>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</si>
  <si>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</si>
  <si>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</si>
  <si>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</si>
  <si>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</si>
  <si>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</si>
  <si>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</si>
  <si>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</si>
  <si>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</si>
  <si>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</si>
  <si>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</si>
  <si>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</si>
  <si>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</si>
  <si>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</si>
  <si>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</si>
  <si>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</si>
  <si>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</si>
  <si>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</si>
  <si>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</si>
  <si>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</si>
  <si>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</si>
  <si>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</si>
  <si>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</si>
  <si>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</si>
  <si>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</si>
  <si>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</si>
  <si>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</si>
  <si>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</si>
  <si>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</si>
  <si>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</si>
  <si>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</si>
  <si>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</si>
  <si>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</si>
  <si>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</si>
  <si>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</si>
  <si>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</si>
  <si>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</si>
  <si>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</si>
  <si>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</si>
  <si>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</si>
  <si>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</si>
  <si>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</si>
  <si>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</si>
  <si>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</si>
  <si>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</si>
  <si>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</si>
  <si>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</si>
  <si>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</si>
  <si>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</si>
  <si>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</si>
  <si>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</si>
  <si>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</si>
  <si>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</si>
  <si>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</si>
  <si>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</si>
  <si>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</si>
  <si>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</si>
  <si>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</si>
  <si>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</si>
  <si>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</si>
  <si>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</si>
  <si>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</si>
  <si>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</si>
  <si>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</si>
  <si>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</si>
  <si>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</si>
  <si>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</si>
  <si>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</si>
  <si>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</si>
  <si>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</si>
  <si>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</si>
  <si>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</si>
  <si>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</si>
  <si>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</si>
  <si>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</si>
  <si>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</si>
  <si>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</si>
  <si>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</si>
  <si>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</si>
  <si>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</si>
  <si>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</si>
  <si>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</si>
  <si>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</si>
  <si>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</si>
  <si>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</si>
  <si>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</si>
  <si>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</si>
  <si>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</si>
  <si>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</si>
  <si>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</si>
  <si>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</si>
  <si>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</si>
  <si>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</si>
  <si>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</si>
  <si>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</si>
  <si>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</si>
  <si>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</si>
  <si>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</si>
  <si>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</si>
  <si>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</si>
  <si>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</si>
  <si>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</si>
  <si>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</si>
  <si>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</si>
  <si>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</si>
  <si>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</si>
  <si>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</si>
  <si>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</si>
  <si>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</si>
  <si>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</si>
  <si>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</si>
  <si>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</si>
  <si>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</si>
  <si>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</si>
  <si>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</si>
  <si>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</si>
  <si>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</si>
  <si>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</si>
  <si>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</si>
  <si>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</si>
  <si>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</si>
  <si>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</si>
  <si>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</si>
  <si>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</si>
  <si>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</si>
  <si>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</si>
  <si>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</si>
  <si>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</si>
  <si>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</si>
  <si>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</si>
  <si>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</si>
  <si>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</si>
  <si>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</si>
  <si>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</si>
  <si>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</si>
  <si>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</si>
  <si>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</si>
  <si>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</si>
  <si>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</si>
  <si>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</si>
  <si>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</si>
  <si>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</si>
  <si>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</si>
  <si>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</si>
  <si>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</si>
  <si>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</si>
  <si>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</si>
  <si>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</si>
  <si>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</si>
  <si>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</si>
  <si>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</si>
  <si>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</si>
  <si>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</si>
  <si>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</si>
  <si>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</si>
  <si>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</si>
  <si>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</si>
  <si>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</si>
  <si>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</si>
  <si>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</si>
  <si>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</si>
  <si>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</si>
  <si>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</si>
  <si>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</si>
  <si>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</si>
  <si>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</si>
  <si>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</si>
  <si>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</si>
  <si>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</si>
  <si>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</si>
  <si>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</si>
  <si>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</si>
  <si>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</si>
  <si>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</si>
  <si>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</si>
  <si>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</si>
  <si>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</si>
  <si>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</si>
  <si>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</si>
  <si>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</si>
  <si>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</si>
  <si>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</si>
  <si>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</si>
  <si>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</si>
  <si>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</si>
  <si>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</si>
  <si>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</si>
  <si>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</si>
  <si>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</si>
  <si>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</si>
  <si>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</si>
  <si>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</si>
  <si>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</si>
  <si>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</si>
  <si>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</si>
  <si>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</si>
  <si>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</si>
  <si>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</si>
  <si>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</si>
  <si>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</si>
  <si>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</si>
  <si>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</si>
  <si>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</si>
  <si>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</si>
  <si>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</si>
  <si>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</si>
  <si>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</si>
  <si>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</si>
  <si>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</si>
  <si>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</si>
  <si>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</si>
  <si>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</si>
  <si>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</si>
  <si>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</si>
  <si>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</si>
  <si>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</si>
  <si>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</si>
  <si>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</si>
  <si>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</si>
  <si>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</si>
  <si>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</si>
  <si>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</si>
  <si>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</si>
  <si>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</si>
  <si>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</si>
  <si>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</si>
  <si>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</si>
  <si>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</si>
  <si>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</si>
  <si>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</si>
  <si>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</si>
  <si>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</si>
  <si>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</si>
  <si>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</si>
  <si>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</si>
  <si>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</si>
  <si>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</si>
  <si>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</si>
  <si>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</si>
  <si>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</si>
  <si>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</si>
  <si>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</si>
  <si>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</si>
  <si>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</si>
  <si>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</si>
  <si>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</si>
  <si>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</si>
  <si>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</si>
  <si>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</si>
  <si>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</si>
  <si>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</si>
  <si>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</si>
  <si>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</si>
  <si>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</si>
  <si>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</si>
  <si>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</si>
  <si>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</si>
  <si>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</si>
  <si>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</si>
  <si>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</si>
  <si>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</si>
  <si>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</si>
  <si>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</si>
  <si>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</si>
  <si>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</si>
  <si>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</si>
  <si>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</si>
  <si>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</si>
  <si>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</si>
  <si>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</si>
  <si>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</si>
  <si>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</si>
  <si>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</si>
  <si>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</si>
  <si>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</si>
  <si>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</si>
  <si>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</si>
  <si>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</si>
  <si>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</si>
  <si>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</si>
  <si>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</si>
  <si>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</si>
  <si>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</si>
  <si>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</si>
  <si>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</si>
  <si>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</si>
  <si>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</si>
  <si>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</si>
  <si>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</si>
  <si>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</si>
  <si>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</si>
  <si>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</si>
  <si>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</si>
  <si>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</si>
  <si>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</si>
  <si>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</si>
  <si>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</si>
  <si>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</si>
  <si>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</si>
  <si>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</si>
  <si>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</si>
  <si>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</si>
  <si>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</si>
  <si>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</si>
  <si>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</si>
  <si>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</si>
  <si>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</si>
  <si>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</si>
  <si>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</si>
  <si>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</si>
  <si>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</si>
  <si>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</si>
  <si>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</si>
  <si>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</si>
  <si>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</si>
  <si>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</si>
  <si>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</si>
  <si>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</si>
  <si>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</si>
  <si>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</si>
  <si>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</si>
  <si>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</si>
  <si>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</si>
  <si>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</si>
  <si>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</si>
  <si>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</si>
  <si>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</si>
  <si>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</si>
  <si>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</si>
  <si>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</si>
  <si>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</si>
  <si>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</si>
  <si>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</si>
  <si>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</si>
  <si>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</si>
  <si>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</si>
  <si>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</si>
  <si>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</si>
  <si>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</si>
  <si>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</si>
  <si>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</si>
  <si>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</si>
  <si>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</si>
  <si>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</si>
  <si>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</si>
  <si>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</si>
  <si>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</si>
  <si>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</si>
  <si>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</si>
  <si>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</si>
  <si>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</si>
  <si>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</si>
  <si>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</si>
  <si>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</si>
  <si>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</si>
  <si>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</si>
  <si>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</si>
  <si>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</si>
  <si>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</si>
  <si>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</si>
  <si>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</si>
  <si>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</si>
  <si>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</si>
  <si>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</si>
  <si>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</si>
  <si>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</si>
  <si>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</si>
  <si>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</si>
  <si>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</si>
  <si>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</si>
  <si>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</si>
  <si>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</si>
  <si>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</si>
  <si>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</si>
  <si>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</si>
  <si>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</si>
  <si>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</si>
  <si>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</si>
  <si>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</si>
  <si>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</si>
  <si>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</si>
  <si>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</si>
  <si>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</si>
  <si>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</si>
  <si>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</si>
  <si>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</si>
  <si>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</si>
  <si>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</si>
  <si>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</si>
  <si>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</si>
  <si>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</si>
  <si>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</si>
  <si>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</si>
  <si>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</si>
  <si>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</si>
  <si>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</si>
  <si>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</si>
  <si>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</si>
  <si>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</si>
  <si>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</si>
  <si>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</si>
  <si>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</si>
  <si>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</si>
  <si>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</si>
  <si>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</si>
  <si>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</si>
  <si>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</si>
  <si>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</si>
  <si>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</si>
  <si>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</si>
  <si>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</si>
  <si>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</si>
  <si>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</si>
  <si>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</si>
  <si>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</si>
  <si>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</si>
  <si>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</si>
  <si>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</si>
  <si>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</si>
  <si>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</si>
  <si>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</si>
  <si>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</si>
  <si>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</si>
  <si>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</si>
  <si>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</si>
  <si>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</si>
  <si>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</si>
  <si>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</si>
  <si>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</si>
  <si>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</si>
  <si>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</si>
  <si>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</si>
  <si>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</si>
  <si>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</si>
  <si>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</si>
  <si>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</si>
  <si>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</si>
  <si>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</si>
  <si>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</si>
  <si>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</si>
  <si>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</si>
  <si>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</si>
  <si>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</si>
  <si>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</si>
  <si>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</si>
  <si>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</si>
  <si>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</si>
  <si>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</si>
  <si>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</si>
  <si>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</si>
  <si>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</si>
  <si>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</si>
  <si>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</si>
  <si>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</si>
  <si>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</si>
  <si>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</si>
  <si>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</si>
  <si>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</si>
  <si>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</si>
  <si>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</si>
  <si>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</si>
  <si>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</si>
  <si>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</si>
  <si>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</si>
  <si>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</si>
  <si>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</si>
  <si>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</si>
  <si>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</si>
  <si>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</si>
  <si>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</si>
  <si>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</si>
  <si>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</si>
  <si>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</si>
  <si>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</si>
  <si>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</si>
  <si>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</si>
  <si>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</si>
  <si>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</si>
  <si>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</si>
  <si>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</si>
  <si>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</si>
  <si>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</si>
  <si>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</si>
  <si>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</si>
  <si>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</si>
  <si>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</si>
  <si>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</si>
  <si>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</si>
  <si>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</si>
  <si>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</si>
  <si>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</si>
  <si>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</si>
  <si>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</si>
  <si>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</si>
  <si>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</si>
  <si>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</si>
  <si>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</si>
  <si>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</si>
  <si>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</si>
  <si>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</si>
  <si>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</si>
  <si>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</si>
  <si>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</si>
  <si>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</si>
  <si>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</si>
  <si>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</si>
  <si>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</si>
  <si>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</si>
  <si>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</si>
  <si>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</si>
  <si>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</si>
  <si>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</si>
  <si>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</si>
  <si>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</si>
  <si>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</si>
  <si>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</si>
  <si>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</si>
  <si>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</si>
  <si>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</si>
  <si>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</si>
  <si>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</si>
  <si>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</si>
  <si>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</si>
  <si>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</si>
  <si>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</si>
  <si>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</si>
  <si>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</si>
  <si>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</si>
  <si>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</si>
  <si>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</si>
  <si>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</si>
  <si>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</si>
  <si>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</si>
  <si>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</si>
  <si>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</si>
  <si>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</si>
  <si>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</si>
  <si>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</si>
  <si>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</si>
  <si>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</si>
  <si>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</si>
  <si>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</si>
  <si>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</si>
  <si>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</si>
  <si>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</si>
  <si>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</si>
  <si>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</si>
  <si>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</si>
  <si>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</si>
  <si>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</si>
  <si>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</si>
  <si>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</si>
  <si>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</si>
  <si>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</si>
  <si>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</si>
  <si>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</si>
  <si>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</si>
  <si>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</si>
  <si>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</si>
  <si>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</si>
  <si>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</si>
  <si>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</si>
  <si>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</si>
  <si>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</si>
  <si>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</si>
  <si>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</si>
  <si>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</si>
  <si>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</si>
  <si>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</si>
  <si>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</si>
  <si>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</si>
  <si>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</si>
  <si>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</si>
  <si>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</si>
  <si>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</si>
  <si>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</si>
  <si>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</si>
  <si>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</si>
  <si>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</si>
  <si>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</si>
  <si>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</si>
  <si>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</si>
  <si>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</si>
  <si>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</si>
  <si>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</si>
  <si>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</si>
  <si>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</si>
  <si>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</si>
  <si>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</si>
  <si>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</si>
  <si>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</si>
  <si>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</si>
  <si>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</si>
  <si>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</si>
  <si>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</si>
  <si>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</si>
  <si>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</si>
  <si>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</si>
  <si>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</si>
  <si>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</si>
  <si>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</si>
  <si>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</si>
  <si>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</si>
  <si>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</si>
  <si>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</si>
  <si>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</si>
  <si>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</si>
  <si>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</si>
  <si>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</si>
  <si>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</si>
  <si>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</si>
  <si>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</si>
  <si>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</si>
  <si>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</si>
  <si>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</si>
  <si>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</si>
  <si>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</si>
  <si>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</si>
  <si>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</si>
  <si>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</si>
  <si>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</si>
  <si>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</si>
  <si>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</si>
  <si>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</si>
  <si>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</si>
  <si>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</si>
  <si>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</si>
  <si>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</si>
  <si>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</si>
  <si>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</si>
  <si>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</si>
  <si>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</si>
  <si>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</si>
  <si>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</si>
  <si>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</si>
  <si>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</si>
  <si>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</si>
  <si>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</si>
  <si>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</si>
  <si>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</si>
  <si>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</si>
  <si>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</si>
  <si>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</si>
  <si>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</si>
  <si>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</si>
  <si>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</si>
  <si>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</si>
  <si>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</si>
  <si>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</si>
  <si>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</si>
  <si>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</si>
  <si>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</si>
  <si>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</si>
  <si>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</si>
  <si>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</si>
  <si>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</si>
  <si>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</si>
  <si>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</si>
  <si>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</si>
  <si>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</si>
  <si>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</si>
  <si>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</si>
  <si>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</si>
  <si>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</si>
  <si>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</si>
  <si>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</si>
  <si>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</si>
  <si>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</si>
  <si>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</si>
  <si>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</si>
  <si>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</si>
  <si>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</si>
  <si>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</si>
  <si>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</si>
  <si>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</si>
  <si>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</si>
  <si>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</si>
  <si>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</si>
  <si>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</si>
  <si>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</si>
  <si>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</si>
  <si>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</si>
  <si>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</si>
  <si>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</si>
  <si>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</si>
  <si>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</si>
  <si>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</si>
  <si>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</si>
  <si>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</si>
  <si>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</si>
  <si>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</si>
  <si>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</si>
  <si>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</si>
  <si>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</si>
  <si>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</si>
  <si>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</si>
  <si>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</si>
  <si>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</si>
  <si>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</si>
  <si>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</si>
  <si>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</si>
  <si>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</si>
  <si>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</si>
  <si>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</si>
  <si>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</si>
  <si>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</si>
  <si>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</si>
  <si>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</si>
  <si>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</si>
  <si>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</si>
  <si>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</si>
  <si>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</si>
  <si>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</si>
  <si>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</si>
  <si>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</si>
  <si>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</si>
  <si>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</si>
  <si>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</si>
  <si>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</si>
  <si>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</si>
  <si>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</si>
  <si>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</si>
  <si>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</si>
  <si>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</si>
  <si>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</si>
  <si>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</si>
  <si>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</si>
  <si>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</si>
  <si>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</si>
  <si>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</si>
  <si>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</si>
  <si>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</si>
  <si>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</si>
  <si>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</si>
  <si>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</si>
  <si>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</si>
  <si>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</si>
  <si>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</si>
  <si>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</si>
  <si>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</si>
  <si>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</si>
  <si>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</si>
  <si>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</si>
  <si>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</si>
  <si>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</si>
  <si>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</si>
  <si>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</si>
  <si>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</si>
  <si>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</si>
  <si>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</si>
  <si>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</si>
  <si>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</si>
  <si>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</si>
  <si>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</si>
  <si>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</si>
  <si>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</si>
  <si>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</si>
  <si>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</si>
  <si>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</si>
  <si>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</si>
  <si>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</si>
  <si>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</si>
  <si>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</si>
  <si>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</si>
  <si>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</si>
  <si>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</si>
  <si>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</si>
  <si>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</si>
  <si>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</si>
  <si>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</si>
  <si>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</si>
  <si>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</si>
  <si>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</si>
  <si>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</si>
  <si>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</si>
  <si>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</si>
  <si>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</si>
  <si>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</si>
  <si>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</si>
  <si>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</si>
  <si>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</si>
  <si>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</si>
  <si>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</si>
  <si>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</si>
  <si>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</si>
  <si>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</si>
  <si>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</si>
  <si>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</si>
  <si>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</si>
  <si>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</si>
  <si>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</si>
  <si>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</si>
  <si>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</si>
  <si>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</si>
  <si>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</si>
  <si>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</si>
  <si>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</si>
  <si>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</si>
  <si>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</si>
  <si>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</si>
  <si>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</si>
  <si>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</si>
  <si>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</si>
  <si>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</si>
  <si>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</si>
  <si>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</si>
  <si>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</si>
  <si>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</si>
  <si>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</si>
  <si>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</si>
  <si>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</si>
  <si>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</si>
  <si>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</si>
  <si>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</si>
  <si>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</si>
  <si>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</si>
  <si>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</si>
  <si>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</si>
  <si>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</si>
  <si>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</si>
  <si>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</si>
  <si>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</si>
  <si>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</si>
  <si>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</si>
  <si>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</si>
  <si>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</si>
  <si>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</si>
  <si>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</si>
  <si>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</si>
  <si>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</si>
  <si>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</si>
  <si>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</si>
  <si>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</si>
  <si>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</si>
  <si>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</si>
  <si>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</si>
  <si>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</si>
  <si>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</si>
  <si>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</si>
  <si>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</si>
  <si>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</si>
  <si>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</si>
  <si>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</si>
  <si>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</si>
  <si>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</si>
  <si>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</si>
  <si>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</si>
  <si>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</si>
  <si>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</si>
  <si>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</si>
  <si>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</si>
  <si>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</si>
  <si>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</si>
  <si>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</si>
  <si>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</si>
  <si>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</si>
  <si>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</si>
  <si>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</si>
  <si>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</si>
  <si>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</si>
  <si>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</si>
  <si>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</si>
  <si>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</si>
  <si>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</si>
  <si>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</si>
  <si>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</si>
  <si>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</si>
  <si>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</si>
  <si>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</si>
  <si>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</si>
  <si>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</si>
  <si>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</si>
  <si>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</si>
  <si>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</si>
  <si>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</si>
  <si>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</si>
  <si>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</si>
  <si>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</si>
  <si>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</si>
  <si>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</si>
  <si>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</si>
  <si>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</si>
  <si>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</si>
  <si>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</si>
  <si>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</si>
  <si>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</si>
  <si>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</si>
  <si>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</si>
  <si>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</si>
  <si>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</si>
  <si>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</si>
  <si>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</si>
  <si>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</si>
  <si>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</si>
  <si>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</si>
  <si>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</si>
  <si>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</si>
  <si>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</si>
  <si>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</si>
  <si>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</si>
  <si>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</si>
  <si>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</si>
  <si>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</si>
  <si>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</si>
  <si>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</si>
  <si>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</si>
  <si>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</si>
  <si>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</si>
  <si>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</si>
  <si>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</si>
  <si>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</si>
  <si>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</si>
  <si>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</si>
  <si>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</si>
  <si>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</si>
  <si>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</si>
  <si>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</si>
  <si>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</si>
  <si>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</si>
  <si>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</si>
  <si>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</si>
  <si>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</si>
  <si>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</si>
  <si>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</si>
  <si>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</si>
  <si>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</si>
  <si>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</si>
  <si>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</si>
  <si>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</si>
  <si>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</si>
  <si>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</si>
  <si>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</si>
  <si>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</si>
  <si>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</si>
  <si>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</si>
  <si>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</si>
  <si>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</si>
  <si>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</si>
  <si>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</si>
  <si>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</si>
  <si>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</si>
  <si>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</si>
  <si>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</si>
  <si>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</si>
  <si>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</si>
  <si>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</si>
  <si>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</si>
  <si>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</si>
  <si>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</si>
  <si>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</si>
  <si>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</si>
  <si>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</si>
  <si>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</si>
  <si>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</si>
  <si>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</si>
  <si>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</si>
  <si>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</si>
  <si>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</si>
  <si>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</si>
  <si>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</si>
  <si>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</si>
  <si>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</si>
  <si>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</si>
  <si>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</si>
  <si>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</si>
  <si>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</si>
  <si>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</si>
  <si>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</si>
  <si>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</si>
  <si>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</si>
  <si>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</si>
  <si>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</si>
  <si>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</si>
  <si>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</si>
  <si>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</si>
  <si>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</si>
  <si>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</si>
  <si>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</si>
  <si>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</si>
  <si>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</si>
  <si>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</si>
  <si>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</si>
  <si>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</si>
  <si>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</si>
  <si>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</si>
  <si>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</si>
  <si>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</si>
  <si>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</si>
  <si>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</si>
  <si>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</si>
  <si>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</si>
  <si>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</si>
  <si>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</si>
  <si>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</si>
  <si>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</si>
  <si>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</si>
  <si>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</si>
  <si>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</si>
  <si>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</si>
  <si>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</si>
  <si>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</si>
  <si>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</si>
  <si>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</si>
  <si>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</si>
  <si>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</si>
  <si>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</si>
  <si>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</si>
  <si>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</si>
  <si>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</si>
  <si>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</si>
  <si>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</si>
  <si>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</si>
  <si>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</si>
  <si>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</si>
  <si>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</si>
  <si>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</si>
  <si>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</si>
  <si>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</si>
  <si>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</si>
  <si>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</si>
  <si>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</si>
  <si>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</si>
  <si>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</si>
  <si>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</si>
  <si>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</si>
  <si>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</si>
  <si>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</si>
  <si>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</si>
  <si>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</si>
  <si>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</si>
  <si>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</si>
  <si>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</si>
  <si>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</si>
  <si>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</si>
  <si>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</si>
  <si>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</si>
  <si>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</si>
  <si>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</si>
  <si>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</si>
  <si>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</si>
  <si>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</si>
  <si>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</si>
  <si>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</si>
  <si>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</si>
  <si>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</si>
  <si>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</si>
  <si>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</si>
  <si>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</si>
  <si>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</si>
  <si>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</si>
  <si>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</si>
  <si>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</si>
  <si>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</si>
  <si>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</si>
  <si>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</si>
  <si>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</si>
  <si>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</si>
  <si>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</si>
  <si>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</si>
  <si>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</si>
  <si>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</si>
  <si>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</si>
  <si>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</si>
  <si>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</si>
  <si>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</si>
  <si>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</si>
  <si>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</si>
  <si>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</si>
  <si>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</si>
  <si>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</si>
  <si>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</si>
  <si>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</si>
  <si>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</si>
  <si>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</si>
  <si>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</si>
  <si>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</si>
  <si>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</si>
  <si>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</si>
  <si>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</si>
  <si>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</si>
  <si>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</si>
  <si>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</si>
  <si>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</si>
  <si>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</si>
  <si>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</si>
  <si>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</si>
  <si>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</si>
  <si>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</si>
  <si>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</si>
  <si>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</si>
  <si>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</si>
  <si>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</si>
  <si>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</si>
  <si>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</si>
  <si>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</si>
  <si>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</si>
  <si>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</si>
  <si>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</si>
  <si>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</si>
  <si>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</si>
  <si>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</si>
  <si>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</si>
  <si>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</si>
  <si>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</si>
  <si>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</si>
  <si>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</si>
  <si>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</si>
  <si>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</si>
  <si>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</si>
  <si>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</si>
  <si>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</si>
  <si>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</si>
  <si>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</si>
  <si>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</si>
  <si>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</si>
  <si>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</si>
  <si>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</si>
  <si>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</si>
  <si>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</si>
  <si>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</si>
  <si>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</si>
  <si>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</si>
  <si>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</si>
  <si>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</si>
  <si>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</si>
  <si>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</si>
  <si>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</si>
  <si>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</si>
  <si>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</si>
  <si>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</si>
  <si>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</si>
  <si>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</si>
  <si>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</si>
  <si>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</si>
  <si>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</si>
  <si>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</si>
  <si>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</si>
  <si>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</si>
  <si>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</si>
  <si>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</si>
  <si>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</si>
  <si>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</si>
  <si>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</si>
  <si>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</si>
  <si>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</si>
  <si>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</si>
  <si>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</si>
  <si>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</si>
  <si>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</si>
  <si>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</si>
  <si>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</si>
  <si>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</si>
  <si>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</si>
  <si>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</si>
  <si>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</si>
  <si>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</si>
  <si>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</si>
  <si>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</si>
  <si>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</si>
  <si>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</si>
  <si>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</si>
  <si>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</si>
  <si>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</si>
  <si>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</si>
  <si>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</si>
  <si>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</si>
  <si>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</si>
  <si>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</si>
  <si>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</si>
  <si>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</si>
  <si>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</si>
  <si>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</si>
  <si>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</si>
  <si>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</si>
  <si>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</si>
  <si>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</si>
  <si>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</si>
  <si>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</si>
  <si>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</si>
  <si>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</si>
  <si>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</si>
  <si>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</si>
  <si>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</si>
  <si>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</si>
  <si>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</si>
  <si>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</si>
  <si>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</si>
  <si>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</si>
  <si>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</si>
  <si>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</si>
  <si>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</si>
  <si>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</si>
  <si>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</si>
  <si>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</si>
  <si>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</si>
  <si>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</si>
  <si>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</si>
  <si>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</si>
  <si>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</si>
  <si>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</si>
  <si>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</si>
  <si>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</si>
  <si>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</si>
  <si>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</si>
  <si>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</si>
  <si>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</si>
  <si>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</si>
  <si>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</si>
  <si>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</si>
  <si>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</si>
  <si>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</si>
  <si>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</si>
  <si>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</si>
  <si>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</si>
  <si>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</si>
  <si>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</si>
  <si>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</si>
  <si>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</si>
  <si>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</si>
  <si>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</si>
  <si>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</si>
  <si>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</si>
  <si>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</si>
  <si>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</si>
  <si>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</si>
  <si>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</si>
  <si>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</si>
  <si>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</si>
  <si>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</si>
  <si>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</si>
  <si>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</si>
  <si>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</si>
  <si>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</si>
  <si>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</si>
  <si>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</si>
  <si>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</si>
  <si>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</si>
  <si>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</si>
  <si>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</si>
  <si>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</si>
  <si>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</si>
  <si>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</si>
  <si>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</si>
  <si>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</si>
  <si>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</si>
  <si>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</si>
  <si>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</si>
  <si>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</si>
  <si>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</si>
  <si>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</si>
  <si>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</si>
  <si>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</si>
  <si>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</si>
  <si>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</si>
  <si>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</si>
  <si>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</si>
  <si>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</si>
  <si>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</si>
  <si>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</si>
  <si>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</si>
  <si>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</si>
  <si>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</si>
  <si>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</si>
  <si>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</si>
  <si>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</si>
  <si>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</si>
  <si>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</si>
  <si>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</si>
  <si>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</si>
  <si>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</si>
  <si>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</si>
  <si>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</si>
  <si>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</si>
  <si>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</si>
  <si>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</si>
  <si>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</si>
  <si>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</si>
  <si>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</si>
  <si>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</si>
  <si>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</si>
  <si>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</si>
  <si>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</si>
  <si>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</si>
  <si>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</si>
  <si>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</si>
  <si>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</si>
  <si>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</si>
  <si>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</si>
  <si>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</si>
  <si>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</si>
  <si>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</si>
  <si>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</si>
  <si>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</si>
  <si>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</si>
  <si>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</si>
  <si>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</si>
  <si>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</si>
  <si>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</si>
  <si>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</si>
  <si>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</si>
  <si>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</si>
  <si>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</si>
  <si>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</si>
  <si>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</si>
  <si>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</si>
  <si>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</si>
  <si>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</si>
  <si>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</si>
  <si>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</si>
  <si>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</si>
  <si>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</si>
  <si>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</si>
  <si>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</si>
  <si>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</si>
  <si>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</si>
  <si>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</si>
  <si>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</si>
  <si>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</si>
  <si>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</si>
  <si>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</si>
  <si>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</si>
  <si>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</si>
  <si>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</si>
  <si>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</si>
  <si>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</si>
  <si>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</si>
  <si>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</si>
  <si>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</si>
  <si>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</si>
  <si>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</si>
  <si>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</si>
  <si>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</si>
  <si>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</si>
  <si>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</si>
  <si>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</si>
  <si>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</si>
  <si>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</si>
  <si>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</si>
  <si>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</si>
  <si>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</si>
  <si>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</si>
  <si>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</si>
  <si>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</si>
  <si>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</si>
  <si>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</si>
  <si>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</si>
  <si>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</si>
  <si>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</si>
  <si>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</si>
  <si>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</si>
  <si>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</si>
  <si>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</si>
  <si>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</si>
  <si>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</si>
  <si>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</si>
  <si>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</si>
  <si>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</si>
  <si>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</si>
  <si>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</si>
  <si>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</si>
  <si>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</si>
  <si>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</si>
  <si>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</si>
  <si>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</si>
  <si>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</si>
  <si>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</si>
  <si>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</si>
  <si>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</si>
  <si>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</si>
  <si>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</si>
  <si>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</si>
  <si>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</si>
  <si>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</si>
  <si>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</si>
  <si>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</si>
  <si>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</si>
  <si>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</si>
  <si>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</si>
  <si>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</si>
  <si>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</si>
  <si>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</si>
  <si>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</si>
  <si>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</si>
  <si>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</si>
  <si>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</si>
  <si>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</si>
  <si>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</si>
  <si>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</si>
  <si>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</si>
  <si>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</si>
  <si>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</si>
  <si>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</si>
  <si>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</si>
  <si>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</si>
  <si>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</si>
  <si>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</si>
  <si>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</si>
  <si>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</si>
  <si>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</si>
  <si>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</si>
  <si>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</si>
  <si>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</si>
  <si>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</si>
  <si>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</si>
  <si>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</si>
  <si>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</si>
  <si>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</si>
  <si>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</si>
  <si>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</si>
  <si>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</si>
  <si>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</si>
  <si>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</si>
  <si>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</si>
  <si>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</si>
  <si>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</si>
  <si>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</si>
  <si>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</si>
  <si>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</si>
  <si>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</si>
  <si>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</si>
  <si>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</si>
  <si>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</si>
  <si>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</si>
  <si>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</si>
  <si>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</si>
  <si>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</si>
  <si>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</si>
  <si>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</si>
  <si>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</si>
  <si>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</si>
  <si>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</si>
  <si>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</si>
  <si>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</si>
  <si>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</si>
  <si>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</si>
  <si>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</si>
  <si>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</si>
  <si>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</si>
  <si>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</si>
  <si>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</si>
  <si>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</si>
  <si>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</si>
  <si>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</si>
  <si>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</si>
  <si>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</si>
  <si>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</si>
  <si>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</si>
  <si>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</si>
  <si>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</si>
  <si>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</si>
  <si>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</si>
  <si>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</si>
  <si>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</si>
  <si>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</si>
  <si>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</si>
  <si>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</si>
  <si>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</si>
  <si>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</si>
  <si>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</si>
  <si>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</si>
  <si>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</si>
  <si>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</si>
  <si>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</si>
  <si>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</si>
  <si>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</si>
  <si>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</si>
  <si>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</si>
  <si>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</si>
  <si>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</si>
  <si>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</si>
  <si>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</si>
  <si>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</si>
  <si>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</si>
  <si>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</si>
  <si>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</si>
  <si>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</si>
  <si>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</si>
  <si>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</si>
  <si>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</si>
  <si>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</si>
  <si>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</si>
  <si>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</si>
  <si>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</si>
  <si>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</si>
  <si>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</si>
  <si>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</si>
  <si>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</si>
  <si>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</si>
  <si>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</si>
  <si>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</si>
  <si>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</si>
  <si>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</si>
  <si>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</si>
  <si>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</si>
  <si>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</si>
  <si>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</si>
  <si>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</si>
  <si>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</si>
  <si>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</si>
  <si>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</si>
  <si>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</si>
  <si>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</si>
  <si>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</si>
  <si>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</si>
  <si>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</si>
  <si>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</si>
  <si>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</si>
  <si>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</si>
  <si>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</si>
  <si>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</si>
  <si>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</si>
  <si>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</si>
  <si>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</si>
  <si>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</si>
  <si>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</si>
  <si>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</si>
  <si>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</si>
  <si>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</si>
  <si>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</si>
  <si>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</si>
  <si>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</si>
  <si>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</si>
  <si>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</si>
  <si>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</si>
  <si>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</si>
  <si>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</si>
  <si>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</si>
  <si>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</si>
  <si>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</si>
  <si>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</si>
  <si>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</si>
  <si>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</si>
  <si>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</si>
  <si>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</si>
  <si>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</si>
  <si>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</si>
  <si>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</si>
  <si>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</si>
  <si>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</si>
  <si>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</si>
  <si>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</si>
  <si>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</si>
  <si>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</si>
  <si>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</si>
  <si>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</si>
  <si>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</si>
  <si>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</si>
  <si>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</si>
  <si>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</si>
  <si>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</si>
  <si>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</si>
  <si>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</si>
  <si>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</si>
  <si>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</si>
  <si>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</si>
  <si>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</si>
  <si>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</si>
  <si>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</si>
  <si>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</si>
  <si>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</si>
  <si>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</si>
  <si>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</si>
  <si>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</si>
  <si>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</si>
  <si>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</si>
  <si>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</si>
  <si>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</si>
  <si>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</si>
  <si>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</si>
  <si>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</si>
  <si>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</si>
  <si>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</si>
  <si>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</si>
  <si>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</si>
  <si>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</si>
  <si>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</si>
  <si>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</si>
  <si>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</si>
  <si>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</si>
  <si>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</si>
  <si>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</si>
  <si>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</si>
  <si>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</si>
  <si>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</si>
  <si>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</si>
  <si>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</si>
  <si>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</si>
  <si>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</si>
  <si>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</si>
  <si>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</si>
  <si>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</si>
  <si>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</si>
  <si>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</si>
  <si>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</si>
  <si>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</si>
  <si>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</si>
  <si>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</si>
  <si>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</si>
  <si>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</si>
  <si>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</si>
  <si>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</si>
  <si>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</si>
  <si>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</si>
  <si>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</si>
  <si>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</si>
  <si>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</si>
  <si>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</si>
  <si>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</si>
  <si>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</si>
  <si>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</si>
  <si>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</si>
  <si>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</si>
  <si>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</si>
  <si>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</si>
  <si>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</si>
  <si>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</si>
  <si>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</si>
  <si>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</si>
  <si>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</si>
  <si>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</si>
  <si>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</si>
  <si>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</si>
  <si>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</si>
  <si>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</si>
  <si>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</si>
  <si>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</si>
  <si>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</si>
  <si>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</si>
  <si>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</si>
  <si>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</si>
  <si>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</si>
  <si>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</si>
  <si>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</si>
  <si>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</si>
  <si>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</si>
  <si>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</si>
  <si>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</si>
  <si>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</si>
  <si>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</si>
  <si>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</si>
  <si>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</si>
  <si>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</si>
  <si>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</si>
  <si>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</si>
  <si>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</si>
  <si>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</si>
  <si>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</si>
  <si>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</si>
  <si>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</si>
  <si>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</si>
  <si>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</si>
  <si>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</si>
  <si>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</si>
  <si>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</si>
  <si>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</si>
  <si>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</si>
  <si>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</si>
  <si>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</si>
  <si>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</si>
  <si>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</si>
  <si>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</si>
  <si>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</si>
  <si>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</si>
  <si>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</si>
  <si>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</si>
  <si>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</si>
  <si>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</si>
  <si>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</si>
  <si>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</si>
  <si>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</si>
  <si>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</si>
  <si>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</si>
  <si>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</si>
  <si>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</si>
  <si>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</si>
  <si>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</si>
  <si>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</si>
  <si>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</si>
  <si>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</si>
  <si>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</si>
  <si>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</si>
  <si>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</si>
  <si>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</si>
  <si>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</si>
  <si>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</si>
  <si>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</si>
  <si>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</si>
  <si>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</si>
  <si>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</si>
  <si>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</si>
  <si>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</si>
  <si>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</si>
  <si>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</si>
  <si>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</si>
  <si>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</si>
  <si>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</si>
  <si>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</si>
  <si>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</si>
  <si>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</si>
  <si>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</si>
  <si>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</si>
  <si>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</si>
  <si>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</si>
  <si>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</si>
  <si>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</si>
  <si>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</si>
  <si>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</si>
  <si>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</si>
  <si>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</si>
  <si>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</si>
  <si>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</si>
  <si>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</si>
  <si>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</si>
  <si>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</si>
  <si>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</si>
  <si>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</si>
  <si>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</si>
  <si>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</si>
  <si>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</si>
  <si>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</si>
  <si>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</si>
  <si>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</si>
  <si>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</si>
  <si>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</si>
  <si>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</si>
  <si>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</si>
  <si>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</si>
  <si>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</si>
  <si>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</si>
  <si>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</si>
  <si>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</si>
  <si>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</si>
  <si>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</si>
  <si>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</si>
  <si>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</si>
  <si>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</si>
  <si>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</si>
  <si>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</si>
  <si>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</si>
  <si>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t>商业</t>
    <phoneticPr fontId="4" type="noConversion"/>
  </si>
  <si>
    <t>办公</t>
    <phoneticPr fontId="4" type="noConversion"/>
  </si>
  <si>
    <t>地下车库</t>
    <phoneticPr fontId="4" type="noConversion"/>
  </si>
  <si>
    <t>是</t>
  </si>
  <si>
    <t>地上</t>
  </si>
  <si>
    <t>地下</t>
  </si>
  <si>
    <t>车库—办公</t>
  </si>
  <si>
    <t>成新度</t>
  </si>
  <si>
    <t>序号</t>
  </si>
  <si>
    <t>部位及</t>
  </si>
  <si>
    <t>建筑面积(m²)</t>
  </si>
  <si>
    <t>总层数</t>
  </si>
  <si>
    <t>所在层</t>
  </si>
  <si>
    <t>规划用途</t>
  </si>
  <si>
    <t>实际用途</t>
  </si>
  <si>
    <t>结构</t>
  </si>
  <si>
    <t>房号</t>
  </si>
  <si>
    <t>15(-03)</t>
  </si>
  <si>
    <t>-2层</t>
  </si>
  <si>
    <t>汽车库</t>
  </si>
  <si>
    <t>钢混</t>
  </si>
  <si>
    <t>-1层</t>
  </si>
  <si>
    <t>商业用房</t>
  </si>
  <si>
    <t>1层</t>
  </si>
  <si>
    <t>2层</t>
  </si>
  <si>
    <t>3层</t>
  </si>
  <si>
    <t>4层</t>
  </si>
  <si>
    <t>5层</t>
  </si>
  <si>
    <t>6层</t>
  </si>
  <si>
    <t>7层</t>
  </si>
  <si>
    <t>8层</t>
  </si>
  <si>
    <t>9层</t>
  </si>
  <si>
    <t>10层</t>
  </si>
  <si>
    <t>11层</t>
  </si>
  <si>
    <t>12层</t>
  </si>
  <si>
    <t>13层</t>
  </si>
  <si>
    <t>14层</t>
  </si>
  <si>
    <t>15层</t>
  </si>
  <si>
    <t>合计</t>
  </si>
  <si>
    <t>未包含在土地购买价格中</t>
  </si>
  <si>
    <t>已包含在土地取得成本中</t>
  </si>
  <si>
    <t>全部缴纳</t>
  </si>
  <si>
    <t>宗地容积率</t>
  </si>
  <si>
    <t>不临65条商业街</t>
  </si>
  <si>
    <t>与级别开发程度一致</t>
  </si>
  <si>
    <t>楼层修正</t>
  </si>
  <si>
    <t>商务金融用地</t>
  </si>
  <si>
    <t>较好</t>
  </si>
  <si>
    <t>一般</t>
  </si>
  <si>
    <t>现房</t>
  </si>
  <si>
    <t>项目全部</t>
  </si>
  <si>
    <t>成本法</t>
  </si>
  <si>
    <t>总价</t>
  </si>
  <si>
    <t>成本比率</t>
  </si>
  <si>
    <t>承租方名称</t>
    <phoneticPr fontId="135" type="noConversion"/>
  </si>
  <si>
    <t>楼层（自然层）</t>
    <phoneticPr fontId="135" type="noConversion"/>
  </si>
  <si>
    <t>房间号</t>
    <phoneticPr fontId="135" type="noConversion"/>
  </si>
  <si>
    <t>签约建筑面积（平方米）</t>
    <phoneticPr fontId="135" type="noConversion"/>
  </si>
  <si>
    <t>年租金</t>
    <phoneticPr fontId="135" type="noConversion"/>
  </si>
  <si>
    <t>物业费</t>
    <phoneticPr fontId="135" type="noConversion"/>
  </si>
  <si>
    <t>价格</t>
    <phoneticPr fontId="135" type="noConversion"/>
  </si>
  <si>
    <t>租赁期限</t>
    <phoneticPr fontId="135" type="noConversion"/>
  </si>
  <si>
    <t>押金</t>
    <phoneticPr fontId="135" type="noConversion"/>
  </si>
  <si>
    <t>递增</t>
    <phoneticPr fontId="135" type="noConversion"/>
  </si>
  <si>
    <t>年租</t>
  </si>
  <si>
    <t>交通银行</t>
    <phoneticPr fontId="135" type="noConversion"/>
  </si>
  <si>
    <t>1、2、3层</t>
    <phoneticPr fontId="135" type="noConversion"/>
  </si>
  <si>
    <t>101-01、101-02、201-2060、301-3092</t>
    <phoneticPr fontId="135" type="noConversion"/>
  </si>
  <si>
    <t>1层商业，2、3办公</t>
    <phoneticPr fontId="135" type="noConversion"/>
  </si>
  <si>
    <t>7280431元</t>
    <phoneticPr fontId="135" type="noConversion"/>
  </si>
  <si>
    <t>1元/天/平米</t>
    <phoneticPr fontId="135" type="noConversion"/>
  </si>
  <si>
    <t>11.55元/天/平米</t>
    <phoneticPr fontId="135" type="noConversion"/>
  </si>
  <si>
    <t>2017年12月1日至2032年11月30日</t>
    <phoneticPr fontId="135" type="noConversion"/>
  </si>
  <si>
    <t>无</t>
    <phoneticPr fontId="135" type="noConversion"/>
  </si>
  <si>
    <t>每5年递增5%</t>
    <phoneticPr fontId="135" type="noConversion"/>
  </si>
  <si>
    <t>元</t>
  </si>
  <si>
    <t>江苏银行</t>
    <phoneticPr fontId="135" type="noConversion"/>
  </si>
  <si>
    <t>1层</t>
    <phoneticPr fontId="135" type="noConversion"/>
  </si>
  <si>
    <t>105、106</t>
    <phoneticPr fontId="135" type="noConversion"/>
  </si>
  <si>
    <t>商业</t>
    <phoneticPr fontId="135" type="noConversion"/>
  </si>
  <si>
    <t>4721546.93元</t>
    <phoneticPr fontId="135" type="noConversion"/>
  </si>
  <si>
    <t>1.2元/天/平米</t>
    <phoneticPr fontId="135" type="noConversion"/>
  </si>
  <si>
    <t>16.85元/天/平米</t>
    <phoneticPr fontId="135" type="noConversion"/>
  </si>
  <si>
    <t>2018年8月1日至2028年7月31日</t>
    <phoneticPr fontId="135" type="noConversion"/>
  </si>
  <si>
    <t>每3年递增6%</t>
    <phoneticPr fontId="135" type="noConversion"/>
  </si>
  <si>
    <t>工商银行</t>
    <phoneticPr fontId="135" type="noConversion"/>
  </si>
  <si>
    <t>109、010、011</t>
    <phoneticPr fontId="135" type="noConversion"/>
  </si>
  <si>
    <t>3907100.16元</t>
    <phoneticPr fontId="135" type="noConversion"/>
  </si>
  <si>
    <t>13.8元/天/平米</t>
    <phoneticPr fontId="135" type="noConversion"/>
  </si>
  <si>
    <t>2020年10月15日至2031年1月14日</t>
    <phoneticPr fontId="135" type="noConversion"/>
  </si>
  <si>
    <t>第六年开始递增4.7%</t>
    <phoneticPr fontId="135" type="noConversion"/>
  </si>
  <si>
    <t>梦想蜂</t>
    <phoneticPr fontId="135" type="noConversion"/>
  </si>
  <si>
    <t>101-03,04</t>
    <phoneticPr fontId="135" type="noConversion"/>
  </si>
  <si>
    <t>79,175.4元</t>
    <phoneticPr fontId="135" type="noConversion"/>
  </si>
  <si>
    <t>1.34元/天/平米</t>
    <phoneticPr fontId="135" type="noConversion"/>
  </si>
  <si>
    <t>2024年10月1日至2029年9月30日</t>
    <phoneticPr fontId="135" type="noConversion"/>
  </si>
  <si>
    <t>118041元</t>
    <phoneticPr fontId="135" type="noConversion"/>
  </si>
  <si>
    <t>维迈智数科技（北京）有限公司</t>
    <phoneticPr fontId="135" type="noConversion"/>
  </si>
  <si>
    <t>4层</t>
    <phoneticPr fontId="135" type="noConversion"/>
  </si>
  <si>
    <t>5011、5012、5013、5015、5016、5017</t>
    <phoneticPr fontId="135" type="noConversion"/>
  </si>
  <si>
    <t>579912元</t>
    <phoneticPr fontId="135" type="noConversion"/>
  </si>
  <si>
    <t>4.8元/天/平米</t>
    <phoneticPr fontId="135" type="noConversion"/>
  </si>
  <si>
    <t>2024年9月1日至2026年10月31日</t>
    <phoneticPr fontId="135" type="noConversion"/>
  </si>
  <si>
    <t>96916.8元</t>
    <phoneticPr fontId="135" type="noConversion"/>
  </si>
  <si>
    <t>489555元</t>
    <phoneticPr fontId="135" type="noConversion"/>
  </si>
  <si>
    <t>5.65元/天/平米</t>
    <phoneticPr fontId="135" type="noConversion"/>
  </si>
  <si>
    <t>2024年9月16日至2026年11月30日</t>
    <phoneticPr fontId="135" type="noConversion"/>
  </si>
  <si>
    <t>108592.2元</t>
    <phoneticPr fontId="135" type="noConversion"/>
  </si>
  <si>
    <t>网联清算有限公司</t>
    <phoneticPr fontId="135" type="noConversion"/>
  </si>
  <si>
    <t>5、6、9、10、11、12、15层</t>
    <phoneticPr fontId="135" type="noConversion"/>
  </si>
  <si>
    <t>501、601、901、1001、1101、1201、1501</t>
    <phoneticPr fontId="135" type="noConversion"/>
  </si>
  <si>
    <t>41347966.69元</t>
    <phoneticPr fontId="135" type="noConversion"/>
  </si>
  <si>
    <t>5、6层10.9元/天/平米；9、10、11、12层11.81元/天/平米；15层12.72元/天/平米</t>
    <phoneticPr fontId="135" type="noConversion"/>
  </si>
  <si>
    <t>2023年12月1日至2025年16月30日</t>
    <phoneticPr fontId="135" type="noConversion"/>
  </si>
  <si>
    <t>10280505.37元</t>
    <phoneticPr fontId="135" type="noConversion"/>
  </si>
  <si>
    <t>中国爱地房地产开发有限责任公司</t>
    <phoneticPr fontId="135" type="noConversion"/>
  </si>
  <si>
    <t>13层</t>
    <phoneticPr fontId="135" type="noConversion"/>
  </si>
  <si>
    <t>1301-01、1301-05</t>
    <phoneticPr fontId="135" type="noConversion"/>
  </si>
  <si>
    <t>370263.3元</t>
    <phoneticPr fontId="135" type="noConversion"/>
  </si>
  <si>
    <t>6元/天/平米</t>
    <phoneticPr fontId="135" type="noConversion"/>
  </si>
  <si>
    <t>2019年1月1日至2028年12月31日</t>
    <phoneticPr fontId="135" type="noConversion"/>
  </si>
  <si>
    <t>北京东方华煦商贸有限公司</t>
    <phoneticPr fontId="135" type="noConversion"/>
  </si>
  <si>
    <t>1301-02</t>
    <phoneticPr fontId="135" type="noConversion"/>
  </si>
  <si>
    <t>440715.6元</t>
    <phoneticPr fontId="135" type="noConversion"/>
  </si>
  <si>
    <t>北京京爱为科技有限公司</t>
    <phoneticPr fontId="135" type="noConversion"/>
  </si>
  <si>
    <t>1301-03</t>
    <phoneticPr fontId="135" type="noConversion"/>
  </si>
  <si>
    <t>105952.2元</t>
    <phoneticPr fontId="135" type="noConversion"/>
  </si>
  <si>
    <t>北京爱海科技发展有限公司</t>
    <phoneticPr fontId="135" type="noConversion"/>
  </si>
  <si>
    <t>1301-04</t>
    <phoneticPr fontId="135" type="noConversion"/>
  </si>
  <si>
    <t>89023.5元</t>
    <phoneticPr fontId="135" type="noConversion"/>
  </si>
  <si>
    <t>北京恒远浩海科技发展有限公司</t>
    <phoneticPr fontId="135" type="noConversion"/>
  </si>
  <si>
    <t>1301-06</t>
    <phoneticPr fontId="135" type="noConversion"/>
  </si>
  <si>
    <t>95484元</t>
    <phoneticPr fontId="135" type="noConversion"/>
  </si>
  <si>
    <t>北京爱地鸿运科技发展有限公司</t>
    <phoneticPr fontId="135" type="noConversion"/>
  </si>
  <si>
    <t>1301-07</t>
    <phoneticPr fontId="135" type="noConversion"/>
  </si>
  <si>
    <t>87775.2元</t>
    <phoneticPr fontId="135" type="noConversion"/>
  </si>
  <si>
    <t>北京爱地祥丰科技发展有限公司</t>
    <phoneticPr fontId="135" type="noConversion"/>
  </si>
  <si>
    <t>1301-08</t>
  </si>
  <si>
    <t>262581元</t>
    <phoneticPr fontId="135" type="noConversion"/>
  </si>
  <si>
    <t>北京爱地典藏艺术品有限公司</t>
    <phoneticPr fontId="135" type="noConversion"/>
  </si>
  <si>
    <t>1301-09</t>
  </si>
  <si>
    <t>702639.6元</t>
    <phoneticPr fontId="135" type="noConversion"/>
  </si>
  <si>
    <t>2021年4月1日至2026年3月31日</t>
    <phoneticPr fontId="135" type="noConversion"/>
  </si>
  <si>
    <t>海南海峡汇能石油化工有限公司</t>
    <phoneticPr fontId="135" type="noConversion"/>
  </si>
  <si>
    <t>14层</t>
    <phoneticPr fontId="135" type="noConversion"/>
  </si>
  <si>
    <t>5018、5019、5020、5021、5022、5023、5025、5026、5027</t>
    <phoneticPr fontId="135" type="noConversion"/>
  </si>
  <si>
    <t>651600元</t>
    <phoneticPr fontId="135" type="noConversion"/>
  </si>
  <si>
    <t>2024年7月1日至2025年6月30日</t>
    <phoneticPr fontId="135" type="noConversion"/>
  </si>
  <si>
    <t>中体力源（北京）体育文化发展有限公司</t>
    <phoneticPr fontId="135" type="noConversion"/>
  </si>
  <si>
    <t>B1层</t>
    <phoneticPr fontId="135" type="noConversion"/>
  </si>
  <si>
    <t>地下商业</t>
    <phoneticPr fontId="135" type="noConversion"/>
  </si>
  <si>
    <t>1686300元</t>
    <phoneticPr fontId="135" type="noConversion"/>
  </si>
  <si>
    <t>0.7元/天/平米</t>
    <phoneticPr fontId="135" type="noConversion"/>
  </si>
  <si>
    <t>2.1元/天/平米</t>
    <phoneticPr fontId="135" type="noConversion"/>
  </si>
  <si>
    <t>167292元</t>
    <phoneticPr fontId="135" type="noConversion"/>
  </si>
  <si>
    <t>盟多地板（中国）有限公司</t>
    <phoneticPr fontId="135" type="noConversion"/>
  </si>
  <si>
    <t>39584.25元</t>
    <phoneticPr fontId="135" type="noConversion"/>
  </si>
  <si>
    <t>12.05元/天/平米</t>
  </si>
  <si>
    <t>2025年4月24日至2026年4月23日</t>
    <phoneticPr fontId="135" type="noConversion"/>
  </si>
  <si>
    <t>9760.5元</t>
    <phoneticPr fontId="135" type="noConversion"/>
  </si>
  <si>
    <t>北京茵赫餐饮管理有限公司</t>
    <phoneticPr fontId="135" type="noConversion"/>
  </si>
  <si>
    <t>5006、5007</t>
    <phoneticPr fontId="135" type="noConversion"/>
  </si>
  <si>
    <t>120000元</t>
    <phoneticPr fontId="135" type="noConversion"/>
  </si>
  <si>
    <t>7.87元/天/平米</t>
    <phoneticPr fontId="135" type="noConversion"/>
  </si>
  <si>
    <t>2025年1月8日至2026年1月14日</t>
    <phoneticPr fontId="135" type="noConversion"/>
  </si>
  <si>
    <t>20000元</t>
    <phoneticPr fontId="135" type="noConversion"/>
  </si>
  <si>
    <t>链恒科技（北京）有限公司</t>
    <phoneticPr fontId="135" type="noConversion"/>
  </si>
  <si>
    <t>69313.5元</t>
    <phoneticPr fontId="135" type="noConversion"/>
  </si>
  <si>
    <t>6.24元/天/平米</t>
    <phoneticPr fontId="135" type="noConversion"/>
  </si>
  <si>
    <t>2025年1月1日至2027年1月10日</t>
    <phoneticPr fontId="135" type="noConversion"/>
  </si>
  <si>
    <t>17091元</t>
    <phoneticPr fontId="135" type="noConversion"/>
  </si>
  <si>
    <t>北京支点传媒广告有限公司</t>
    <phoneticPr fontId="135" type="noConversion"/>
  </si>
  <si>
    <t>80865.75元</t>
    <phoneticPr fontId="135" type="noConversion"/>
  </si>
  <si>
    <t>19939.5元</t>
    <phoneticPr fontId="135" type="noConversion"/>
  </si>
  <si>
    <t>北京金融街研究院</t>
    <phoneticPr fontId="135" type="noConversion"/>
  </si>
  <si>
    <t>1051408.05元</t>
    <phoneticPr fontId="135" type="noConversion"/>
  </si>
  <si>
    <t>5.5元/天/平米</t>
    <phoneticPr fontId="135" type="noConversion"/>
  </si>
  <si>
    <t>2025年1月1日至2027年12月31日</t>
    <phoneticPr fontId="135" type="noConversion"/>
  </si>
  <si>
    <t>282819.6元</t>
    <phoneticPr fontId="135" type="noConversion"/>
  </si>
  <si>
    <t>北京一贝盒子科技有限公司</t>
    <phoneticPr fontId="135" type="noConversion"/>
  </si>
  <si>
    <t>192660元</t>
    <phoneticPr fontId="135" type="noConversion"/>
  </si>
  <si>
    <t>6.76元/天/平米</t>
    <phoneticPr fontId="135" type="noConversion"/>
  </si>
  <si>
    <t>2024年11月21日至2025年12月31日</t>
    <phoneticPr fontId="135" type="noConversion"/>
  </si>
  <si>
    <t>46620元</t>
    <phoneticPr fontId="135" type="noConversion"/>
  </si>
  <si>
    <t>北京智慧运力科技有限公司</t>
    <phoneticPr fontId="135" type="noConversion"/>
  </si>
  <si>
    <t>5028、5029-01、5029-02</t>
    <phoneticPr fontId="135" type="noConversion"/>
  </si>
  <si>
    <t>369108.63元</t>
    <phoneticPr fontId="135" type="noConversion"/>
  </si>
  <si>
    <t>6.2元/天/平米</t>
    <phoneticPr fontId="135" type="noConversion"/>
  </si>
  <si>
    <t>2024年11月21日至2025年10月19日</t>
    <phoneticPr fontId="135" type="noConversion"/>
  </si>
  <si>
    <t>116560.62元</t>
    <phoneticPr fontId="135" type="noConversion"/>
  </si>
  <si>
    <t>10800元</t>
    <phoneticPr fontId="135" type="noConversion"/>
  </si>
  <si>
    <t>1.25元/天/平米</t>
    <phoneticPr fontId="135" type="noConversion"/>
  </si>
  <si>
    <t>4.93元/天/平米</t>
    <phoneticPr fontId="135" type="noConversion"/>
  </si>
  <si>
    <t>2024年5月1日至2029年5月31日</t>
    <phoneticPr fontId="135" type="noConversion"/>
  </si>
  <si>
    <t>27000元</t>
    <phoneticPr fontId="135" type="noConversion"/>
  </si>
  <si>
    <t>深圳宏时资本管理有限公司</t>
    <phoneticPr fontId="135" type="noConversion"/>
  </si>
  <si>
    <t>3层</t>
    <phoneticPr fontId="135" type="noConversion"/>
  </si>
  <si>
    <t>178500元</t>
    <phoneticPr fontId="135" type="noConversion"/>
  </si>
  <si>
    <t>1元/天/平米</t>
  </si>
  <si>
    <t>8.21元/天/平米</t>
    <phoneticPr fontId="135" type="noConversion"/>
  </si>
  <si>
    <t>2023年9月1日至2025年8月31日</t>
    <phoneticPr fontId="135" type="noConversion"/>
  </si>
  <si>
    <t>44625元</t>
    <phoneticPr fontId="135" type="noConversion"/>
  </si>
  <si>
    <t>北京德丰华投资管理有限公司</t>
    <phoneticPr fontId="135" type="noConversion"/>
  </si>
  <si>
    <t>北京百度网讯科技有限公司</t>
    <phoneticPr fontId="135" type="noConversion"/>
  </si>
  <si>
    <t>5层</t>
    <phoneticPr fontId="135" type="noConversion"/>
  </si>
  <si>
    <t>151200元</t>
    <phoneticPr fontId="135" type="noConversion"/>
  </si>
  <si>
    <t>11.5元/天/平米</t>
    <phoneticPr fontId="135" type="noConversion"/>
  </si>
  <si>
    <t>2024年6月1日至2025年5月31日</t>
    <phoneticPr fontId="135" type="noConversion"/>
  </si>
  <si>
    <t>25200元</t>
    <phoneticPr fontId="135" type="noConversion"/>
  </si>
  <si>
    <t>面积合计</t>
    <phoneticPr fontId="135" type="noConversion"/>
  </si>
  <si>
    <t>办公空置</t>
    <phoneticPr fontId="135" type="noConversion"/>
  </si>
  <si>
    <t>地下商业空置</t>
    <phoneticPr fontId="135" type="noConversion"/>
  </si>
  <si>
    <t>1层商业</t>
    <phoneticPr fontId="135" type="noConversion"/>
  </si>
  <si>
    <t>车库</t>
    <phoneticPr fontId="135" type="noConversion"/>
  </si>
  <si>
    <t>押一</t>
  </si>
  <si>
    <t>自定义</t>
  </si>
  <si>
    <t>非生产用房</t>
  </si>
  <si>
    <t>否</t>
  </si>
  <si>
    <t>办公及车库</t>
  </si>
  <si>
    <t>办公及车库</t>
    <phoneticPr fontId="8" type="noConversion"/>
  </si>
  <si>
    <t>收益法-商业</t>
  </si>
  <si>
    <t>收益法-商业</t>
    <phoneticPr fontId="17" type="noConversion"/>
  </si>
  <si>
    <t>收益法-办公车库</t>
  </si>
  <si>
    <t>收益法-办公车库</t>
    <phoneticPr fontId="17" type="noConversion"/>
  </si>
  <si>
    <t>收益法（汇总）</t>
  </si>
  <si>
    <t>正常</t>
  </si>
  <si>
    <t>自行开发建设</t>
  </si>
  <si>
    <t>非个人房产</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</si>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</sst>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5"/>
      <color rgb="FF000000"/>
      <name val="宋体"/>
      <family val="3"/>
      <charset val="134"/>
    </font>
    <font>
      <sz val="10.5"/>
      <color rgb="FF000000"/>
      <name val="宋体"/>
      <family val="3"/>
      <charset val="134"/>
    </font>
    <font>
      <b/>
      <sz val="20"/>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5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272" fillId="0" borderId="177" xfId="0" applyFont="1" applyBorder="1" applyAlignment="1">
      <alignment vertical="center" wrapText="1"/>
    </xf>
    <xf numFmtId="0" fontId="272" fillId="0" borderId="179" xfId="0" applyFont="1" applyBorder="1" applyAlignment="1">
      <alignment vertical="center" wrapText="1"/>
    </xf>
    <xf numFmtId="0" fontId="273" fillId="0" borderId="178" xfId="0" applyFont="1" applyBorder="1" applyAlignment="1">
      <alignment horizontal="left" vertical="center" wrapText="1" indent="1"/>
    </xf>
    <xf numFmtId="0" fontId="273" fillId="0" borderId="179" xfId="0" applyFont="1" applyBorder="1" applyAlignment="1">
      <alignment vertical="center" wrapText="1"/>
    </xf>
    <xf numFmtId="0" fontId="273" fillId="0" borderId="179" xfId="0" applyFont="1" applyBorder="1" applyAlignment="1">
      <alignment horizontal="left" vertical="center" wrapText="1" indent="1"/>
    </xf>
    <xf numFmtId="0" fontId="273" fillId="0" borderId="178" xfId="0" applyFont="1" applyBorder="1" applyAlignment="1">
      <alignment vertical="center" wrapText="1"/>
    </xf>
    <xf numFmtId="0" fontId="1" fillId="0" borderId="1" xfId="19" applyBorder="1" applyAlignment="1">
      <alignment horizontal="center" vertical="center"/>
    </xf>
    <xf numFmtId="0" fontId="1" fillId="0" borderId="1" xfId="19" applyBorder="1" applyAlignment="1">
      <alignment horizontal="center" vertical="center" wrapText="1"/>
    </xf>
    <xf numFmtId="0" fontId="1" fillId="0" borderId="0" xfId="19"/>
    <xf numFmtId="0" fontId="1" fillId="0" borderId="13" xfId="19" applyBorder="1" applyAlignment="1">
      <alignment horizontal="center" vertical="center"/>
    </xf>
    <xf numFmtId="0" fontId="1" fillId="0" borderId="13" xfId="19" applyBorder="1" applyAlignment="1">
      <alignment horizontal="center" vertical="center" wrapText="1"/>
    </xf>
    <xf numFmtId="0" fontId="274" fillId="0" borderId="0" xfId="0" applyFont="1">
      <alignment vertical="center"/>
    </xf>
    <xf numFmtId="0" fontId="1" fillId="0" borderId="0" xfId="19" quotePrefix="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72" fillId="0" borderId="176" xfId="0" applyFont="1" applyBorder="1" applyAlignment="1">
      <alignment horizontal="left" vertical="center" wrapText="1" indent="1"/>
    </xf>
    <xf numFmtId="0" fontId="272" fillId="0" borderId="178" xfId="0" applyFont="1" applyBorder="1" applyAlignment="1">
      <alignment horizontal="left" vertical="center" wrapText="1" indent="1"/>
    </xf>
    <xf numFmtId="0" fontId="272" fillId="0" borderId="180" xfId="0" applyFont="1" applyBorder="1" applyAlignment="1">
      <alignment horizontal="left" vertical="center" wrapText="1" indent="1"/>
    </xf>
    <xf numFmtId="0" fontId="272" fillId="0" borderId="181" xfId="0" applyFont="1" applyBorder="1" applyAlignment="1">
      <alignment horizontal="left" vertical="center" wrapText="1" indent="1"/>
    </xf>
    <xf numFmtId="0" fontId="272" fillId="0" borderId="176" xfId="0" applyFont="1" applyBorder="1" applyAlignment="1">
      <alignment vertical="center" wrapText="1"/>
    </xf>
    <xf numFmtId="0" fontId="272" fillId="0" borderId="178" xfId="0" applyFont="1" applyBorder="1" applyAlignment="1">
      <alignmen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4" fillId="22" borderId="34" xfId="0" applyFont="1" applyFill="1" applyBorder="1" applyAlignment="1" applyProtection="1">
      <alignment horizontal="left" vertical="center" wrapText="1"/>
      <protection locked="0"/>
    </xf>
    <xf numFmtId="0" fontId="100" fillId="22" borderId="1" xfId="0"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DEC732BA-5AAC-4D3E-BED1-70F858BF1E6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218749</xdr:colOff>
      <xdr:row>19</xdr:row>
      <xdr:rowOff>85307</xdr:rowOff>
    </xdr:to>
    <xdr:pic>
      <xdr:nvPicPr>
        <xdr:cNvPr id="2" name="图片 1">
          <a:extLst>
            <a:ext uri="{FF2B5EF4-FFF2-40B4-BE49-F238E27FC236}">
              <a16:creationId xmlns:a16="http://schemas.microsoft.com/office/drawing/2014/main" id="{6E5A453F-6614-B1A9-1899-7C931BF03BD2}"/>
            </a:ext>
          </a:extLst>
        </xdr:cNvPr>
        <xdr:cNvPicPr>
          <a:picLocks noChangeAspect="1"/>
        </xdr:cNvPicPr>
      </xdr:nvPicPr>
      <xdr:blipFill>
        <a:blip xmlns:r="http://schemas.openxmlformats.org/officeDocument/2006/relationships" r:embed="rId1"/>
        <a:stretch>
          <a:fillRect/>
        </a:stretch>
      </xdr:blipFill>
      <xdr:spPr>
        <a:xfrm>
          <a:off x="0" y="0"/>
          <a:ext cx="2609524" cy="3342857"/>
        </a:xfrm>
        <a:prstGeom prst="rect">
          <a:avLst/>
        </a:prstGeom>
      </xdr:spPr>
    </xdr:pic>
    <xdr:clientData/>
  </xdr:twoCellAnchor>
  <xdr:twoCellAnchor editAs="oneCell">
    <xdr:from>
      <xdr:col>3</xdr:col>
      <xdr:colOff>276225</xdr:colOff>
      <xdr:row>0</xdr:row>
      <xdr:rowOff>0</xdr:rowOff>
    </xdr:from>
    <xdr:to>
      <xdr:col>7</xdr:col>
      <xdr:colOff>66358</xdr:colOff>
      <xdr:row>17</xdr:row>
      <xdr:rowOff>113921</xdr:rowOff>
    </xdr:to>
    <xdr:pic>
      <xdr:nvPicPr>
        <xdr:cNvPr id="3" name="图片 2">
          <a:extLst>
            <a:ext uri="{FF2B5EF4-FFF2-40B4-BE49-F238E27FC236}">
              <a16:creationId xmlns:a16="http://schemas.microsoft.com/office/drawing/2014/main" id="{83BDAF99-FB6D-F79D-EE2F-1B6CDA6CB613}"/>
            </a:ext>
          </a:extLst>
        </xdr:cNvPr>
        <xdr:cNvPicPr>
          <a:picLocks noChangeAspect="1"/>
        </xdr:cNvPicPr>
      </xdr:nvPicPr>
      <xdr:blipFill>
        <a:blip xmlns:r="http://schemas.openxmlformats.org/officeDocument/2006/relationships" r:embed="rId2"/>
        <a:stretch>
          <a:fillRect/>
        </a:stretch>
      </xdr:blipFill>
      <xdr:spPr>
        <a:xfrm>
          <a:off x="2667000" y="0"/>
          <a:ext cx="2533333" cy="3028571"/>
        </a:xfrm>
        <a:prstGeom prst="rect">
          <a:avLst/>
        </a:prstGeom>
      </xdr:spPr>
    </xdr:pic>
    <xdr:clientData/>
  </xdr:twoCellAnchor>
  <xdr:twoCellAnchor editAs="oneCell">
    <xdr:from>
      <xdr:col>7</xdr:col>
      <xdr:colOff>152400</xdr:colOff>
      <xdr:row>0</xdr:row>
      <xdr:rowOff>0</xdr:rowOff>
    </xdr:from>
    <xdr:to>
      <xdr:col>16</xdr:col>
      <xdr:colOff>284948</xdr:colOff>
      <xdr:row>25</xdr:row>
      <xdr:rowOff>132798</xdr:rowOff>
    </xdr:to>
    <xdr:pic>
      <xdr:nvPicPr>
        <xdr:cNvPr id="4" name="图片 3">
          <a:extLst>
            <a:ext uri="{FF2B5EF4-FFF2-40B4-BE49-F238E27FC236}">
              <a16:creationId xmlns:a16="http://schemas.microsoft.com/office/drawing/2014/main" id="{C723ECBD-FF63-4EF0-98B7-36689F0B05FA}"/>
            </a:ext>
          </a:extLst>
        </xdr:cNvPr>
        <xdr:cNvPicPr>
          <a:picLocks noChangeAspect="1"/>
        </xdr:cNvPicPr>
      </xdr:nvPicPr>
      <xdr:blipFill>
        <a:blip xmlns:r="http://schemas.openxmlformats.org/officeDocument/2006/relationships" r:embed="rId3"/>
        <a:stretch>
          <a:fillRect/>
        </a:stretch>
      </xdr:blipFill>
      <xdr:spPr>
        <a:xfrm>
          <a:off x="5286375" y="0"/>
          <a:ext cx="6419048" cy="4419048"/>
        </a:xfrm>
        <a:prstGeom prst="rect">
          <a:avLst/>
        </a:prstGeom>
      </xdr:spPr>
    </xdr:pic>
    <xdr:clientData/>
  </xdr:twoCellAnchor>
  <xdr:twoCellAnchor editAs="oneCell">
    <xdr:from>
      <xdr:col>8</xdr:col>
      <xdr:colOff>171450</xdr:colOff>
      <xdr:row>26</xdr:row>
      <xdr:rowOff>104775</xdr:rowOff>
    </xdr:from>
    <xdr:to>
      <xdr:col>17</xdr:col>
      <xdr:colOff>456379</xdr:colOff>
      <xdr:row>33</xdr:row>
      <xdr:rowOff>47476</xdr:rowOff>
    </xdr:to>
    <xdr:pic>
      <xdr:nvPicPr>
        <xdr:cNvPr id="5" name="图片 4">
          <a:extLst>
            <a:ext uri="{FF2B5EF4-FFF2-40B4-BE49-F238E27FC236}">
              <a16:creationId xmlns:a16="http://schemas.microsoft.com/office/drawing/2014/main" id="{6CB08D5B-17AE-F43F-BD79-FD8E778ADBB9}"/>
            </a:ext>
          </a:extLst>
        </xdr:cNvPr>
        <xdr:cNvPicPr>
          <a:picLocks noChangeAspect="1"/>
        </xdr:cNvPicPr>
      </xdr:nvPicPr>
      <xdr:blipFill>
        <a:blip xmlns:r="http://schemas.openxmlformats.org/officeDocument/2006/relationships" r:embed="rId4"/>
        <a:stretch>
          <a:fillRect/>
        </a:stretch>
      </xdr:blipFill>
      <xdr:spPr>
        <a:xfrm>
          <a:off x="5991225" y="4562475"/>
          <a:ext cx="6571429"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532905</xdr:colOff>
      <xdr:row>32</xdr:row>
      <xdr:rowOff>142171</xdr:rowOff>
    </xdr:to>
    <xdr:pic>
      <xdr:nvPicPr>
        <xdr:cNvPr id="2" name="图片 1">
          <a:extLst>
            <a:ext uri="{FF2B5EF4-FFF2-40B4-BE49-F238E27FC236}">
              <a16:creationId xmlns:a16="http://schemas.microsoft.com/office/drawing/2014/main" id="{48BD066F-6ECE-0461-C42B-279612D2EA47}"/>
            </a:ext>
          </a:extLst>
        </xdr:cNvPr>
        <xdr:cNvPicPr>
          <a:picLocks noChangeAspect="1"/>
        </xdr:cNvPicPr>
      </xdr:nvPicPr>
      <xdr:blipFill>
        <a:blip xmlns:r="http://schemas.openxmlformats.org/officeDocument/2006/relationships" r:embed="rId1"/>
        <a:stretch>
          <a:fillRect/>
        </a:stretch>
      </xdr:blipFill>
      <xdr:spPr>
        <a:xfrm>
          <a:off x="0" y="0"/>
          <a:ext cx="3961905" cy="5628571"/>
        </a:xfrm>
        <a:prstGeom prst="rect">
          <a:avLst/>
        </a:prstGeom>
      </xdr:spPr>
    </xdr:pic>
    <xdr:clientData/>
  </xdr:twoCellAnchor>
  <xdr:twoCellAnchor editAs="oneCell">
    <xdr:from>
      <xdr:col>6</xdr:col>
      <xdr:colOff>0</xdr:colOff>
      <xdr:row>0</xdr:row>
      <xdr:rowOff>0</xdr:rowOff>
    </xdr:from>
    <xdr:to>
      <xdr:col>12</xdr:col>
      <xdr:colOff>47105</xdr:colOff>
      <xdr:row>32</xdr:row>
      <xdr:rowOff>37409</xdr:rowOff>
    </xdr:to>
    <xdr:pic>
      <xdr:nvPicPr>
        <xdr:cNvPr id="3" name="图片 2">
          <a:extLst>
            <a:ext uri="{FF2B5EF4-FFF2-40B4-BE49-F238E27FC236}">
              <a16:creationId xmlns:a16="http://schemas.microsoft.com/office/drawing/2014/main" id="{126656A7-ADFD-B188-5483-806CA55FBD18}"/>
            </a:ext>
          </a:extLst>
        </xdr:cNvPr>
        <xdr:cNvPicPr>
          <a:picLocks noChangeAspect="1"/>
        </xdr:cNvPicPr>
      </xdr:nvPicPr>
      <xdr:blipFill>
        <a:blip xmlns:r="http://schemas.openxmlformats.org/officeDocument/2006/relationships" r:embed="rId2"/>
        <a:stretch>
          <a:fillRect/>
        </a:stretch>
      </xdr:blipFill>
      <xdr:spPr>
        <a:xfrm>
          <a:off x="4114800" y="0"/>
          <a:ext cx="4161905" cy="5523809"/>
        </a:xfrm>
        <a:prstGeom prst="rect">
          <a:avLst/>
        </a:prstGeom>
      </xdr:spPr>
    </xdr:pic>
    <xdr:clientData/>
  </xdr:twoCellAnchor>
  <xdr:twoCellAnchor editAs="oneCell">
    <xdr:from>
      <xdr:col>12</xdr:col>
      <xdr:colOff>95250</xdr:colOff>
      <xdr:row>0</xdr:row>
      <xdr:rowOff>0</xdr:rowOff>
    </xdr:from>
    <xdr:to>
      <xdr:col>18</xdr:col>
      <xdr:colOff>9021</xdr:colOff>
      <xdr:row>32</xdr:row>
      <xdr:rowOff>113600</xdr:rowOff>
    </xdr:to>
    <xdr:pic>
      <xdr:nvPicPr>
        <xdr:cNvPr id="4" name="图片 3">
          <a:extLst>
            <a:ext uri="{FF2B5EF4-FFF2-40B4-BE49-F238E27FC236}">
              <a16:creationId xmlns:a16="http://schemas.microsoft.com/office/drawing/2014/main" id="{46AAEB4A-0DBB-AB88-5FAC-CE3C88157309}"/>
            </a:ext>
          </a:extLst>
        </xdr:cNvPr>
        <xdr:cNvPicPr>
          <a:picLocks noChangeAspect="1"/>
        </xdr:cNvPicPr>
      </xdr:nvPicPr>
      <xdr:blipFill>
        <a:blip xmlns:r="http://schemas.openxmlformats.org/officeDocument/2006/relationships" r:embed="rId3"/>
        <a:stretch>
          <a:fillRect/>
        </a:stretch>
      </xdr:blipFill>
      <xdr:spPr>
        <a:xfrm>
          <a:off x="8324850" y="0"/>
          <a:ext cx="4028571" cy="5600000"/>
        </a:xfrm>
        <a:prstGeom prst="rect">
          <a:avLst/>
        </a:prstGeom>
      </xdr:spPr>
    </xdr:pic>
    <xdr:clientData/>
  </xdr:twoCellAnchor>
  <xdr:twoCellAnchor editAs="oneCell">
    <xdr:from>
      <xdr:col>0</xdr:col>
      <xdr:colOff>0</xdr:colOff>
      <xdr:row>33</xdr:row>
      <xdr:rowOff>0</xdr:rowOff>
    </xdr:from>
    <xdr:to>
      <xdr:col>5</xdr:col>
      <xdr:colOff>628143</xdr:colOff>
      <xdr:row>65</xdr:row>
      <xdr:rowOff>85029</xdr:rowOff>
    </xdr:to>
    <xdr:pic>
      <xdr:nvPicPr>
        <xdr:cNvPr id="5" name="图片 4">
          <a:extLst>
            <a:ext uri="{FF2B5EF4-FFF2-40B4-BE49-F238E27FC236}">
              <a16:creationId xmlns:a16="http://schemas.microsoft.com/office/drawing/2014/main" id="{629AD774-6E36-91E4-77CC-4068CDACAA5B}"/>
            </a:ext>
          </a:extLst>
        </xdr:cNvPr>
        <xdr:cNvPicPr>
          <a:picLocks noChangeAspect="1"/>
        </xdr:cNvPicPr>
      </xdr:nvPicPr>
      <xdr:blipFill>
        <a:blip xmlns:r="http://schemas.openxmlformats.org/officeDocument/2006/relationships" r:embed="rId4"/>
        <a:stretch>
          <a:fillRect/>
        </a:stretch>
      </xdr:blipFill>
      <xdr:spPr>
        <a:xfrm>
          <a:off x="0" y="5657850"/>
          <a:ext cx="4057143" cy="5571429"/>
        </a:xfrm>
        <a:prstGeom prst="rect">
          <a:avLst/>
        </a:prstGeom>
      </xdr:spPr>
    </xdr:pic>
    <xdr:clientData/>
  </xdr:twoCellAnchor>
  <xdr:twoCellAnchor editAs="oneCell">
    <xdr:from>
      <xdr:col>18</xdr:col>
      <xdr:colOff>13607</xdr:colOff>
      <xdr:row>0</xdr:row>
      <xdr:rowOff>0</xdr:rowOff>
    </xdr:from>
    <xdr:to>
      <xdr:col>23</xdr:col>
      <xdr:colOff>678489</xdr:colOff>
      <xdr:row>30</xdr:row>
      <xdr:rowOff>131309</xdr:rowOff>
    </xdr:to>
    <xdr:pic>
      <xdr:nvPicPr>
        <xdr:cNvPr id="6" name="图片 5">
          <a:extLst>
            <a:ext uri="{FF2B5EF4-FFF2-40B4-BE49-F238E27FC236}">
              <a16:creationId xmlns:a16="http://schemas.microsoft.com/office/drawing/2014/main" id="{AF77880E-213C-2F24-48E9-EE9916BA1984}"/>
            </a:ext>
          </a:extLst>
        </xdr:cNvPr>
        <xdr:cNvPicPr>
          <a:picLocks noChangeAspect="1"/>
        </xdr:cNvPicPr>
      </xdr:nvPicPr>
      <xdr:blipFill>
        <a:blip xmlns:r="http://schemas.openxmlformats.org/officeDocument/2006/relationships" r:embed="rId5"/>
        <a:stretch>
          <a:fillRect/>
        </a:stretch>
      </xdr:blipFill>
      <xdr:spPr>
        <a:xfrm>
          <a:off x="12260036" y="0"/>
          <a:ext cx="4066667" cy="5438095"/>
        </a:xfrm>
        <a:prstGeom prst="rect">
          <a:avLst/>
        </a:prstGeom>
      </xdr:spPr>
    </xdr:pic>
    <xdr:clientData/>
  </xdr:twoCellAnchor>
  <xdr:twoCellAnchor editAs="oneCell">
    <xdr:from>
      <xdr:col>6</xdr:col>
      <xdr:colOff>0</xdr:colOff>
      <xdr:row>33</xdr:row>
      <xdr:rowOff>13608</xdr:rowOff>
    </xdr:from>
    <xdr:to>
      <xdr:col>12</xdr:col>
      <xdr:colOff>41666</xdr:colOff>
      <xdr:row>64</xdr:row>
      <xdr:rowOff>110881</xdr:rowOff>
    </xdr:to>
    <xdr:pic>
      <xdr:nvPicPr>
        <xdr:cNvPr id="7" name="图片 6">
          <a:extLst>
            <a:ext uri="{FF2B5EF4-FFF2-40B4-BE49-F238E27FC236}">
              <a16:creationId xmlns:a16="http://schemas.microsoft.com/office/drawing/2014/main" id="{0F66A6BB-8C47-9A0C-F1B0-8BE22C05A34A}"/>
            </a:ext>
          </a:extLst>
        </xdr:cNvPr>
        <xdr:cNvPicPr>
          <a:picLocks noChangeAspect="1"/>
        </xdr:cNvPicPr>
      </xdr:nvPicPr>
      <xdr:blipFill>
        <a:blip xmlns:r="http://schemas.openxmlformats.org/officeDocument/2006/relationships" r:embed="rId6"/>
        <a:stretch>
          <a:fillRect/>
        </a:stretch>
      </xdr:blipFill>
      <xdr:spPr>
        <a:xfrm>
          <a:off x="4082143" y="5851072"/>
          <a:ext cx="4123809" cy="5580952"/>
        </a:xfrm>
        <a:prstGeom prst="rect">
          <a:avLst/>
        </a:prstGeom>
      </xdr:spPr>
    </xdr:pic>
    <xdr:clientData/>
  </xdr:twoCellAnchor>
  <xdr:twoCellAnchor editAs="oneCell">
    <xdr:from>
      <xdr:col>0</xdr:col>
      <xdr:colOff>0</xdr:colOff>
      <xdr:row>68</xdr:row>
      <xdr:rowOff>13608</xdr:rowOff>
    </xdr:from>
    <xdr:to>
      <xdr:col>5</xdr:col>
      <xdr:colOff>541071</xdr:colOff>
      <xdr:row>89</xdr:row>
      <xdr:rowOff>117906</xdr:rowOff>
    </xdr:to>
    <xdr:pic>
      <xdr:nvPicPr>
        <xdr:cNvPr id="8" name="图片 7">
          <a:extLst>
            <a:ext uri="{FF2B5EF4-FFF2-40B4-BE49-F238E27FC236}">
              <a16:creationId xmlns:a16="http://schemas.microsoft.com/office/drawing/2014/main" id="{95AEE071-75FA-0549-4FF9-7C4726966F72}"/>
            </a:ext>
          </a:extLst>
        </xdr:cNvPr>
        <xdr:cNvPicPr>
          <a:picLocks noChangeAspect="1"/>
        </xdr:cNvPicPr>
      </xdr:nvPicPr>
      <xdr:blipFill>
        <a:blip xmlns:r="http://schemas.openxmlformats.org/officeDocument/2006/relationships" r:embed="rId7"/>
        <a:stretch>
          <a:fillRect/>
        </a:stretch>
      </xdr:blipFill>
      <xdr:spPr>
        <a:xfrm>
          <a:off x="0" y="12192001"/>
          <a:ext cx="3942857" cy="3819048"/>
        </a:xfrm>
        <a:prstGeom prst="rect">
          <a:avLst/>
        </a:prstGeom>
      </xdr:spPr>
    </xdr:pic>
    <xdr:clientData/>
  </xdr:twoCellAnchor>
  <xdr:twoCellAnchor editAs="oneCell">
    <xdr:from>
      <xdr:col>6</xdr:col>
      <xdr:colOff>0</xdr:colOff>
      <xdr:row>68</xdr:row>
      <xdr:rowOff>0</xdr:rowOff>
    </xdr:from>
    <xdr:to>
      <xdr:col>12</xdr:col>
      <xdr:colOff>22619</xdr:colOff>
      <xdr:row>94</xdr:row>
      <xdr:rowOff>38881</xdr:rowOff>
    </xdr:to>
    <xdr:pic>
      <xdr:nvPicPr>
        <xdr:cNvPr id="9" name="图片 8">
          <a:extLst>
            <a:ext uri="{FF2B5EF4-FFF2-40B4-BE49-F238E27FC236}">
              <a16:creationId xmlns:a16="http://schemas.microsoft.com/office/drawing/2014/main" id="{DEC76602-62B9-3FF7-8ED3-7C391D273A3F}"/>
            </a:ext>
          </a:extLst>
        </xdr:cNvPr>
        <xdr:cNvPicPr>
          <a:picLocks noChangeAspect="1"/>
        </xdr:cNvPicPr>
      </xdr:nvPicPr>
      <xdr:blipFill>
        <a:blip xmlns:r="http://schemas.openxmlformats.org/officeDocument/2006/relationships" r:embed="rId8"/>
        <a:stretch>
          <a:fillRect/>
        </a:stretch>
      </xdr:blipFill>
      <xdr:spPr>
        <a:xfrm>
          <a:off x="4082143" y="12178393"/>
          <a:ext cx="4104762" cy="4638095"/>
        </a:xfrm>
        <a:prstGeom prst="rect">
          <a:avLst/>
        </a:prstGeom>
      </xdr:spPr>
    </xdr:pic>
    <xdr:clientData/>
  </xdr:twoCellAnchor>
  <xdr:twoCellAnchor editAs="oneCell">
    <xdr:from>
      <xdr:col>12</xdr:col>
      <xdr:colOff>95250</xdr:colOff>
      <xdr:row>67</xdr:row>
      <xdr:rowOff>217715</xdr:rowOff>
    </xdr:from>
    <xdr:to>
      <xdr:col>17</xdr:col>
      <xdr:colOff>674417</xdr:colOff>
      <xdr:row>88</xdr:row>
      <xdr:rowOff>77095</xdr:rowOff>
    </xdr:to>
    <xdr:pic>
      <xdr:nvPicPr>
        <xdr:cNvPr id="10" name="图片 9">
          <a:extLst>
            <a:ext uri="{FF2B5EF4-FFF2-40B4-BE49-F238E27FC236}">
              <a16:creationId xmlns:a16="http://schemas.microsoft.com/office/drawing/2014/main" id="{6203A30D-F1E7-4B80-5C08-D1544606C7C5}"/>
            </a:ext>
          </a:extLst>
        </xdr:cNvPr>
        <xdr:cNvPicPr>
          <a:picLocks noChangeAspect="1"/>
        </xdr:cNvPicPr>
      </xdr:nvPicPr>
      <xdr:blipFill>
        <a:blip xmlns:r="http://schemas.openxmlformats.org/officeDocument/2006/relationships" r:embed="rId9"/>
        <a:stretch>
          <a:fillRect/>
        </a:stretch>
      </xdr:blipFill>
      <xdr:spPr>
        <a:xfrm>
          <a:off x="8259536" y="12069536"/>
          <a:ext cx="3980952" cy="3723809"/>
        </a:xfrm>
        <a:prstGeom prst="rect">
          <a:avLst/>
        </a:prstGeom>
      </xdr:spPr>
    </xdr:pic>
    <xdr:clientData/>
  </xdr:twoCellAnchor>
  <xdr:twoCellAnchor editAs="oneCell">
    <xdr:from>
      <xdr:col>18</xdr:col>
      <xdr:colOff>13607</xdr:colOff>
      <xdr:row>67</xdr:row>
      <xdr:rowOff>285751</xdr:rowOff>
    </xdr:from>
    <xdr:to>
      <xdr:col>23</xdr:col>
      <xdr:colOff>649917</xdr:colOff>
      <xdr:row>99</xdr:row>
      <xdr:rowOff>75501</xdr:rowOff>
    </xdr:to>
    <xdr:pic>
      <xdr:nvPicPr>
        <xdr:cNvPr id="11" name="图片 10">
          <a:extLst>
            <a:ext uri="{FF2B5EF4-FFF2-40B4-BE49-F238E27FC236}">
              <a16:creationId xmlns:a16="http://schemas.microsoft.com/office/drawing/2014/main" id="{2EAF3EF9-00B0-E498-B3FB-8CD91EA4569C}"/>
            </a:ext>
          </a:extLst>
        </xdr:cNvPr>
        <xdr:cNvPicPr>
          <a:picLocks noChangeAspect="1"/>
        </xdr:cNvPicPr>
      </xdr:nvPicPr>
      <xdr:blipFill>
        <a:blip xmlns:r="http://schemas.openxmlformats.org/officeDocument/2006/relationships" r:embed="rId10"/>
        <a:stretch>
          <a:fillRect/>
        </a:stretch>
      </xdr:blipFill>
      <xdr:spPr>
        <a:xfrm>
          <a:off x="12260036" y="12137572"/>
          <a:ext cx="4038095"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估价对象为北京市房地产，为所有。根据《国有土地使用证》[]，估价对象（分摊）出让国有建设用地使用权面积为8274.56平方米，建筑面积为40045.23平方米。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估价对象为北京市房地产,为开发建设的，该项目尚在开发建设中。根据《国有土地使用证》[]，估价对象（分摊）出让国有建设用地使用权面积为8274.56平方米，规划建筑面积为40045.23平方米。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2025年3月21日（评估专业人员实地查勘之日）</v>
      </c>
    </row>
    <row r="13" spans="1:2">
      <c r="A13" s="1116" t="s">
        <v>529</v>
      </c>
      <c r="B13" s="1117"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119178</v>
      </c>
    </row>
    <row r="21" spans="1:2">
      <c r="A21" s="1116" t="s">
        <v>537</v>
      </c>
      <c r="B21" s="1117">
        <f ca="1">'预评函-2'!D7</f>
        <v>29761</v>
      </c>
    </row>
    <row r="22" spans="1:2">
      <c r="A22" s="1116" t="s">
        <v>538</v>
      </c>
      <c r="B22" s="1117" t="str">
        <f ca="1">'预评函-2'!D6</f>
        <v>壹拾壹亿玖仟壹佰柒拾捌万元整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119178</v>
      </c>
    </row>
    <row r="31" spans="1:2">
      <c r="A31" s="1116" t="s">
        <v>576</v>
      </c>
      <c r="B31" s="1117">
        <f ca="1">'预评函-2'!D15</f>
        <v>29761</v>
      </c>
    </row>
    <row r="32" spans="1:2">
      <c r="A32" s="1116" t="s">
        <v>543</v>
      </c>
      <c r="B32" s="1117" t="str">
        <f ca="1">'预评函-2'!D14</f>
        <v>壹拾壹亿玖仟壹佰柒拾捌万元整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99292</v>
      </c>
    </row>
    <row r="39" spans="1:2">
      <c r="A39" s="1116" t="s">
        <v>545</v>
      </c>
      <c r="B39" s="1117">
        <f ca="1">'预评函-2'!D21</f>
        <v>24795</v>
      </c>
    </row>
    <row r="40" spans="1:2">
      <c r="A40" s="1116" t="s">
        <v>546</v>
      </c>
      <c r="B40" s="1117" t="str">
        <f ca="1">'预评函-2'!D20</f>
        <v>玖亿玖仟贰佰玖拾贰万元整</v>
      </c>
    </row>
    <row r="41" spans="1:2">
      <c r="A41" s="1116" t="s">
        <v>592</v>
      </c>
      <c r="B41" s="1117" t="str">
        <f>'预评函-3'!A4</f>
        <v>北京市房地产</v>
      </c>
    </row>
    <row r="42" spans="1:2" ht="31.2">
      <c r="A42" s="1116" t="s">
        <v>590</v>
      </c>
      <c r="B42" s="1117" t="str">
        <f>'预评函-3'!B2</f>
        <v>建筑面积</v>
      </c>
    </row>
    <row r="43" spans="1:2">
      <c r="A43" s="1116" t="s">
        <v>591</v>
      </c>
      <c r="B43" s="1117">
        <f>'预评函-3'!B4</f>
        <v>40045.229999999996</v>
      </c>
    </row>
    <row r="44" spans="1:2" ht="31.2">
      <c r="A44" s="1116" t="s">
        <v>575</v>
      </c>
      <c r="B44" s="1117" t="str">
        <f>'预评函-3'!C2</f>
        <v>(分摊)土地面积</v>
      </c>
    </row>
    <row r="45" spans="1:2">
      <c r="A45" s="1116" t="s">
        <v>547</v>
      </c>
      <c r="B45" s="1117">
        <f>'预评函-3'!C4</f>
        <v>8274.56</v>
      </c>
    </row>
    <row r="46" spans="1:2">
      <c r="A46" s="1116" t="s">
        <v>573</v>
      </c>
      <c r="B46" s="1117" t="str">
        <f>'预评函-3'!D2</f>
        <v>出让国有建设用地使用权价值</v>
      </c>
    </row>
    <row r="47" spans="1:2">
      <c r="A47" s="1116" t="s">
        <v>548</v>
      </c>
      <c r="B47" s="1117">
        <f ca="1">'预评函-3'!D4</f>
        <v>96296</v>
      </c>
    </row>
    <row r="48" spans="1:2">
      <c r="A48" s="1116" t="s">
        <v>549</v>
      </c>
      <c r="B48" s="1117">
        <f ca="1">'预评函-3'!E4</f>
        <v>24047</v>
      </c>
    </row>
    <row r="49" spans="1:2">
      <c r="A49" s="1116" t="s">
        <v>550</v>
      </c>
      <c r="B49" s="1117" t="str">
        <f ca="1">'预评函-3'!D5</f>
        <v>玖亿陆仟贰佰玖拾陆万元整</v>
      </c>
    </row>
    <row r="50" spans="1:2">
      <c r="A50" s="1116" t="s">
        <v>574</v>
      </c>
      <c r="B50" s="1117" t="str">
        <f>'预评函-3'!F2</f>
        <v>在建建筑物价值</v>
      </c>
    </row>
    <row r="51" spans="1:2">
      <c r="A51" s="1116" t="s">
        <v>551</v>
      </c>
      <c r="B51" s="1117">
        <f ca="1">'预评函-3'!F4</f>
        <v>22882</v>
      </c>
    </row>
    <row r="52" spans="1:2">
      <c r="A52" s="1116" t="s">
        <v>552</v>
      </c>
      <c r="B52" s="1117">
        <f ca="1">'预评函-3'!G4</f>
        <v>5714</v>
      </c>
    </row>
    <row r="53" spans="1:2">
      <c r="A53" s="1116" t="s">
        <v>580</v>
      </c>
      <c r="B53" s="1117" t="str">
        <f ca="1">'预评函-3'!F5</f>
        <v>贰亿贰仟捌佰捌拾贰万元整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8" sqref="G18"/>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38" t="s">
        <v>3621</v>
      </c>
      <c r="C19" s="1439"/>
    </row>
    <row r="20" spans="1:3">
      <c r="A20" s="1438" t="s">
        <v>1048</v>
      </c>
      <c r="B20" s="1438" t="s">
        <v>3623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0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4" t="s">
        <v>385</v>
      </c>
      <c r="C54" s="1442" t="s">
        <v>583</v>
      </c>
    </row>
    <row r="55" spans="1:4">
      <c r="A55" s="3206"/>
      <c r="B55" s="1444" t="s">
        <v>386</v>
      </c>
      <c r="C55" s="1442" t="s">
        <v>584</v>
      </c>
    </row>
    <row r="56" spans="1:4">
      <c r="A56" s="3206"/>
      <c r="B56" s="1444" t="s">
        <v>387</v>
      </c>
      <c r="C56" s="1442" t="s">
        <v>588</v>
      </c>
    </row>
    <row r="57" spans="1:4">
      <c r="A57" s="320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07" t="s">
        <v>2571</v>
      </c>
      <c r="J2" s="3207"/>
      <c r="K2" s="3207"/>
      <c r="L2" s="3207"/>
      <c r="M2" s="3207"/>
      <c r="N2" s="3207"/>
      <c r="O2" s="3207"/>
      <c r="P2" s="3207"/>
      <c r="Q2" s="3207"/>
      <c r="R2" s="3207"/>
    </row>
    <row r="3" spans="1:18">
      <c r="A3" s="2760" t="s">
        <v>2492</v>
      </c>
      <c r="B3" s="2761">
        <f>项目基本情况!D3</f>
        <v>45737</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1.74</v>
      </c>
      <c r="D5" s="2765">
        <f>IF(ISERROR(ROUND(POWER(1+E5,A5-C5)*(POWER(1+E5,C5)-1)/(POWER(1+E5,A5)-1),3)),0,ROUND(POWER(1+E5,A5-C5)*(POWER(1+E5,C5)-1)/(POWER(1+E5,A5)-1),4))</f>
        <v>8.3299999999999999E-2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11.75</v>
      </c>
      <c r="D6" s="2765">
        <f>IF(ISERROR(ROUND(POWER(1+E6,A6-C6)*(POWER(1+E6,C6)-1)/(POWER(1+E6,A6)-1),3)),0,ROUND(POWER(1+E6,A6-C6)*(POWER(1+E6,C6)-1)/(POWER(1+E6,A6)-1),4))</f>
        <v>0.42970000000000003</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31.76</v>
      </c>
      <c r="D7" s="2765">
        <f>IF(ISERROR(ROUND(POWER(1+E7,A7-C7)*(POWER(1+E7,C7)-1)/(POWER(1+E7,A7)-1),3)),0,ROUND(POWER(1+E7,A7-C7)*(POWER(1+E7,C7)-1)/(POWER(1+E7,A7)-1),4))</f>
        <v>0.7611</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5" thickBot="1">
      <c r="A18" s="2770" t="s">
        <v>2507</v>
      </c>
      <c r="B18" s="2771">
        <f>ROUND(B17*F11/F12,2)</f>
        <v>5541.87</v>
      </c>
      <c r="C18" s="2771">
        <f>ROUND(F11/F12,4)</f>
        <v>1.1521999999999999</v>
      </c>
      <c r="D18" s="2772"/>
      <c r="E18" s="2772"/>
      <c r="F18" s="2773"/>
    </row>
    <row r="19" spans="1:14" ht="15" thickBot="1"/>
    <row r="20" spans="1:14" s="2806" customFormat="1" ht="1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14" sqref="D1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2169</v>
      </c>
      <c r="B2" s="121"/>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2170</v>
      </c>
      <c r="B3" s="2182">
        <v>45737</v>
      </c>
      <c r="C3" s="2183" t="s">
        <v>2171</v>
      </c>
      <c r="D3" s="2182">
        <v>45737</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3396</v>
      </c>
      <c r="C8" s="2198"/>
      <c r="D8" s="3211" t="s">
        <v>2177</v>
      </c>
      <c r="E8" s="2199" t="s">
        <v>3397</v>
      </c>
      <c r="F8" s="2200"/>
      <c r="G8" s="2439"/>
      <c r="H8" s="2439"/>
      <c r="I8" s="2439"/>
      <c r="J8" s="2242"/>
      <c r="K8" s="2397"/>
      <c r="L8" s="2396"/>
      <c r="M8" s="2396"/>
      <c r="N8" s="2242"/>
      <c r="O8" s="1667"/>
      <c r="P8" s="2242"/>
      <c r="Q8" s="2242"/>
      <c r="R8" s="2242"/>
    </row>
    <row r="9" spans="1:30" ht="13.8" thickBot="1">
      <c r="A9" s="2201" t="s">
        <v>2178</v>
      </c>
      <c r="B9" s="2202" t="s">
        <v>3397</v>
      </c>
      <c r="C9" s="2203"/>
      <c r="D9" s="3212"/>
      <c r="E9" s="2202" t="s">
        <v>587</v>
      </c>
      <c r="F9" s="2204"/>
      <c r="G9" s="2440"/>
      <c r="H9" s="2440"/>
      <c r="I9" s="2440"/>
      <c r="J9" s="2242"/>
      <c r="K9" s="2399"/>
      <c r="L9" s="2396"/>
      <c r="M9" s="2396"/>
      <c r="N9" s="2242"/>
      <c r="O9" s="1667"/>
      <c r="P9" s="2242"/>
      <c r="Q9" s="2242"/>
      <c r="R9" s="2242"/>
    </row>
    <row r="10" spans="1:30" ht="13.8" thickTop="1">
      <c r="A10" s="2205" t="s">
        <v>2179</v>
      </c>
      <c r="B10" s="2206" t="s">
        <v>3398</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3399</v>
      </c>
      <c r="C11" s="2211"/>
      <c r="D11" s="2212"/>
      <c r="E11" s="2179"/>
      <c r="F11" s="2179"/>
      <c r="G11" s="2179"/>
      <c r="H11" s="2179"/>
      <c r="I11" s="2179"/>
      <c r="J11" s="2799"/>
      <c r="K11" s="2396"/>
      <c r="L11" s="2396"/>
      <c r="M11" s="2396"/>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8" t="s">
        <v>2567</v>
      </c>
      <c r="J12" s="2800"/>
      <c r="K12" s="2396"/>
      <c r="L12" s="2396"/>
      <c r="M12" s="2242"/>
      <c r="N12" s="1667"/>
      <c r="O12" s="2242"/>
      <c r="P12" s="2242"/>
      <c r="Q12" s="2242"/>
      <c r="AD12" s="1615"/>
    </row>
    <row r="13" spans="1:30">
      <c r="A13" s="3119" t="s">
        <v>3323</v>
      </c>
      <c r="B13" s="2215" t="s">
        <v>2190</v>
      </c>
      <c r="C13" s="800"/>
      <c r="D13" s="800">
        <v>51133</v>
      </c>
      <c r="E13" s="800">
        <v>54786</v>
      </c>
      <c r="F13" s="800">
        <v>54786</v>
      </c>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1"/>
      <c r="K14" s="2396"/>
      <c r="L14" s="2396"/>
      <c r="M14" s="2242"/>
      <c r="N14" s="1667"/>
      <c r="O14" s="2242"/>
      <c r="P14" s="2242"/>
      <c r="Q14" s="2242"/>
      <c r="AD14" s="1615"/>
    </row>
    <row r="15" spans="1:30">
      <c r="A15" s="311"/>
      <c r="B15" s="2217" t="s">
        <v>2192</v>
      </c>
      <c r="C15" s="2218" t="str">
        <f>IF(A13="出让",IF(C13="","",ROUNDDOWN(MIN((C13-$D$3)/365,C14),2)),C14)</f>
        <v/>
      </c>
      <c r="D15" s="2218">
        <f>IF(A13="出让",IF(D13="","",ROUNDDOWN(MIN((D13-$D$3)/365,D14),2)),D14)</f>
        <v>14.78</v>
      </c>
      <c r="E15" s="2218">
        <f>IF(A13="出让",IF(E13="","",ROUNDDOWN(MIN((E13-$D$3)/365,E14),2)),E14)</f>
        <v>24.79</v>
      </c>
      <c r="F15" s="2218">
        <f>IF(A13="出让",IF(F13="","",ROUNDDOWN(MIN((F13-$D$3)/365,F14),2)),F14)</f>
        <v>24.79</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218"/>
      <c r="C16" s="3219"/>
      <c r="D16" s="3220"/>
      <c r="E16" s="2219" t="s">
        <v>2194</v>
      </c>
      <c r="F16" s="3221"/>
      <c r="G16" s="3222"/>
      <c r="H16" s="3222"/>
      <c r="I16" s="3223"/>
      <c r="J16" s="2242"/>
      <c r="K16" s="2400"/>
      <c r="L16" s="1667"/>
      <c r="M16" s="1667"/>
      <c r="N16" s="2242"/>
      <c r="O16" s="1667"/>
      <c r="P16" s="2242"/>
      <c r="Q16" s="2242"/>
      <c r="R16" s="2242"/>
    </row>
    <row r="17" spans="1:28">
      <c r="A17" s="304" t="s">
        <v>2195</v>
      </c>
      <c r="B17" s="293" t="s">
        <v>2196</v>
      </c>
      <c r="C17" s="8">
        <f>'数据-汇总表'!E3</f>
        <v>40045.229999999996</v>
      </c>
      <c r="D17" s="1253" t="s">
        <v>2197</v>
      </c>
      <c r="E17" s="3224" t="s">
        <v>2198</v>
      </c>
      <c r="F17" s="3225"/>
      <c r="G17" s="3225"/>
      <c r="H17" s="3225"/>
      <c r="I17" s="3226"/>
      <c r="J17" s="2242"/>
      <c r="K17" s="2401"/>
      <c r="L17" s="1667"/>
      <c r="M17" s="1667"/>
      <c r="N17" s="2242"/>
      <c r="O17" s="1667"/>
      <c r="P17" s="2242"/>
      <c r="Q17" s="2242"/>
      <c r="R17" s="2242"/>
      <c r="S17" s="2242"/>
      <c r="T17" s="2242"/>
      <c r="U17" s="2242"/>
      <c r="V17" s="2242"/>
    </row>
    <row r="18" spans="1:28" ht="24.6" thickBot="1">
      <c r="A18" s="2220" t="s">
        <v>2199</v>
      </c>
      <c r="B18" s="1024" t="s">
        <v>2200</v>
      </c>
      <c r="C18" s="2221">
        <f>'数据-汇总表'!D3</f>
        <v>8274.56</v>
      </c>
      <c r="D18" s="1026" t="s">
        <v>2201</v>
      </c>
      <c r="E18" s="3227" t="s">
        <v>2202</v>
      </c>
      <c r="F18" s="3228"/>
      <c r="G18" s="3228"/>
      <c r="H18" s="3228"/>
      <c r="I18" s="3229"/>
      <c r="J18" s="2242"/>
      <c r="K18" s="2401"/>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14" t="s">
        <v>2206</v>
      </c>
      <c r="C20" s="3215"/>
      <c r="D20" s="3216" t="s">
        <v>2207</v>
      </c>
      <c r="E20" s="3217"/>
      <c r="F20" s="2427" t="s">
        <v>1056</v>
      </c>
      <c r="G20" s="2439"/>
      <c r="H20" s="2439"/>
      <c r="I20" s="2439"/>
      <c r="J20" s="2242"/>
      <c r="K20" s="321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2209</v>
      </c>
      <c r="C21" s="2293" t="s">
        <v>1057</v>
      </c>
      <c r="D21" s="1457" t="s">
        <v>2210</v>
      </c>
      <c r="E21" s="2416" t="s">
        <v>1057</v>
      </c>
      <c r="F21" s="2428"/>
      <c r="G21" s="2439"/>
      <c r="H21" s="2439"/>
      <c r="I21" s="2439"/>
      <c r="J21" s="2242"/>
      <c r="K21" s="321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2211</v>
      </c>
      <c r="C22" s="2293" t="s">
        <v>1058</v>
      </c>
      <c r="D22" s="2439"/>
      <c r="E22" s="2439"/>
      <c r="F22" s="2439"/>
      <c r="G22" s="2439"/>
      <c r="H22" s="2439"/>
      <c r="I22" s="2439"/>
      <c r="J22" s="2242"/>
      <c r="K22" s="321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0"/>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31" t="s">
        <v>2214</v>
      </c>
      <c r="B27" s="311"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31"/>
      <c r="B28" s="293"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31"/>
      <c r="B29" s="293"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32"/>
      <c r="B30" s="293" t="s">
        <v>2218</v>
      </c>
      <c r="C30" s="3233"/>
      <c r="D30" s="3234"/>
      <c r="E30" s="2439"/>
      <c r="F30" s="2439"/>
      <c r="G30" s="2439"/>
      <c r="H30" s="2439"/>
      <c r="I30" s="2439"/>
      <c r="J30" s="2242"/>
      <c r="K30" s="2399"/>
      <c r="L30" s="2396"/>
      <c r="M30" s="2396"/>
      <c r="N30" s="2242"/>
      <c r="O30" s="1667"/>
      <c r="P30" s="2242"/>
      <c r="Q30" s="2242"/>
      <c r="R30" s="2242"/>
      <c r="S30" s="2242"/>
      <c r="T30" s="2242"/>
      <c r="U30" s="2242"/>
      <c r="V30" s="2242"/>
    </row>
    <row r="31" spans="1:28">
      <c r="A31" s="3235"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36"/>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36"/>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2220</v>
      </c>
      <c r="B34" s="1867"/>
      <c r="C34" s="1867"/>
      <c r="D34" s="1867"/>
      <c r="E34" s="1867"/>
      <c r="F34" s="1867"/>
      <c r="G34" s="1867"/>
      <c r="H34" s="1867"/>
      <c r="I34" s="2439"/>
      <c r="J34" s="2242"/>
      <c r="K34" s="8">
        <f>COUNTIF(B34:H34,"——")</f>
        <v>0</v>
      </c>
      <c r="L34" s="314" t="s">
        <v>2221</v>
      </c>
      <c r="M34" s="314" t="s">
        <v>2222</v>
      </c>
      <c r="N34" s="314" t="s">
        <v>2223</v>
      </c>
      <c r="O34" s="314" t="s">
        <v>2224</v>
      </c>
      <c r="P34" s="314" t="s">
        <v>2225</v>
      </c>
      <c r="Q34" s="314" t="s">
        <v>2226</v>
      </c>
      <c r="R34" s="314" t="s">
        <v>2227</v>
      </c>
      <c r="S34" s="3230" t="s">
        <v>2228</v>
      </c>
      <c r="T34" s="314" t="str">
        <f>NUMBERSTRING(7-K34,1)&amp;"通"</f>
        <v>七通</v>
      </c>
      <c r="U34" s="2242"/>
      <c r="V34" s="2242"/>
    </row>
    <row r="35" spans="1:30">
      <c r="A35" s="2233"/>
      <c r="B35" s="3230" t="s">
        <v>2229</v>
      </c>
      <c r="C35" s="3230"/>
      <c r="D35" s="3230"/>
      <c r="E35" s="3230"/>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2"/>
      <c r="V35" s="2242"/>
    </row>
    <row r="36" spans="1:30">
      <c r="A36" s="2180"/>
      <c r="B36" s="8" t="s">
        <v>2185</v>
      </c>
      <c r="C36" s="8" t="s">
        <v>2186</v>
      </c>
      <c r="D36" s="8" t="s">
        <v>2184</v>
      </c>
      <c r="E36" s="8" t="s">
        <v>2189</v>
      </c>
      <c r="F36" s="2798" t="s">
        <v>2570</v>
      </c>
      <c r="G36" s="2439"/>
      <c r="H36" s="2439"/>
      <c r="I36" s="2439"/>
      <c r="J36" s="2242"/>
      <c r="K36" s="2399"/>
      <c r="L36" s="2396"/>
      <c r="M36" s="2396"/>
      <c r="N36" s="2242"/>
      <c r="O36" s="1667"/>
      <c r="P36" s="2242"/>
      <c r="Q36" s="2242"/>
      <c r="R36" s="2242"/>
      <c r="S36" s="2242"/>
      <c r="T36" s="2242"/>
      <c r="U36" s="2242"/>
      <c r="V36" s="2242"/>
    </row>
    <row r="37" spans="1:30">
      <c r="A37" s="2412" t="s">
        <v>2230</v>
      </c>
      <c r="B37" s="2234" t="s">
        <v>184</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8" thickBot="1">
      <c r="A38" s="2413" t="s">
        <v>2231</v>
      </c>
      <c r="B38" s="2235" t="s">
        <v>155</v>
      </c>
      <c r="C38" s="2235" t="s">
        <v>168</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8274.56</v>
      </c>
      <c r="B3" s="11">
        <f>IF(C3="否",G5-AT5,G5)</f>
        <v>40045.229999999996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40045.229999999996</v>
      </c>
      <c r="H5" s="13">
        <f t="shared" ref="H5:AT5" si="0">SUM(H13:H656)</f>
        <v>40045.229999999996</v>
      </c>
      <c r="I5" s="13">
        <f t="shared" si="0"/>
        <v>2330.09</v>
      </c>
      <c r="J5" s="13">
        <f t="shared" si="0"/>
        <v>0</v>
      </c>
      <c r="K5" s="13">
        <f t="shared" si="0"/>
        <v>4597.07</v>
      </c>
      <c r="L5" s="13">
        <f t="shared" si="0"/>
        <v>0</v>
      </c>
      <c r="M5" s="13">
        <f t="shared" si="0"/>
        <v>26553.1</v>
      </c>
      <c r="N5" s="13">
        <f t="shared" si="0"/>
        <v>0</v>
      </c>
      <c r="O5" s="13">
        <f t="shared" si="0"/>
        <v>6564.97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40045.229999999996</v>
      </c>
      <c r="BA5" s="15">
        <f t="shared" si="1"/>
        <v>40045.229999999996</v>
      </c>
      <c r="BB5" s="15">
        <f t="shared" si="1"/>
        <v>2330.09</v>
      </c>
      <c r="BC5" s="15">
        <f t="shared" si="1"/>
        <v>4597.07</v>
      </c>
      <c r="BD5" s="15">
        <f t="shared" si="1"/>
        <v>26553.1</v>
      </c>
      <c r="BE5" s="15">
        <f t="shared" si="1"/>
        <v>6564.97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8274.5600000000013</v>
      </c>
      <c r="F6" s="13" t="s">
        <v>0</v>
      </c>
      <c r="G6" s="13" t="s">
        <v>1</v>
      </c>
      <c r="H6" s="17">
        <f>SUMIF(I$12:AB$12,"总值",I6:AB6)</f>
        <v>8274.5600000000013</v>
      </c>
      <c r="I6" s="13">
        <f t="shared" ref="I6:AB6" si="2">ROUND($A$3*I5/$B$3,2)</f>
        <v>481.47</v>
      </c>
      <c r="J6" s="13">
        <f t="shared" si="2"/>
        <v>0</v>
      </c>
      <c r="K6" s="13">
        <f t="shared" si="2"/>
        <v>949.89</v>
      </c>
      <c r="L6" s="13">
        <f t="shared" si="2"/>
        <v>0</v>
      </c>
      <c r="M6" s="13">
        <f t="shared" si="2"/>
        <v>5486.68</v>
      </c>
      <c r="N6" s="13">
        <f t="shared" si="2"/>
        <v>0</v>
      </c>
      <c r="O6" s="13">
        <f t="shared" si="2"/>
        <v>1356.52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8274.56</v>
      </c>
      <c r="AZ6" s="13" t="s">
        <v>2</v>
      </c>
      <c r="BA6" s="13">
        <f>ROUND($AY$6*BA5/$AZ$5,2)</f>
        <v>8274.56</v>
      </c>
      <c r="BB6" s="13">
        <f>ROUND($AY$6*BB5/$AZ$5,2)</f>
        <v>481.47</v>
      </c>
      <c r="BC6" s="13">
        <f t="shared" ref="BC6:BH6" si="4">ROUND($AY$6*BC5/$AZ$5,2)</f>
        <v>949.89</v>
      </c>
      <c r="BD6" s="13">
        <f t="shared" si="4"/>
        <v>5486.68</v>
      </c>
      <c r="BE6" s="13">
        <f t="shared" si="4"/>
        <v>1356.52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3404</v>
      </c>
      <c r="J9" s="758"/>
      <c r="K9" s="1488" t="s">
        <v>3405</v>
      </c>
      <c r="L9" s="758"/>
      <c r="M9" s="1488" t="s">
        <v>3404</v>
      </c>
      <c r="N9" s="758"/>
      <c r="O9" s="1488" t="s">
        <v>3405</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94" t="s">
        <v>673</v>
      </c>
      <c r="L10" s="758"/>
      <c r="M10" s="1494" t="s">
        <v>21</v>
      </c>
      <c r="N10" s="758"/>
      <c r="O10" s="1494" t="s">
        <v>3406</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办公</v>
      </c>
      <c r="BE11" s="1484" t="str">
        <f>O10</f>
        <v>车库—办公</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7"/>
      <c r="B13" s="627"/>
      <c r="C13" s="3151" t="s">
        <v>3400</v>
      </c>
      <c r="D13" s="1510" t="s">
        <v>3403</v>
      </c>
      <c r="E13" s="13">
        <f>IF($C$3="是",ROUND($A$3*G13/$B$3,2),ROUND($A$3*(G13-AT13)/$B$3,2))</f>
        <v>1431.36</v>
      </c>
      <c r="F13" s="29"/>
      <c r="G13" s="30">
        <f>H13+AC13+AT13</f>
        <v>6927.16</v>
      </c>
      <c r="H13" s="17">
        <f>SUMIF(I$12:AB$12,"总值",I13:AB13)</f>
        <v>6927.16</v>
      </c>
      <c r="I13" s="1511">
        <f>面积位置!C33+面积位置!C34</f>
        <v>2330.09</v>
      </c>
      <c r="J13" s="1511"/>
      <c r="K13" s="1511">
        <f>面积位置!C32</f>
        <v>4597.07</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商业</v>
      </c>
      <c r="AY13" s="1257">
        <f>ROUND($AY$6*AZ13/$AZ$5,2)</f>
        <v>1431.36</v>
      </c>
      <c r="AZ13" s="13">
        <f>BA13+BL13</f>
        <v>6927.16</v>
      </c>
      <c r="BA13" s="13">
        <f>SUM(BB13:BK13)</f>
        <v>6927.16</v>
      </c>
      <c r="BB13" s="13">
        <f>IF($D13="是",I13-J13,0)</f>
        <v>2330.09</v>
      </c>
      <c r="BC13" s="13">
        <f>IF($D13="是",K13-L13,0)</f>
        <v>4597.07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7"/>
      <c r="B14" s="627"/>
      <c r="C14" s="3152" t="s">
        <v>3401</v>
      </c>
      <c r="D14" s="1510" t="s">
        <v>3403</v>
      </c>
      <c r="E14" s="13">
        <f>IF($C$3="是",ROUND($A$3*G14/$B$3,2),ROUND($A$3*(G14-AT14)/$B$3,2))</f>
        <v>5486.68</v>
      </c>
      <c r="F14" s="29"/>
      <c r="G14" s="30">
        <f>H14+AC14+AT14</f>
        <v>26553.1</v>
      </c>
      <c r="H14" s="17">
        <f>SUMIF(I$12:AB$12,"总值",I14:AB14)</f>
        <v>26553.1</v>
      </c>
      <c r="I14" s="1511"/>
      <c r="J14" s="1511"/>
      <c r="K14" s="1511"/>
      <c r="L14" s="1511"/>
      <c r="M14" s="1511">
        <f>SUM(面积位置!C35:C48)</f>
        <v>26553.1</v>
      </c>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办公</v>
      </c>
      <c r="AY14" s="1257">
        <f>ROUND($AY$6*AZ14/$AZ$5,2)</f>
        <v>5486.68</v>
      </c>
      <c r="AZ14" s="13">
        <f>BA14+BL14</f>
        <v>26553.1</v>
      </c>
      <c r="BA14" s="13">
        <f>SUM(BB14:BK14)</f>
        <v>26553.1</v>
      </c>
      <c r="BB14" s="13">
        <f>IF($D14="是",I14-J14,0)</f>
        <v>0</v>
      </c>
      <c r="BC14" s="13">
        <f>IF($D14="是",K14-L14,0)</f>
        <v>0</v>
      </c>
      <c r="BD14" s="13">
        <f>IF($D14="是",M14-N14,0)</f>
        <v>26553.1</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3152" t="s">
        <v>3402</v>
      </c>
      <c r="D15" s="1510" t="s">
        <v>3403</v>
      </c>
      <c r="E15" s="13">
        <f>IF($C$3="是",ROUND($A$3*G15/$B$3,2),ROUND($A$3*(G15-AT15)/$B$3,2))</f>
        <v>1356.52</v>
      </c>
      <c r="F15" s="29"/>
      <c r="G15" s="30">
        <f>H15+AC15+AT15</f>
        <v>6564.97</v>
      </c>
      <c r="H15" s="17">
        <f>SUMIF(I$12:AB$12,"总值",I15:AB15)</f>
        <v>6564.97</v>
      </c>
      <c r="I15" s="1511"/>
      <c r="J15" s="1511"/>
      <c r="K15" s="1511"/>
      <c r="L15" s="1511"/>
      <c r="M15" s="1511"/>
      <c r="N15" s="1511"/>
      <c r="O15" s="1511">
        <f>面积位置!C31</f>
        <v>6564.97</v>
      </c>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地下车库</v>
      </c>
      <c r="AY15" s="1257">
        <f>ROUND($AY$6*AZ15/$AZ$5,2)</f>
        <v>1356.52</v>
      </c>
      <c r="AZ15" s="13">
        <f>BA15+BL15</f>
        <v>6564.97</v>
      </c>
      <c r="BA15" s="13">
        <f>SUM(BB15:BK15)</f>
        <v>6564.97</v>
      </c>
      <c r="BB15" s="13">
        <f>IF($D15="是",I15-J15,0)</f>
        <v>0</v>
      </c>
      <c r="BC15" s="13">
        <f>IF($D15="是",K15-L15,0)</f>
        <v>0</v>
      </c>
      <c r="BD15" s="13">
        <f>IF($D15="是",M15-N15,0)</f>
        <v>0</v>
      </c>
      <c r="BE15" s="13">
        <f>IF($D15="是",O15-P15,0)</f>
        <v>6564.97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34FB-D226-43BD-BA89-E54CF5710434}">
  <dimension ref="A28:M49"/>
  <sheetViews>
    <sheetView topLeftCell="A28" workbookViewId="0">
      <selection activeCell="C35" sqref="C35"/>
    </sheetView>
  </sheetViews>
  <sheetFormatPr defaultRowHeight="14.4"/>
  <cols>
    <col min="3" max="3" width="13.33203125" customWidth="1"/>
    <col min="13" max="13" width="10.44140625" bestFit="1" customWidth="1"/>
  </cols>
  <sheetData>
    <row r="28" spans="1:8" ht="15" thickBot="1"/>
    <row r="29" spans="1:8">
      <c r="A29" s="3241" t="s">
        <v>3408</v>
      </c>
      <c r="B29" s="3153" t="s">
        <v>3409</v>
      </c>
      <c r="C29" s="3241" t="s">
        <v>3410</v>
      </c>
      <c r="D29" s="3241" t="s">
        <v>3411</v>
      </c>
      <c r="E29" s="3241" t="s">
        <v>3412</v>
      </c>
      <c r="F29" s="3241" t="s">
        <v>3413</v>
      </c>
      <c r="G29" s="3241" t="s">
        <v>3414</v>
      </c>
      <c r="H29" s="3237" t="s">
        <v>3415</v>
      </c>
    </row>
    <row r="30" spans="1:8" ht="15" thickBot="1">
      <c r="A30" s="3242"/>
      <c r="B30" s="3154" t="s">
        <v>3416</v>
      </c>
      <c r="C30" s="3242"/>
      <c r="D30" s="3242"/>
      <c r="E30" s="3242"/>
      <c r="F30" s="3242"/>
      <c r="G30" s="3242"/>
      <c r="H30" s="3238"/>
    </row>
    <row r="31" spans="1:8" ht="29.4" thickBot="1">
      <c r="A31" s="3155">
        <v>1</v>
      </c>
      <c r="B31" s="3156">
        <v>-201</v>
      </c>
      <c r="C31" s="3157">
        <v>6564.97</v>
      </c>
      <c r="D31" s="3156" t="s">
        <v>3417</v>
      </c>
      <c r="E31" s="3156" t="s">
        <v>3418</v>
      </c>
      <c r="F31" s="3157" t="s">
        <v>3419</v>
      </c>
      <c r="G31" s="3157" t="s">
        <v>3419</v>
      </c>
      <c r="H31" s="3157" t="s">
        <v>3420</v>
      </c>
    </row>
    <row r="32" spans="1:8" ht="15" thickBot="1">
      <c r="A32" s="3155">
        <v>2</v>
      </c>
      <c r="B32" s="3156">
        <v>-102</v>
      </c>
      <c r="C32" s="3157">
        <v>4597.07</v>
      </c>
      <c r="D32" s="3156" t="s">
        <v>3417</v>
      </c>
      <c r="E32" s="3156" t="s">
        <v>3421</v>
      </c>
      <c r="F32" s="3156" t="s">
        <v>3422</v>
      </c>
      <c r="G32" s="3156" t="s">
        <v>3422</v>
      </c>
      <c r="H32" s="3157" t="s">
        <v>3420</v>
      </c>
    </row>
    <row r="33" spans="1:13" ht="15" thickBot="1">
      <c r="A33" s="3155">
        <v>3</v>
      </c>
      <c r="B33" s="3156">
        <v>101</v>
      </c>
      <c r="C33" s="3157">
        <v>2239.8000000000002</v>
      </c>
      <c r="D33" s="3156" t="s">
        <v>3417</v>
      </c>
      <c r="E33" s="3157" t="s">
        <v>3423</v>
      </c>
      <c r="F33" s="3156" t="s">
        <v>3422</v>
      </c>
      <c r="G33" s="3156" t="s">
        <v>3422</v>
      </c>
      <c r="H33" s="3157" t="s">
        <v>3420</v>
      </c>
    </row>
    <row r="34" spans="1:13" ht="15" thickBot="1">
      <c r="A34" s="3155">
        <v>4</v>
      </c>
      <c r="B34" s="3156">
        <v>102</v>
      </c>
      <c r="C34" s="3157">
        <v>90.29</v>
      </c>
      <c r="D34" s="3156" t="s">
        <v>3417</v>
      </c>
      <c r="E34" s="3157" t="s">
        <v>3423</v>
      </c>
      <c r="F34" s="3156" t="s">
        <v>3422</v>
      </c>
      <c r="G34" s="3156" t="s">
        <v>3422</v>
      </c>
      <c r="H34" s="3157" t="s">
        <v>3420</v>
      </c>
    </row>
    <row r="35" spans="1:13" ht="15" thickBot="1">
      <c r="A35" s="3155">
        <v>5</v>
      </c>
      <c r="B35" s="3156">
        <v>201</v>
      </c>
      <c r="C35" s="3157">
        <v>3615.56</v>
      </c>
      <c r="D35" s="3156" t="s">
        <v>3417</v>
      </c>
      <c r="E35" s="3157" t="s">
        <v>3424</v>
      </c>
      <c r="F35" s="3157" t="s">
        <v>21</v>
      </c>
      <c r="G35" s="3157" t="s">
        <v>21</v>
      </c>
      <c r="H35" s="3157" t="s">
        <v>3420</v>
      </c>
    </row>
    <row r="36" spans="1:13" ht="15" thickBot="1">
      <c r="A36" s="3155">
        <v>6</v>
      </c>
      <c r="B36" s="3156">
        <v>301</v>
      </c>
      <c r="C36" s="3157">
        <v>4073.24</v>
      </c>
      <c r="D36" s="3156" t="s">
        <v>3417</v>
      </c>
      <c r="E36" s="3157" t="s">
        <v>3425</v>
      </c>
      <c r="F36" s="3157" t="s">
        <v>21</v>
      </c>
      <c r="G36" s="3157" t="s">
        <v>21</v>
      </c>
      <c r="H36" s="3157" t="s">
        <v>3420</v>
      </c>
    </row>
    <row r="37" spans="1:13" ht="15" thickBot="1">
      <c r="A37" s="3155">
        <v>7</v>
      </c>
      <c r="B37" s="3156">
        <v>401</v>
      </c>
      <c r="C37" s="3157">
        <v>3924.26</v>
      </c>
      <c r="D37" s="3156" t="s">
        <v>3417</v>
      </c>
      <c r="E37" s="3157" t="s">
        <v>3426</v>
      </c>
      <c r="F37" s="3157" t="s">
        <v>21</v>
      </c>
      <c r="G37" s="3157" t="s">
        <v>21</v>
      </c>
      <c r="H37" s="3157" t="s">
        <v>3420</v>
      </c>
    </row>
    <row r="38" spans="1:13" ht="15" thickBot="1">
      <c r="A38" s="3155">
        <v>8</v>
      </c>
      <c r="B38" s="3156">
        <v>501</v>
      </c>
      <c r="C38" s="3157">
        <v>1872.24</v>
      </c>
      <c r="D38" s="3156" t="s">
        <v>3417</v>
      </c>
      <c r="E38" s="3157" t="s">
        <v>3427</v>
      </c>
      <c r="F38" s="3157" t="s">
        <v>21</v>
      </c>
      <c r="G38" s="3157" t="s">
        <v>21</v>
      </c>
      <c r="H38" s="3157" t="s">
        <v>3420</v>
      </c>
      <c r="M38">
        <v>531802790.95999998</v>
      </c>
    </row>
    <row r="39" spans="1:13" ht="15" thickBot="1">
      <c r="A39" s="3155">
        <v>9</v>
      </c>
      <c r="B39" s="3156">
        <v>601</v>
      </c>
      <c r="C39" s="3157">
        <v>1872.24</v>
      </c>
      <c r="D39" s="3156" t="s">
        <v>3417</v>
      </c>
      <c r="E39" s="3157" t="s">
        <v>3428</v>
      </c>
      <c r="F39" s="3157" t="s">
        <v>21</v>
      </c>
      <c r="G39" s="3157" t="s">
        <v>21</v>
      </c>
      <c r="H39" s="3157" t="s">
        <v>3420</v>
      </c>
    </row>
    <row r="40" spans="1:13" ht="15" thickBot="1">
      <c r="A40" s="3158">
        <v>10</v>
      </c>
      <c r="B40" s="3156">
        <v>701</v>
      </c>
      <c r="C40" s="3157">
        <v>1833.68</v>
      </c>
      <c r="D40" s="3156" t="s">
        <v>3417</v>
      </c>
      <c r="E40" s="3157" t="s">
        <v>3429</v>
      </c>
      <c r="F40" s="3157" t="s">
        <v>21</v>
      </c>
      <c r="G40" s="3157" t="s">
        <v>21</v>
      </c>
      <c r="H40" s="3157" t="s">
        <v>3420</v>
      </c>
    </row>
    <row r="41" spans="1:13" ht="15" thickBot="1">
      <c r="A41" s="3158">
        <v>11</v>
      </c>
      <c r="B41" s="3156">
        <v>801</v>
      </c>
      <c r="C41" s="3157">
        <v>1771.75</v>
      </c>
      <c r="D41" s="3156" t="s">
        <v>3417</v>
      </c>
      <c r="E41" s="3157" t="s">
        <v>3430</v>
      </c>
      <c r="F41" s="3157" t="s">
        <v>21</v>
      </c>
      <c r="G41" s="3157" t="s">
        <v>21</v>
      </c>
      <c r="H41" s="3157" t="s">
        <v>3420</v>
      </c>
    </row>
    <row r="42" spans="1:13" ht="15" thickBot="1">
      <c r="A42" s="3158">
        <v>12</v>
      </c>
      <c r="B42" s="3156">
        <v>901</v>
      </c>
      <c r="C42" s="3157">
        <v>1657.03</v>
      </c>
      <c r="D42" s="3156" t="s">
        <v>3417</v>
      </c>
      <c r="E42" s="3157" t="s">
        <v>3431</v>
      </c>
      <c r="F42" s="3157" t="s">
        <v>21</v>
      </c>
      <c r="G42" s="3157" t="s">
        <v>21</v>
      </c>
      <c r="H42" s="3157" t="s">
        <v>3420</v>
      </c>
    </row>
    <row r="43" spans="1:13" ht="15" thickBot="1">
      <c r="A43" s="3158">
        <v>13</v>
      </c>
      <c r="B43" s="3156">
        <v>1001</v>
      </c>
      <c r="C43" s="3157">
        <v>1502.24</v>
      </c>
      <c r="D43" s="3156" t="s">
        <v>3417</v>
      </c>
      <c r="E43" s="3156" t="s">
        <v>3432</v>
      </c>
      <c r="F43" s="3157" t="s">
        <v>21</v>
      </c>
      <c r="G43" s="3157" t="s">
        <v>21</v>
      </c>
      <c r="H43" s="3157" t="s">
        <v>3420</v>
      </c>
    </row>
    <row r="44" spans="1:13" ht="15" thickBot="1">
      <c r="A44" s="3158">
        <v>14</v>
      </c>
      <c r="B44" s="3156">
        <v>1101</v>
      </c>
      <c r="C44" s="3157">
        <v>1383.27</v>
      </c>
      <c r="D44" s="3156" t="s">
        <v>3417</v>
      </c>
      <c r="E44" s="3156" t="s">
        <v>3433</v>
      </c>
      <c r="F44" s="3157" t="s">
        <v>21</v>
      </c>
      <c r="G44" s="3157" t="s">
        <v>21</v>
      </c>
      <c r="H44" s="3157" t="s">
        <v>3420</v>
      </c>
    </row>
    <row r="45" spans="1:13" ht="15" thickBot="1">
      <c r="A45" s="3158">
        <v>15</v>
      </c>
      <c r="B45" s="3156">
        <v>1201</v>
      </c>
      <c r="C45" s="3157">
        <v>1186.3599999999999</v>
      </c>
      <c r="D45" s="3156" t="s">
        <v>3417</v>
      </c>
      <c r="E45" s="3156" t="s">
        <v>3434</v>
      </c>
      <c r="F45" s="3157" t="s">
        <v>21</v>
      </c>
      <c r="G45" s="3157" t="s">
        <v>21</v>
      </c>
      <c r="H45" s="3157" t="s">
        <v>3420</v>
      </c>
    </row>
    <row r="46" spans="1:13" ht="15" thickBot="1">
      <c r="A46" s="3158">
        <v>16</v>
      </c>
      <c r="B46" s="3156">
        <v>1301</v>
      </c>
      <c r="C46" s="3157">
        <v>983.76</v>
      </c>
      <c r="D46" s="3156" t="s">
        <v>3417</v>
      </c>
      <c r="E46" s="3156" t="s">
        <v>3435</v>
      </c>
      <c r="F46" s="3157" t="s">
        <v>21</v>
      </c>
      <c r="G46" s="3157" t="s">
        <v>21</v>
      </c>
      <c r="H46" s="3157" t="s">
        <v>3420</v>
      </c>
    </row>
    <row r="47" spans="1:13" ht="15" thickBot="1">
      <c r="A47" s="3158">
        <v>17</v>
      </c>
      <c r="B47" s="3156">
        <v>1401</v>
      </c>
      <c r="C47" s="3157">
        <v>523.74</v>
      </c>
      <c r="D47" s="3156" t="s">
        <v>3417</v>
      </c>
      <c r="E47" s="3156" t="s">
        <v>3436</v>
      </c>
      <c r="F47" s="3157" t="s">
        <v>21</v>
      </c>
      <c r="G47" s="3157" t="s">
        <v>21</v>
      </c>
      <c r="H47" s="3157" t="s">
        <v>3420</v>
      </c>
    </row>
    <row r="48" spans="1:13" ht="15" thickBot="1">
      <c r="A48" s="3158">
        <v>18</v>
      </c>
      <c r="B48" s="3156">
        <v>1501</v>
      </c>
      <c r="C48" s="3157">
        <v>353.73</v>
      </c>
      <c r="D48" s="3156" t="s">
        <v>3417</v>
      </c>
      <c r="E48" s="3156" t="s">
        <v>3437</v>
      </c>
      <c r="F48" s="3157" t="s">
        <v>21</v>
      </c>
      <c r="G48" s="3157" t="s">
        <v>21</v>
      </c>
      <c r="H48" s="3157" t="s">
        <v>3420</v>
      </c>
    </row>
    <row r="49" spans="1:8" ht="15" thickBot="1">
      <c r="A49" s="3239" t="s">
        <v>3438</v>
      </c>
      <c r="B49" s="3240"/>
      <c r="C49" s="3154">
        <v>40045.230000000003</v>
      </c>
      <c r="D49" s="3157" t="s">
        <v>43</v>
      </c>
      <c r="E49" s="3156" t="s">
        <v>43</v>
      </c>
      <c r="F49" s="3157" t="s">
        <v>43</v>
      </c>
      <c r="G49" s="3157" t="s">
        <v>43</v>
      </c>
      <c r="H49" s="3157" t="s">
        <v>43</v>
      </c>
    </row>
  </sheetData>
  <mergeCells count="8">
    <mergeCell ref="H29:H30"/>
    <mergeCell ref="A49:B49"/>
    <mergeCell ref="A29:A30"/>
    <mergeCell ref="C29:C30"/>
    <mergeCell ref="D29:D30"/>
    <mergeCell ref="E29:E30"/>
    <mergeCell ref="F29:F30"/>
    <mergeCell ref="G29:G30"/>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7" sqref="G27"/>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52" t="s">
        <v>1131</v>
      </c>
      <c r="B2" s="3252"/>
      <c r="C2" s="3252"/>
      <c r="D2" s="745" t="s">
        <v>1107</v>
      </c>
      <c r="E2" s="1520" t="s">
        <v>1108</v>
      </c>
      <c r="F2" s="2436"/>
      <c r="G2" s="2429"/>
      <c r="H2" s="2430"/>
      <c r="I2" s="2143" t="s">
        <v>1132</v>
      </c>
      <c r="J2" s="2436"/>
      <c r="K2" s="2436"/>
      <c r="L2" s="2436"/>
      <c r="M2" s="2436"/>
      <c r="N2" s="2437"/>
      <c r="O2" s="2436"/>
      <c r="P2" s="2436"/>
    </row>
    <row r="3" spans="1:16" ht="15" thickBot="1">
      <c r="A3" s="3253" t="s">
        <v>1105</v>
      </c>
      <c r="B3" s="3253"/>
      <c r="C3" s="3253"/>
      <c r="D3" s="41">
        <f>'数据-基础表'!AY6</f>
        <v>8274.56</v>
      </c>
      <c r="E3" s="41">
        <f>'数据-基础表'!AZ5</f>
        <v>40045.229999999996</v>
      </c>
      <c r="F3" s="2436"/>
      <c r="G3" s="42"/>
      <c r="H3" s="43" t="s">
        <v>1106</v>
      </c>
      <c r="I3" s="799">
        <f>ROUND('数据-基础表'!B3/'数据-基础表'!A3,2)</f>
        <v>4.84</v>
      </c>
      <c r="J3" s="2436"/>
      <c r="K3" s="2436"/>
      <c r="L3" s="2436"/>
      <c r="M3" s="2436"/>
      <c r="N3" s="2437"/>
      <c r="O3" s="2436"/>
      <c r="P3" s="2436"/>
    </row>
    <row r="4" spans="1:16" ht="14.4">
      <c r="A4" s="3254"/>
      <c r="B4" s="3255"/>
      <c r="C4" s="3256"/>
      <c r="D4" s="1521" t="s">
        <v>1107</v>
      </c>
      <c r="E4" s="1522" t="s">
        <v>1108</v>
      </c>
      <c r="F4" s="2436"/>
      <c r="G4" s="2431" t="s">
        <v>1133</v>
      </c>
      <c r="H4" s="43" t="s">
        <v>1113</v>
      </c>
      <c r="I4" s="799">
        <f>ROUND(SUMIF('数据-基础表'!I9:AS9,"地上",'数据-基础表'!I5:AS5)/'数据-基础表'!A3,2)</f>
        <v>3.49</v>
      </c>
      <c r="J4" s="2436"/>
      <c r="K4" s="2436"/>
      <c r="L4" s="2436"/>
      <c r="M4" s="2436"/>
      <c r="N4" s="2437"/>
      <c r="O4" s="2436"/>
      <c r="P4" s="2436"/>
    </row>
    <row r="5" spans="1:16" ht="14.4">
      <c r="A5" s="42" t="s">
        <v>1109</v>
      </c>
      <c r="B5" s="3257" t="s">
        <v>1110</v>
      </c>
      <c r="C5" s="3257"/>
      <c r="D5" s="43">
        <f>ROUND($D$3*E5/$E$3,2)</f>
        <v>0</v>
      </c>
      <c r="E5" s="44">
        <f>SUMIF('数据-基础表'!$11:$11,"住宅",'数据-基础表'!$5:$5)</f>
        <v>0</v>
      </c>
      <c r="F5" s="2436"/>
      <c r="G5" s="42"/>
      <c r="H5" s="43" t="s">
        <v>1106</v>
      </c>
      <c r="I5" s="799">
        <f>ROUND(E31/D31,2)</f>
        <v>4.84</v>
      </c>
      <c r="J5" s="2436"/>
      <c r="K5" s="2436"/>
      <c r="L5" s="2436"/>
      <c r="M5" s="2436"/>
      <c r="N5" s="2436"/>
      <c r="O5" s="2436"/>
      <c r="P5" s="2436"/>
    </row>
    <row r="6" spans="1:16" ht="15" thickBot="1">
      <c r="A6" s="1524"/>
      <c r="B6" s="3257" t="s">
        <v>1111</v>
      </c>
      <c r="C6" s="3257"/>
      <c r="D6" s="43">
        <f>ROUND($D$3*E6/$E$3,2)</f>
        <v>8274.56</v>
      </c>
      <c r="E6" s="44">
        <f>E3-E5</f>
        <v>40045.229999999996</v>
      </c>
      <c r="F6" s="2436"/>
      <c r="G6" s="1526" t="s">
        <v>1112</v>
      </c>
      <c r="H6" s="45" t="s">
        <v>1113</v>
      </c>
      <c r="I6" s="2432">
        <f>ROUND(F31/D31,2)</f>
        <v>3.49</v>
      </c>
      <c r="J6" s="2436"/>
      <c r="K6" s="2436"/>
      <c r="L6" s="2436"/>
      <c r="M6" s="2436"/>
      <c r="N6" s="2436"/>
      <c r="O6" s="2436"/>
      <c r="P6" s="2436"/>
    </row>
    <row r="7" spans="1:16" ht="15" thickBot="1">
      <c r="A7" s="3249"/>
      <c r="B7" s="3250"/>
      <c r="C7" s="3251"/>
      <c r="D7" s="1521" t="s">
        <v>1107</v>
      </c>
      <c r="E7" s="1525" t="s">
        <v>1114</v>
      </c>
      <c r="F7" s="2436"/>
      <c r="G7" s="2433" t="s">
        <v>1115</v>
      </c>
      <c r="H7" s="94"/>
      <c r="I7" s="2434"/>
      <c r="J7" s="2436"/>
      <c r="K7" s="2436"/>
      <c r="L7" s="2436"/>
      <c r="M7" s="2436"/>
      <c r="N7" s="2436"/>
      <c r="O7" s="2436"/>
      <c r="P7" s="2436"/>
    </row>
    <row r="8" spans="1:16" ht="14.4">
      <c r="A8" s="42" t="s">
        <v>1116</v>
      </c>
      <c r="B8" s="45" t="s">
        <v>1117</v>
      </c>
      <c r="C8" s="43" t="s">
        <v>1118</v>
      </c>
      <c r="D8" s="43">
        <f t="shared" ref="D8:D15" si="0">ROUND($D$3*E8/$E$3,2)</f>
        <v>5968.14</v>
      </c>
      <c r="E8" s="46">
        <f>SUMIF('数据-基础表'!BB10:BK10,"地上",'数据-基础表'!BB5:BK5)</f>
        <v>28883.19</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949.89</v>
      </c>
      <c r="E10" s="46">
        <f>SUMPRODUCT(('数据-基础表'!BB10:BK10="地下")*('数据-基础表'!BB11:BK11="商业")*('数据-基础表'!BB5:BK5))</f>
        <v>4597.07</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1356.52</v>
      </c>
      <c r="E15" s="46">
        <f>SUMPRODUCT(('数据-基础表'!BB10:BK10="地下")*('数据-基础表'!BB11:BK11="车库—办公")*('数据-基础表'!BB5:BK5))</f>
        <v>6564.97</v>
      </c>
      <c r="F15" s="2436"/>
      <c r="G15" s="2436"/>
      <c r="H15" s="2436"/>
      <c r="I15" s="2436"/>
      <c r="J15" s="2436"/>
      <c r="K15" s="2436"/>
      <c r="L15" s="2436"/>
      <c r="M15" s="2436"/>
      <c r="N15" s="2436"/>
      <c r="O15" s="2436"/>
      <c r="P15" s="2436"/>
    </row>
    <row r="16" spans="1:16" ht="15" thickBot="1">
      <c r="A16" s="1524"/>
      <c r="B16" s="1527"/>
      <c r="C16" s="45" t="s">
        <v>1123</v>
      </c>
      <c r="D16" s="45">
        <f>SUM(D8:D15)</f>
        <v>8274.5500000000011</v>
      </c>
      <c r="E16" s="48">
        <f>SUM(E8:E15)</f>
        <v>40045.229999999996</v>
      </c>
      <c r="F16" s="2436"/>
      <c r="G16" s="2436"/>
      <c r="H16" s="1528" t="s">
        <v>1135</v>
      </c>
      <c r="I16" s="1529"/>
      <c r="J16" s="1068"/>
      <c r="K16" s="3246" t="s">
        <v>1135</v>
      </c>
      <c r="L16" s="3247"/>
      <c r="M16" s="3247"/>
      <c r="N16" s="3247"/>
      <c r="O16" s="3247"/>
      <c r="P16" s="3248"/>
    </row>
    <row r="17" spans="1:19" ht="14.4">
      <c r="A17" s="1530" t="s">
        <v>1136</v>
      </c>
      <c r="B17" s="1531" t="s">
        <v>1137</v>
      </c>
      <c r="C17" s="1532" t="s">
        <v>1138</v>
      </c>
      <c r="D17" s="1533" t="s">
        <v>1126</v>
      </c>
      <c r="E17" s="1534" t="s">
        <v>1127</v>
      </c>
      <c r="F17" s="1535"/>
      <c r="G17" s="1536"/>
      <c r="H17" s="1537" t="s">
        <v>1139</v>
      </c>
      <c r="I17" s="1538" t="s">
        <v>1124</v>
      </c>
      <c r="J17" s="1068"/>
      <c r="K17" s="3243" t="s">
        <v>1140</v>
      </c>
      <c r="L17" s="3244"/>
      <c r="M17" s="3245"/>
      <c r="N17" s="3243" t="s">
        <v>1141</v>
      </c>
      <c r="O17" s="3244"/>
      <c r="P17" s="3245"/>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13" t="str">
        <f>'数据-基础表'!C13</f>
        <v>商业</v>
      </c>
      <c r="D19" s="43">
        <f>ROUND($D$3*E19/$E$3,2)</f>
        <v>1431.36</v>
      </c>
      <c r="E19" s="51">
        <f t="shared" ref="E19:E26" si="1">SUM(F19:G19)</f>
        <v>6927.16</v>
      </c>
      <c r="F19" s="2555">
        <f>'数据-基础表'!I13</f>
        <v>2330.09</v>
      </c>
      <c r="G19" s="1240">
        <f>'数据-基础表'!K13</f>
        <v>4597.07</v>
      </c>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1431.36</v>
      </c>
      <c r="S19" s="51">
        <f t="shared" si="5"/>
        <v>6927.16</v>
      </c>
    </row>
    <row r="20" spans="1:19" ht="14.4">
      <c r="A20" s="1546"/>
      <c r="B20" s="45" t="s">
        <v>1153</v>
      </c>
      <c r="C20" s="3113" t="s">
        <v>3619</v>
      </c>
      <c r="D20" s="43">
        <f t="shared" ref="D20:D26" si="6">ROUND($D$3*E20/$E$3,2)</f>
        <v>6843.2</v>
      </c>
      <c r="E20" s="51">
        <f t="shared" si="1"/>
        <v>33118.07</v>
      </c>
      <c r="F20" s="2555">
        <f>'数据-基础表'!M14</f>
        <v>26553.1</v>
      </c>
      <c r="G20" s="1240">
        <f>'数据-基础表'!O15</f>
        <v>6564.97</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6843.2</v>
      </c>
      <c r="S20" s="51">
        <f t="shared" si="5"/>
        <v>33118.07</v>
      </c>
    </row>
    <row r="21" spans="1:19" ht="14.4">
      <c r="A21" s="1546"/>
      <c r="B21" s="45" t="s">
        <v>1153</v>
      </c>
      <c r="C21" s="3113"/>
      <c r="D21" s="43">
        <f t="shared" si="6"/>
        <v>0</v>
      </c>
      <c r="E21" s="51">
        <f t="shared" si="1"/>
        <v>0</v>
      </c>
      <c r="F21" s="2555"/>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ht="14.4">
      <c r="A22" s="1546"/>
      <c r="B22" s="45" t="s">
        <v>1153</v>
      </c>
      <c r="C22" s="3114"/>
      <c r="D22" s="43">
        <f t="shared" si="6"/>
        <v>0</v>
      </c>
      <c r="E22" s="51">
        <f t="shared" si="1"/>
        <v>0</v>
      </c>
      <c r="F22" s="2556"/>
      <c r="G22" s="2557"/>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1153</v>
      </c>
      <c r="C23" s="3114"/>
      <c r="D23" s="43">
        <f>ROUND($D$3*E23/$E$3,2)</f>
        <v>0</v>
      </c>
      <c r="E23" s="51">
        <f>SUM(F23:G23)</f>
        <v>0</v>
      </c>
      <c r="F23" s="2556"/>
      <c r="G23" s="2557"/>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1153</v>
      </c>
      <c r="C24" s="3114"/>
      <c r="D24" s="43">
        <f>ROUND($D$3*E24/$E$3,2)</f>
        <v>0</v>
      </c>
      <c r="E24" s="51">
        <f>SUM(F24:G24)</f>
        <v>0</v>
      </c>
      <c r="F24" s="2556"/>
      <c r="G24" s="2557"/>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1153</v>
      </c>
      <c r="C25" s="3114"/>
      <c r="D25" s="43">
        <f t="shared" si="6"/>
        <v>0</v>
      </c>
      <c r="E25" s="51">
        <f t="shared" si="1"/>
        <v>0</v>
      </c>
      <c r="F25" s="2556"/>
      <c r="G25" s="2557"/>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8274.56</v>
      </c>
      <c r="E27" s="1070">
        <f>IF(SUM(E19:E26)='数据-基础表'!BA5,SUM(E19:E26),IF(F27="地上面积有误","面积有误","地下面积有误"))</f>
        <v>40045.229999999996</v>
      </c>
      <c r="F27" s="1069">
        <f>IF(SUM(F19:F26)=E8,SUM(F19:F26),"地上面积有误")</f>
        <v>28883.19</v>
      </c>
      <c r="G27" s="1071">
        <f>SUM(G19:G26)</f>
        <v>11162.04</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8274.56</v>
      </c>
      <c r="S27" s="43">
        <f>IF(SUM(S19:S26)=$E$3,SUM(S19:S26),SUM(S19:S26)&amp;"误差"&amp;ROUND(SUM(S19:S26)-E3,2))</f>
        <v>40045.229999999996</v>
      </c>
    </row>
    <row r="28" spans="1:19" ht="14.4">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 thickBot="1">
      <c r="A31" s="1554"/>
      <c r="B31" s="95"/>
      <c r="C31" s="782" t="s">
        <v>1158</v>
      </c>
      <c r="D31" s="642">
        <f>D27+D30</f>
        <v>8274.56</v>
      </c>
      <c r="E31" s="642">
        <f>E27+E30</f>
        <v>40045.229999999996</v>
      </c>
      <c r="F31" s="643">
        <f>F27+F30</f>
        <v>28883.19</v>
      </c>
      <c r="G31" s="644">
        <f>G27+G30</f>
        <v>11162.04</v>
      </c>
      <c r="H31" s="2436"/>
      <c r="I31" s="2436"/>
      <c r="J31" s="2436"/>
      <c r="K31" s="2436"/>
      <c r="L31" s="2436"/>
      <c r="M31" s="2436"/>
      <c r="N31" s="2436"/>
      <c r="O31" s="2436"/>
      <c r="P31" s="2436"/>
    </row>
    <row r="32" spans="1:19" ht="14.4">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L17" sqref="AL17"/>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8" customFormat="1" ht="15" thickBot="1">
      <c r="A2" s="1559" t="s">
        <v>1161</v>
      </c>
      <c r="B2" s="981">
        <f>项目基本情况!D3</f>
        <v>45737</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5"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2">
        <f>SUMIF(项目基本情况!C$12:I$12,C6,项目基本情况!C$14:I$14)</f>
        <v>40</v>
      </c>
      <c r="E6" s="801">
        <f>IF(B6="","",SUMIF(项目基本情况!C$12:I$12,C6,项目基本情况!C$13:I$13))</f>
        <v>51133</v>
      </c>
      <c r="F6" s="61">
        <f>SUMIF(项目基本情况!C$12:I$12,C6,项目基本情况!C$15:I$15)</f>
        <v>14.78</v>
      </c>
      <c r="G6" s="62">
        <f>IF(ISERROR(ROUND(POWER(1+H6,D6-F6)*(POWER(1+H6,F6)-1)/(POWER(1+H6,D6)-1),3)),0,ROUND(POWER(1+H6,D6-F6)*(POWER(1+H6,F6)-1)/(POWER(1+H6,D6)-1),3))</f>
        <v>0.59899999999999998</v>
      </c>
      <c r="H6" s="690">
        <v>0.05</v>
      </c>
      <c r="I6" s="690">
        <v>5.5E-2</v>
      </c>
      <c r="J6" s="63">
        <v>7.0000000000000007E-2</v>
      </c>
      <c r="K6" s="967">
        <f>SUMIF('数据-汇总表'!C$19:C$33,A6,'数据-汇总表'!E$19:E$33)</f>
        <v>6927.16</v>
      </c>
      <c r="L6" s="691">
        <v>5500</v>
      </c>
      <c r="M6" s="64">
        <f t="shared" ref="M6:M14" si="0">ROUND(K6*L6/10000,0)</f>
        <v>3810</v>
      </c>
      <c r="N6" s="689">
        <f>ROUND(1-(2025-2017)/60,2)</f>
        <v>0.87</v>
      </c>
      <c r="O6" s="64" t="str">
        <f>IF($N$5="成新度","——",ROUND(M6*N6,0))</f>
        <v>——</v>
      </c>
      <c r="P6" s="65" t="str">
        <f>IF($N$5="成新度","——",M6-O6)</f>
        <v>——</v>
      </c>
      <c r="Q6" s="692">
        <v>0.2</v>
      </c>
      <c r="R6" s="66">
        <f ca="1">SUMIF('数据-汇总表'!C$19:C$33,A6,'数据-汇总表'!R$19:R$27)</f>
        <v>1431.36</v>
      </c>
      <c r="S6" s="49">
        <f>IF('数据-汇总表'!$I$17="按面积比例",SUMIF('数据-汇总表'!C$19:C$33,A6,'数据-汇总表'!K$19:K$33),SUMIF('数据-汇总表'!C$19:C$33,A6,'数据-汇总表'!N$19:N$33))</f>
        <v>0</v>
      </c>
      <c r="T6" s="1089">
        <f>ROUND($L$14*S6/10000,0)</f>
        <v>0</v>
      </c>
      <c r="U6" s="3124">
        <v>5.6</v>
      </c>
      <c r="V6" s="67">
        <v>0.02</v>
      </c>
      <c r="W6" s="67">
        <v>0.1</v>
      </c>
      <c r="X6" s="976"/>
      <c r="Y6" s="68">
        <f>N6</f>
        <v>0.87</v>
      </c>
      <c r="Z6" s="69"/>
      <c r="AA6" s="63"/>
      <c r="AB6" s="63"/>
      <c r="AC6" s="976"/>
      <c r="AD6" s="70"/>
      <c r="AE6" s="977">
        <f ca="1">IF(AN6="",0,SUMIF(INDIRECT("'"&amp;AN6&amp;"'"&amp;"!E:E"),$AE$5,INDIRECT("'"&amp;AN6&amp;"'"&amp;"!F:F")))</f>
        <v>14.78</v>
      </c>
      <c r="AF6" s="74"/>
      <c r="AG6" s="129">
        <f>IF(AF6="",0,AE6-AF6)</f>
        <v>0</v>
      </c>
      <c r="AH6" s="71"/>
      <c r="AI6" s="73">
        <v>365</v>
      </c>
      <c r="AJ6" s="74"/>
      <c r="AK6" s="75">
        <v>5.0000000000000001E-3</v>
      </c>
      <c r="AL6" s="76">
        <v>1E-3</v>
      </c>
      <c r="AM6" s="77">
        <v>0.01</v>
      </c>
      <c r="AN6" s="1586" t="s">
        <v>3620</v>
      </c>
      <c r="AO6" s="50">
        <f ca="1">SUMIF(INDIRECT("'"&amp;AN6&amp;"'"&amp;"!A:A"),"总价",INDIRECT("'"&amp;AN6&amp;"'"&amp;"!B:B"))</f>
        <v>12592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办公及车库</v>
      </c>
      <c r="B7" s="1584" t="str">
        <f t="shared" ref="B7:B13" si="1">IF(A7=0,"","经营性")</f>
        <v>经营性</v>
      </c>
      <c r="C7" s="1585" t="s">
        <v>21</v>
      </c>
      <c r="D7" s="802">
        <f>SUMIF(项目基本情况!C$12:I$12,C7,项目基本情况!C$14:I$14)</f>
        <v>50</v>
      </c>
      <c r="E7" s="801">
        <f>IF(B7="","",SUMIF(项目基本情况!C$12:I$12,C7,项目基本情况!C$13:I$13))</f>
        <v>54786</v>
      </c>
      <c r="F7" s="61">
        <f>SUMIF(项目基本情况!C$12:I$12,C7,项目基本情况!C$15:I$15)</f>
        <v>24.79</v>
      </c>
      <c r="G7" s="62">
        <f t="shared" ref="G7:G11" si="2">IF(ISERROR(ROUND(POWER(1+H7,D7-F7)*(POWER(1+H7,F7)-1)/(POWER(1+H7,D7)-1),3)),0,ROUND(POWER(1+H7,D7-F7)*(POWER(1+H7,F7)-1)/(POWER(1+H7,D7)-1),3))</f>
        <v>0.76900000000000002</v>
      </c>
      <c r="H7" s="690">
        <v>0.05</v>
      </c>
      <c r="I7" s="690">
        <v>5.5E-2</v>
      </c>
      <c r="J7" s="63">
        <v>7.0000000000000007E-2</v>
      </c>
      <c r="K7" s="967">
        <f>SUMIF('数据-汇总表'!C$19:C$33,A7,'数据-汇总表'!E$19:E$33)</f>
        <v>33118.07</v>
      </c>
      <c r="L7" s="691">
        <f>L6</f>
        <v>5500</v>
      </c>
      <c r="M7" s="64">
        <f t="shared" si="0"/>
        <v>18215</v>
      </c>
      <c r="N7" s="689">
        <f>N6</f>
        <v>0.87</v>
      </c>
      <c r="O7" s="64" t="str">
        <f t="shared" ref="O7:O14" si="3">IF($N$5="成新度","——",ROUND(M7*N7,0))</f>
        <v>——</v>
      </c>
      <c r="P7" s="65" t="str">
        <f t="shared" ref="P7:P14" si="4">IF($N$5="成新度","——",M7-O7)</f>
        <v>——</v>
      </c>
      <c r="Q7" s="692">
        <v>0.15</v>
      </c>
      <c r="R7" s="66">
        <f ca="1">SUMIF('数据-汇总表'!C$19:C$33,A7,'数据-汇总表'!R$19:R$27)</f>
        <v>6843.2</v>
      </c>
      <c r="S7" s="49">
        <f>IF('数据-汇总表'!$I$17="按面积比例",SUMIF('数据-汇总表'!C$19:C$33,A7,'数据-汇总表'!K$19:K$33),SUMIF('数据-汇总表'!C$19:C$33,A7,'数据-汇总表'!N$19:N$33))</f>
        <v>0</v>
      </c>
      <c r="T7" s="1089">
        <f t="shared" ref="T7:T13" si="5">ROUND($L$14*S7/10000,0)</f>
        <v>0</v>
      </c>
      <c r="U7" s="3124">
        <v>6.1</v>
      </c>
      <c r="V7" s="67">
        <v>0.02</v>
      </c>
      <c r="W7" s="67">
        <v>0.1</v>
      </c>
      <c r="X7" s="976"/>
      <c r="Y7" s="68">
        <f>N7</f>
        <v>0.87</v>
      </c>
      <c r="Z7" s="69"/>
      <c r="AA7" s="63"/>
      <c r="AB7" s="63"/>
      <c r="AC7" s="976"/>
      <c r="AD7" s="70"/>
      <c r="AE7" s="977">
        <f t="shared" ref="AE7:AE13" ca="1" si="6">IF(AN7="",0,SUMIF(INDIRECT("'"&amp;AN7&amp;"'"&amp;"!E:E"),$AE$5,INDIRECT("'"&amp;AN7&amp;"'"&amp;"!F:F")))</f>
        <v>24.79</v>
      </c>
      <c r="AF7" s="74"/>
      <c r="AG7" s="129">
        <f t="shared" ref="AG7:AG13" si="7">IF(AF7="",0,AE7-AF7)</f>
        <v>0</v>
      </c>
      <c r="AH7" s="71"/>
      <c r="AI7" s="73">
        <v>365</v>
      </c>
      <c r="AJ7" s="74"/>
      <c r="AK7" s="75">
        <v>5.0000000000000001E-3</v>
      </c>
      <c r="AL7" s="76">
        <v>1E-3</v>
      </c>
      <c r="AM7" s="77">
        <v>0.01</v>
      </c>
      <c r="AN7" s="1586" t="s">
        <v>3622</v>
      </c>
      <c r="AO7" s="50">
        <f t="shared" ref="AO7:AO13" ca="1" si="8">SUMIF(INDIRECT("'"&amp;AN7&amp;"'"&amp;"!A:A"),"总价",INDIRECT("'"&amp;AN7&amp;"'"&amp;"!B:B"))</f>
        <v>87702</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c r="E8" s="801"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5"/>
      <c r="V8" s="693"/>
      <c r="W8" s="693"/>
      <c r="X8" s="976"/>
      <c r="Y8" s="68"/>
      <c r="Z8" s="69"/>
      <c r="AA8" s="63"/>
      <c r="AB8" s="63"/>
      <c r="AC8" s="976"/>
      <c r="AD8" s="70"/>
      <c r="AE8" s="977">
        <f t="shared" ca="1" si="6"/>
        <v>0</v>
      </c>
      <c r="AF8" s="74"/>
      <c r="AG8" s="129">
        <f t="shared" si="7"/>
        <v>0</v>
      </c>
      <c r="AH8" s="694"/>
      <c r="AI8" s="73">
        <v>365</v>
      </c>
      <c r="AJ8" s="74"/>
      <c r="AK8" s="75">
        <v>5.0000000000000001E-3</v>
      </c>
      <c r="AL8" s="76">
        <v>1E-3</v>
      </c>
      <c r="AM8" s="77">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v>5500</v>
      </c>
      <c r="M9" s="64">
        <f t="shared" si="0"/>
        <v>0</v>
      </c>
      <c r="N9" s="689">
        <f t="shared" ref="N9:N13" si="12">N8</f>
        <v>0</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v>5500</v>
      </c>
      <c r="M10" s="64">
        <f t="shared" si="0"/>
        <v>0</v>
      </c>
      <c r="N10" s="689">
        <f t="shared" si="12"/>
        <v>0</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691">
        <v>5500</v>
      </c>
      <c r="M11" s="64">
        <f t="shared" si="0"/>
        <v>0</v>
      </c>
      <c r="N11" s="689">
        <f t="shared" si="12"/>
        <v>0</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0"/>
      <c r="AA11" s="63"/>
      <c r="AB11" s="63"/>
      <c r="AC11" s="976"/>
      <c r="AD11" s="70"/>
      <c r="AE11" s="977">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691">
        <v>5500</v>
      </c>
      <c r="M12" s="64">
        <f>ROUND(K12*L12/10000,0)</f>
        <v>0</v>
      </c>
      <c r="N12" s="689">
        <f t="shared" si="12"/>
        <v>0</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0"/>
      <c r="AA12" s="63"/>
      <c r="AB12" s="63"/>
      <c r="AC12" s="976"/>
      <c r="AD12" s="70"/>
      <c r="AE12" s="977">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691">
        <v>5500</v>
      </c>
      <c r="M13" s="64">
        <f>ROUND(K13*L13/10000,0)</f>
        <v>0</v>
      </c>
      <c r="N13" s="689">
        <f t="shared" si="12"/>
        <v>0</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689"/>
      <c r="O14" s="64" t="str">
        <f t="shared" si="3"/>
        <v>——</v>
      </c>
      <c r="P14" s="65" t="str">
        <f t="shared" si="4"/>
        <v>——</v>
      </c>
      <c r="Q14" s="970"/>
      <c r="R14" s="66"/>
      <c r="S14" s="49"/>
      <c r="T14" s="1089"/>
      <c r="U14" s="636"/>
      <c r="V14" s="972"/>
      <c r="W14" s="972"/>
      <c r="X14" s="973"/>
      <c r="Y14" s="974"/>
      <c r="Z14" s="54"/>
      <c r="AA14" s="975"/>
      <c r="AB14" s="975"/>
      <c r="AC14" s="976"/>
      <c r="AD14" s="973"/>
      <c r="AE14" s="977"/>
      <c r="AF14" s="50"/>
      <c r="AG14" s="129"/>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29"/>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0"/>
      <c r="D16" s="1591"/>
      <c r="E16" s="81"/>
      <c r="F16" s="81"/>
      <c r="G16" s="82">
        <f>ROUND(SUMPRODUCT(G6:G13,K6:K13)/SUMPRODUCT((G6:G13&gt;0)*(K6:K13)),3)</f>
        <v>0.74</v>
      </c>
      <c r="H16" s="83">
        <f>ROUND(SUMPRODUCT(H6:H13,K6:K13)/SUMPRODUCT((H6:H13&gt;0)*(K6:K13)),3)</f>
        <v>0.05</v>
      </c>
      <c r="I16" s="84"/>
      <c r="J16" s="84"/>
      <c r="K16" s="85">
        <f>SUM(K6:K15)</f>
        <v>40045.229999999996</v>
      </c>
      <c r="L16" s="86">
        <f>ROUND(M16*10000/SUM(K6:K14),0)</f>
        <v>5500</v>
      </c>
      <c r="M16" s="86">
        <f>SUM(M6:M14)</f>
        <v>22025</v>
      </c>
      <c r="N16" s="87">
        <f>ROUND(SUMPRODUCT(M6:M14,N6:N14)/M16,3)</f>
        <v>0.87</v>
      </c>
      <c r="O16" s="86">
        <f>SUM(O6:O14)</f>
        <v>0</v>
      </c>
      <c r="P16" s="86">
        <f>SUM(P6:P14)</f>
        <v>0</v>
      </c>
      <c r="Q16" s="88">
        <f>ROUND(SUMPRODUCT(Q6:Q13,K6:K13)/SUMPRODUCT((Q6:Q13&gt;0)*(K6:K13)),2)</f>
        <v>0.16</v>
      </c>
      <c r="R16" s="971">
        <f ca="1">SUM(R6:R13)</f>
        <v>8274.56</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6">
        <v>0</v>
      </c>
      <c r="C19" s="2558" t="s">
        <v>2293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7">
        <v>2</v>
      </c>
      <c r="C20" s="2559" t="s">
        <v>2291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7">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8">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5" t="s">
        <v>1215</v>
      </c>
      <c r="B23" s="98">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8" t="s">
        <v>1220</v>
      </c>
      <c r="B27" s="100">
        <v>160</v>
      </c>
      <c r="C27" s="2560" t="s">
        <v>2295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104">
        <f ca="1">成本法!C10</f>
        <v>801</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9">
        <v>0.05</v>
      </c>
      <c r="C33" s="2562" t="s">
        <v>3377</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5">
        <v>0</v>
      </c>
      <c r="C34" s="2562" t="s">
        <v>2286</v>
      </c>
      <c r="D34" s="2457" t="s">
        <v>2292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2">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6">
        <v>0.02</v>
      </c>
      <c r="C36" s="2562" t="s">
        <v>3395</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107">
        <v>0.02</v>
      </c>
      <c r="C37" s="2562" t="s">
        <v>3378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5">
        <v>0.03</v>
      </c>
      <c r="C38" s="2562" t="s">
        <v>3379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2" t="s">
        <v>1232</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2301</v>
      </c>
      <c r="B40" s="1012">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1">
        <v>7.0000000000000007E-2</v>
      </c>
      <c r="C44" s="2562" t="s">
        <v>3380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09">
        <v>0.03</v>
      </c>
      <c r="C45" s="2561" t="s">
        <v>2288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09">
        <v>0.02</v>
      </c>
      <c r="C46" s="2561" t="s">
        <v>2289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2">
        <v>0</v>
      </c>
      <c r="C47" s="2564" t="s">
        <v>2296</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3">
        <v>0.03</v>
      </c>
      <c r="C48" s="2561" t="s">
        <v>2288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9">
        <v>5.0000000000000001E-4</v>
      </c>
      <c r="C49" s="2561" t="s">
        <v>2290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6">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t="s">
        <v>184</v>
      </c>
      <c r="C53" s="2437" t="s">
        <v>1246</v>
      </c>
      <c r="D53" s="2563" t="s">
        <v>2294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8" customWidth="1"/>
    <col min="19" max="29" width="9" style="748"/>
    <col min="30" max="16384" width="9" style="1519"/>
  </cols>
  <sheetData>
    <row r="1" spans="1:29" s="2256" customFormat="1" ht="18" thickBot="1">
      <c r="A1" s="3258" t="s">
        <v>2277</v>
      </c>
      <c r="B1" s="3259"/>
      <c r="C1" s="3259"/>
      <c r="D1" s="3259"/>
      <c r="E1" s="3259"/>
      <c r="F1" s="3259"/>
      <c r="G1" s="325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8"/>
      <c r="I2" s="748"/>
      <c r="J2" s="748"/>
      <c r="K2" s="748"/>
      <c r="L2" s="748"/>
      <c r="M2" s="748"/>
      <c r="N2" s="748"/>
      <c r="O2" s="748"/>
      <c r="P2" s="748"/>
      <c r="Q2" s="748"/>
    </row>
    <row r="3" spans="1:29" ht="24">
      <c r="A3" s="2244" t="s">
        <v>2276</v>
      </c>
      <c r="B3" s="2261" t="s">
        <v>2252</v>
      </c>
      <c r="C3" s="2262"/>
      <c r="D3" s="2263"/>
      <c r="E3" s="2245" t="s">
        <v>2276</v>
      </c>
      <c r="F3" s="2264" t="s">
        <v>2253</v>
      </c>
      <c r="G3" s="2265"/>
      <c r="H3" s="748"/>
      <c r="I3" s="748"/>
      <c r="J3" s="748"/>
      <c r="K3" s="748"/>
      <c r="L3" s="748"/>
      <c r="M3" s="748"/>
      <c r="N3" s="748"/>
      <c r="O3" s="748"/>
      <c r="P3" s="748"/>
      <c r="Q3" s="748"/>
    </row>
    <row r="4" spans="1:29">
      <c r="A4" s="2245"/>
      <c r="B4" s="314" t="s">
        <v>2254</v>
      </c>
      <c r="C4" s="2266"/>
      <c r="D4" s="2263"/>
      <c r="E4" s="2267"/>
      <c r="F4" s="1278" t="s">
        <v>2255</v>
      </c>
      <c r="G4" s="2268"/>
      <c r="H4" s="748"/>
      <c r="I4" s="748"/>
      <c r="J4" s="748"/>
      <c r="K4" s="748"/>
      <c r="L4" s="748"/>
      <c r="M4" s="748"/>
      <c r="N4" s="748"/>
      <c r="O4" s="748"/>
      <c r="P4" s="748"/>
      <c r="Q4" s="748"/>
    </row>
    <row r="5" spans="1:29">
      <c r="A5" s="2245"/>
      <c r="B5" s="314" t="s">
        <v>2256</v>
      </c>
      <c r="C5" s="2266"/>
      <c r="D5" s="2263"/>
      <c r="E5" s="2267"/>
      <c r="F5" s="314" t="s">
        <v>2257</v>
      </c>
      <c r="G5" s="2268"/>
      <c r="H5" s="748"/>
      <c r="I5" s="748"/>
      <c r="J5" s="748"/>
      <c r="K5" s="748"/>
      <c r="L5" s="748"/>
      <c r="M5" s="748"/>
      <c r="N5" s="748"/>
      <c r="O5" s="748"/>
      <c r="P5" s="748"/>
      <c r="Q5" s="748"/>
    </row>
    <row r="6" spans="1:29">
      <c r="A6" s="2245"/>
      <c r="B6" s="314" t="s">
        <v>2258</v>
      </c>
      <c r="C6" s="2268"/>
      <c r="D6" s="2263"/>
      <c r="E6" s="2267"/>
      <c r="F6" s="314" t="s">
        <v>2259</v>
      </c>
      <c r="G6" s="2268"/>
      <c r="H6" s="748"/>
      <c r="I6" s="748"/>
      <c r="J6" s="748"/>
      <c r="K6" s="748"/>
      <c r="L6" s="748"/>
      <c r="M6" s="748"/>
      <c r="N6" s="748"/>
      <c r="O6" s="748"/>
      <c r="P6" s="748"/>
      <c r="Q6" s="748"/>
    </row>
    <row r="7" spans="1:29" ht="14.4" thickBot="1">
      <c r="A7" s="2245"/>
      <c r="B7" s="314" t="s">
        <v>2257</v>
      </c>
      <c r="C7" s="2268"/>
      <c r="D7" s="2242"/>
      <c r="E7" s="2269"/>
      <c r="F7" s="2270" t="s">
        <v>2260</v>
      </c>
      <c r="G7" s="2271"/>
      <c r="H7" s="748"/>
      <c r="I7" s="748"/>
      <c r="J7" s="748"/>
      <c r="K7" s="748"/>
      <c r="L7" s="748"/>
      <c r="M7" s="748"/>
      <c r="N7" s="748"/>
      <c r="O7" s="748"/>
      <c r="P7" s="748"/>
      <c r="Q7" s="748"/>
    </row>
    <row r="8" spans="1:29">
      <c r="A8" s="2245"/>
      <c r="B8" s="314" t="s">
        <v>2259</v>
      </c>
      <c r="C8" s="2268"/>
      <c r="D8" s="2242"/>
      <c r="E8" s="2242"/>
      <c r="F8" s="120"/>
      <c r="G8" s="120"/>
      <c r="H8" s="748"/>
      <c r="I8" s="748"/>
      <c r="J8" s="748"/>
      <c r="K8" s="748"/>
      <c r="L8" s="748"/>
      <c r="M8" s="748"/>
      <c r="N8" s="748"/>
      <c r="O8" s="748"/>
      <c r="P8" s="748"/>
      <c r="Q8" s="748"/>
    </row>
    <row r="9" spans="1:29">
      <c r="A9" s="2245"/>
      <c r="B9" s="314" t="s">
        <v>2261</v>
      </c>
      <c r="C9" s="2266"/>
      <c r="D9" s="2263"/>
      <c r="E9" s="2242"/>
      <c r="F9" s="120"/>
      <c r="G9" s="120"/>
      <c r="H9" s="748"/>
      <c r="I9" s="748"/>
      <c r="J9" s="748"/>
      <c r="K9" s="748"/>
      <c r="L9" s="748"/>
      <c r="M9" s="748"/>
      <c r="N9" s="748"/>
      <c r="O9" s="748"/>
      <c r="P9" s="748"/>
      <c r="Q9" s="748"/>
    </row>
    <row r="10" spans="1:29" ht="14.4" thickBot="1">
      <c r="A10" s="2246"/>
      <c r="B10" s="2272" t="s">
        <v>2262</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2278</v>
      </c>
      <c r="B13" s="2277"/>
      <c r="C13" s="2277"/>
      <c r="D13" s="2276"/>
      <c r="E13" s="2277"/>
      <c r="F13" s="2277"/>
      <c r="G13" s="2277"/>
    </row>
    <row r="14" spans="1:29" ht="14.4" thickBot="1">
      <c r="A14" s="2282"/>
      <c r="B14" s="2282"/>
      <c r="C14" s="2283" t="s">
        <v>2263</v>
      </c>
      <c r="D14" s="2263"/>
      <c r="E14" s="2284"/>
      <c r="F14" s="2284"/>
      <c r="G14" s="2259" t="s">
        <v>2264</v>
      </c>
    </row>
    <row r="15" spans="1:29" ht="24">
      <c r="A15" s="2247" t="s">
        <v>2265</v>
      </c>
      <c r="B15" s="2285" t="s">
        <v>2252</v>
      </c>
      <c r="C15" s="2286">
        <f>C3</f>
        <v>0</v>
      </c>
      <c r="D15" s="2263"/>
      <c r="E15" s="2248" t="s">
        <v>2266</v>
      </c>
      <c r="F15" s="2285" t="s">
        <v>2267</v>
      </c>
      <c r="G15" s="2287">
        <f>G3</f>
        <v>0</v>
      </c>
    </row>
    <row r="16" spans="1:29">
      <c r="A16" s="2249"/>
      <c r="B16" s="2288" t="s">
        <v>2254</v>
      </c>
      <c r="C16" s="2289">
        <f>C4</f>
        <v>0</v>
      </c>
      <c r="D16" s="2263"/>
      <c r="E16" s="2250"/>
      <c r="F16" s="2290" t="s">
        <v>2255</v>
      </c>
      <c r="G16" s="2291">
        <f>G4</f>
        <v>0</v>
      </c>
    </row>
    <row r="17" spans="1:17">
      <c r="A17" s="2249"/>
      <c r="B17" s="2288" t="s">
        <v>2256</v>
      </c>
      <c r="C17" s="2289">
        <f>C5</f>
        <v>0</v>
      </c>
      <c r="D17" s="2242"/>
      <c r="E17" s="2250"/>
      <c r="F17" s="2290" t="s">
        <v>2268</v>
      </c>
      <c r="G17" s="2292"/>
    </row>
    <row r="18" spans="1:17">
      <c r="A18" s="2249"/>
      <c r="B18" s="2290" t="s">
        <v>2258</v>
      </c>
      <c r="C18" s="2291">
        <f>C6</f>
        <v>0</v>
      </c>
      <c r="D18" s="2242"/>
      <c r="E18" s="2250"/>
      <c r="F18" s="2290" t="s">
        <v>2260</v>
      </c>
      <c r="G18" s="2291">
        <f>G7</f>
        <v>0</v>
      </c>
    </row>
    <row r="19" spans="1:17">
      <c r="A19" s="2249"/>
      <c r="B19" s="2290" t="s">
        <v>2269</v>
      </c>
      <c r="C19" s="2292"/>
      <c r="D19" s="2263"/>
      <c r="E19" s="2250"/>
      <c r="F19" s="314" t="s">
        <v>2257</v>
      </c>
      <c r="G19" s="2291">
        <f>G5</f>
        <v>0</v>
      </c>
    </row>
    <row r="20" spans="1:17">
      <c r="A20" s="2249"/>
      <c r="B20" s="2290" t="s">
        <v>2270</v>
      </c>
      <c r="C20" s="2289">
        <f>C9</f>
        <v>0</v>
      </c>
      <c r="D20" s="2242"/>
      <c r="E20" s="2250"/>
      <c r="F20" s="314" t="s">
        <v>2259</v>
      </c>
      <c r="G20" s="2291">
        <f>G6</f>
        <v>0</v>
      </c>
    </row>
    <row r="21" spans="1:17">
      <c r="A21" s="2249"/>
      <c r="B21" s="314" t="s">
        <v>2257</v>
      </c>
      <c r="C21" s="2291">
        <f>C7</f>
        <v>0</v>
      </c>
      <c r="D21" s="2263"/>
      <c r="E21" s="2250"/>
      <c r="F21" s="2290" t="s">
        <v>2271</v>
      </c>
      <c r="G21" s="2293"/>
    </row>
    <row r="22" spans="1:17" ht="13.5" customHeight="1">
      <c r="A22" s="2249"/>
      <c r="B22" s="314" t="s">
        <v>2259</v>
      </c>
      <c r="C22" s="2291">
        <f>C8</f>
        <v>0</v>
      </c>
      <c r="D22" s="2263"/>
      <c r="E22" s="2250"/>
      <c r="F22" s="2290" t="s">
        <v>2262</v>
      </c>
      <c r="G22" s="2292"/>
    </row>
    <row r="23" spans="1:17" s="748" customFormat="1" ht="14.4" thickBot="1">
      <c r="A23" s="2249"/>
      <c r="B23" s="2290" t="s">
        <v>2271</v>
      </c>
      <c r="C23" s="2293"/>
      <c r="D23" s="1611"/>
      <c r="E23" s="2251"/>
      <c r="F23" s="2294" t="s">
        <v>2272</v>
      </c>
      <c r="G23" s="2295"/>
      <c r="H23" s="2274"/>
      <c r="I23" s="2274"/>
      <c r="J23" s="2274"/>
      <c r="K23" s="2274"/>
      <c r="L23" s="2274"/>
      <c r="M23" s="2274"/>
      <c r="N23" s="2274"/>
      <c r="O23" s="2274"/>
      <c r="P23" s="2274"/>
      <c r="Q23" s="2274"/>
    </row>
    <row r="24" spans="1:17" s="748" customFormat="1" ht="14.4" thickBot="1">
      <c r="A24" s="2252"/>
      <c r="B24" s="2294" t="s">
        <v>2273</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40045.229999999996</v>
      </c>
      <c r="C1" s="2459"/>
      <c r="D1" s="2459"/>
      <c r="E1" s="2459"/>
      <c r="F1" s="2459"/>
      <c r="G1" s="2460"/>
      <c r="H1" s="2460"/>
      <c r="I1" s="2460"/>
      <c r="J1" s="2460"/>
      <c r="K1" s="2460"/>
    </row>
    <row r="2" spans="1:11" ht="16.2">
      <c r="A2" s="2297" t="s">
        <v>653</v>
      </c>
      <c r="B2" s="2297">
        <f>SUM(C14:C23)</f>
        <v>8274.56</v>
      </c>
      <c r="C2" s="2459"/>
      <c r="D2" s="2459"/>
      <c r="E2" s="2459"/>
      <c r="F2" s="2459"/>
      <c r="G2" s="2460"/>
      <c r="H2" s="2460"/>
      <c r="I2" s="2460"/>
      <c r="J2" s="2460"/>
      <c r="K2" s="2460"/>
    </row>
    <row r="3" spans="1:11" ht="15.6">
      <c r="A3" s="2297" t="s">
        <v>662</v>
      </c>
      <c r="B3" s="2299">
        <f>项目基本情况!D3</f>
        <v>45737</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119178</v>
      </c>
      <c r="C5" s="2297">
        <f ca="1">IF(B5=D14,结果表!H102,ROUND(B5*10000/$B$1,0))</f>
        <v>29761</v>
      </c>
      <c r="D5" s="2297">
        <f ca="1">ROUND(B5*10000/$B$2,0)</f>
        <v>144029</v>
      </c>
      <c r="E5" s="2459"/>
      <c r="F5" s="2460"/>
      <c r="G5" s="2460"/>
      <c r="H5" s="2460"/>
      <c r="I5" s="2460"/>
      <c r="J5" s="2460"/>
      <c r="K5" s="2460"/>
    </row>
    <row r="6" spans="1:11" ht="15.6">
      <c r="A6" s="2297" t="s">
        <v>656</v>
      </c>
      <c r="B6" s="2297">
        <f ca="1">SUM(G14:G23)</f>
        <v>119178</v>
      </c>
      <c r="C6" s="2297">
        <f ca="1">IF(B6=G14,结果表!H108,ROUND(B6*10000/$B$1,0))</f>
        <v>29761</v>
      </c>
      <c r="D6" s="2297">
        <f ca="1">ROUND(B6*10000/$B$2,0)</f>
        <v>144029</v>
      </c>
      <c r="E6" s="2459"/>
      <c r="F6" s="2460"/>
      <c r="G6" s="2460"/>
      <c r="H6" s="2460"/>
      <c r="I6" s="2460"/>
      <c r="J6" s="2460"/>
      <c r="K6" s="2460"/>
    </row>
    <row r="7" spans="1:11" ht="15.6">
      <c r="A7" s="2297" t="s">
        <v>664</v>
      </c>
      <c r="B7" s="2297">
        <f>SUM(H14:H23)</f>
        <v>0</v>
      </c>
      <c r="C7" s="2297" t="str">
        <f>IF(B7=H14,结果表!H110,ROUND(B7*10000/$B$1,0))</f>
        <v>——</v>
      </c>
      <c r="D7" s="2297">
        <f>ROUND(B7*10000/$B$2,0)</f>
        <v>0</v>
      </c>
      <c r="E7" s="2459"/>
      <c r="F7" s="2460"/>
      <c r="G7" s="2460"/>
      <c r="H7" s="2460"/>
      <c r="I7" s="2460"/>
      <c r="J7" s="2460"/>
      <c r="K7" s="2460"/>
    </row>
    <row r="8" spans="1:11" ht="15.6">
      <c r="A8" s="2297" t="s">
        <v>587</v>
      </c>
      <c r="B8" s="2297">
        <f ca="1">SUM(I14:I23)</f>
        <v>99292</v>
      </c>
      <c r="C8" s="2297">
        <f ca="1">IF(B8=I14,结果表!H112,ROUND(B8*10000/$B$1,0))</f>
        <v>24795</v>
      </c>
      <c r="D8" s="2297">
        <f ca="1">ROUND(B8*10000/$B$2,0)</f>
        <v>119997</v>
      </c>
      <c r="E8" s="2459"/>
      <c r="F8" s="2460"/>
      <c r="G8" s="2460"/>
      <c r="H8" s="2460"/>
      <c r="I8" s="2460"/>
      <c r="J8" s="2460"/>
      <c r="K8" s="2460"/>
    </row>
    <row r="9" spans="1:11" ht="15.6">
      <c r="A9" s="2297" t="s">
        <v>655</v>
      </c>
      <c r="B9" s="1241"/>
      <c r="C9" s="2459"/>
      <c r="D9" s="2459"/>
      <c r="E9" s="2459"/>
      <c r="F9" s="2460"/>
      <c r="G9" s="2460"/>
      <c r="H9" s="2460"/>
      <c r="I9" s="2460"/>
      <c r="J9" s="2460"/>
      <c r="K9" s="2460"/>
    </row>
    <row r="10" spans="1:11" ht="15.6">
      <c r="A10" s="2297" t="s">
        <v>654</v>
      </c>
      <c r="B10" s="2297">
        <f>IF(E10="",0,ROUND(B1*(E10*365/G10)/10000,0))</f>
        <v>0</v>
      </c>
      <c r="C10" s="2297" t="s">
        <v>3347</v>
      </c>
      <c r="D10" s="2297" t="s">
        <v>3348</v>
      </c>
      <c r="E10" s="3134"/>
      <c r="F10" s="3138" t="s">
        <v>3349</v>
      </c>
      <c r="G10" s="3135"/>
      <c r="H10" s="2460"/>
      <c r="I10" s="2460"/>
      <c r="J10" s="2460"/>
      <c r="K10" s="2460"/>
    </row>
    <row r="11" spans="1:11" ht="15.6">
      <c r="A11" s="2297" t="s">
        <v>670</v>
      </c>
      <c r="B11" s="1241"/>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'数据-汇总表'!E3</f>
        <v>40045.229999999996</v>
      </c>
      <c r="C14" s="2303">
        <f>'数据-汇总表'!D3</f>
        <v>8274.56</v>
      </c>
      <c r="D14" s="2303">
        <f ca="1">结果表!G19</f>
        <v>119178</v>
      </c>
      <c r="E14" s="2303">
        <f ca="1">ROUND(D14*10000/B14,0)</f>
        <v>29761</v>
      </c>
      <c r="F14" s="2303">
        <f ca="1">ROUND(D14*10000/C14,0)</f>
        <v>144029</v>
      </c>
      <c r="G14" s="2303">
        <f ca="1">D14</f>
        <v>119178</v>
      </c>
      <c r="H14" s="2303"/>
      <c r="I14" s="2303">
        <f ca="1">结果表!N59</f>
        <v>99292</v>
      </c>
      <c r="J14" s="2460"/>
      <c r="K14" s="2460"/>
    </row>
    <row r="15" spans="1:11" ht="15.6">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5.6">
      <c r="A16" s="2302" t="s">
        <v>648</v>
      </c>
      <c r="B16" s="2304"/>
      <c r="C16" s="2304"/>
      <c r="D16" s="2304"/>
      <c r="E16" s="2303" t="e">
        <f t="shared" si="0"/>
        <v>#DIV/0!</v>
      </c>
      <c r="F16" s="2303" t="e">
        <f t="shared" si="1"/>
        <v>#DIV/0!</v>
      </c>
      <c r="G16" s="1241"/>
      <c r="H16" s="1241"/>
      <c r="I16" s="2304"/>
      <c r="J16" s="2460"/>
      <c r="K16" s="2460"/>
    </row>
    <row r="17" spans="1:11" ht="15.6">
      <c r="A17" s="2302" t="s">
        <v>647</v>
      </c>
      <c r="B17" s="2304"/>
      <c r="C17" s="2304"/>
      <c r="D17" s="2304"/>
      <c r="E17" s="2303" t="e">
        <f t="shared" si="0"/>
        <v>#DIV/0!</v>
      </c>
      <c r="F17" s="2303" t="e">
        <f t="shared" si="1"/>
        <v>#DIV/0!</v>
      </c>
      <c r="G17" s="1241"/>
      <c r="H17" s="1241"/>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2" zoomScaleNormal="100" zoomScaleSheetLayoutView="100" zoomScalePageLayoutView="80" workbookViewId="0">
      <selection activeCell="O54" sqref="O54"/>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c r="D1" s="645"/>
      <c r="E1" s="645"/>
      <c r="F1" s="1618" t="s">
        <v>1263</v>
      </c>
      <c r="G1" s="1450" t="s">
        <v>3449</v>
      </c>
      <c r="H1" s="1618" t="str">
        <f>IF(G1="现房","——","估价对象范围")</f>
        <v>——</v>
      </c>
      <c r="I1" s="1619" t="s">
        <v>3450</v>
      </c>
    </row>
    <row r="2" spans="1:12" ht="21.75" customHeight="1" thickBot="1">
      <c r="A2" s="3327" t="str">
        <f>项目基本情况!S2</f>
        <v>北京市房地产</v>
      </c>
      <c r="B2" s="3328"/>
      <c r="C2" s="3328"/>
      <c r="D2" s="3328"/>
      <c r="E2" s="3328"/>
      <c r="F2" s="3328"/>
      <c r="G2" s="3328"/>
      <c r="H2" s="3328"/>
      <c r="I2" s="3329"/>
    </row>
    <row r="3" spans="1:12" ht="13.2">
      <c r="A3" s="3331" t="s">
        <v>1264</v>
      </c>
      <c r="B3" s="3332"/>
      <c r="C3" s="3332"/>
      <c r="D3" s="3332"/>
      <c r="E3" s="3332"/>
      <c r="F3" s="3332"/>
      <c r="G3" s="3332"/>
      <c r="H3" s="3332"/>
      <c r="I3" s="3332"/>
    </row>
    <row r="4" spans="1:12" ht="14.4">
      <c r="A4" s="1621" t="s">
        <v>1265</v>
      </c>
      <c r="B4" s="1622" t="s">
        <v>1266</v>
      </c>
      <c r="C4" s="1623" t="s">
        <v>3451</v>
      </c>
      <c r="D4" s="1623" t="s">
        <v>3624</v>
      </c>
      <c r="E4" s="3336" t="s">
        <v>1267</v>
      </c>
      <c r="F4" s="3337"/>
      <c r="G4" s="3337"/>
      <c r="H4" s="3337"/>
      <c r="I4" s="3338"/>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5" t="s">
        <v>1268</v>
      </c>
      <c r="B5" s="3330">
        <v>25</v>
      </c>
      <c r="C5" s="3333"/>
      <c r="D5" s="3321"/>
      <c r="E5" s="122" t="s">
        <v>1269</v>
      </c>
      <c r="F5" s="1624"/>
      <c r="G5" s="1624"/>
      <c r="H5" s="1624"/>
      <c r="I5" s="1278"/>
    </row>
    <row r="6" spans="1:12" ht="13.2">
      <c r="A6" s="3275"/>
      <c r="B6" s="3330"/>
      <c r="C6" s="3335"/>
      <c r="D6" s="3321"/>
      <c r="E6" s="122" t="s">
        <v>1270</v>
      </c>
      <c r="F6" s="1624"/>
      <c r="G6" s="1624"/>
      <c r="H6" s="1624"/>
      <c r="I6" s="1278"/>
    </row>
    <row r="7" spans="1:12" ht="13.2">
      <c r="A7" s="3275"/>
      <c r="B7" s="3330"/>
      <c r="C7" s="3334"/>
      <c r="D7" s="3321"/>
      <c r="E7" s="122" t="s">
        <v>1271</v>
      </c>
      <c r="F7" s="1624"/>
      <c r="G7" s="1624"/>
      <c r="H7" s="1624"/>
      <c r="I7" s="1278"/>
    </row>
    <row r="8" spans="1:12" ht="13.2">
      <c r="A8" s="3275" t="s">
        <v>1272</v>
      </c>
      <c r="B8" s="3330">
        <v>15</v>
      </c>
      <c r="C8" s="3333"/>
      <c r="D8" s="3321"/>
      <c r="E8" s="122" t="s">
        <v>1273</v>
      </c>
      <c r="F8" s="1624"/>
      <c r="G8" s="1624"/>
      <c r="H8" s="1624"/>
      <c r="I8" s="1278"/>
    </row>
    <row r="9" spans="1:12" ht="13.2">
      <c r="A9" s="3275"/>
      <c r="B9" s="3330"/>
      <c r="C9" s="3334"/>
      <c r="D9" s="3321"/>
      <c r="E9" s="122" t="s">
        <v>1274</v>
      </c>
      <c r="F9" s="1624"/>
      <c r="G9" s="1624"/>
      <c r="H9" s="1624"/>
      <c r="I9" s="1278"/>
    </row>
    <row r="10" spans="1:12" ht="13.2">
      <c r="A10" s="3275" t="s">
        <v>1275</v>
      </c>
      <c r="B10" s="3330">
        <v>15</v>
      </c>
      <c r="C10" s="3333"/>
      <c r="D10" s="3321"/>
      <c r="E10" s="122" t="s">
        <v>1276</v>
      </c>
      <c r="F10" s="1624"/>
      <c r="G10" s="1624"/>
      <c r="H10" s="1624"/>
      <c r="I10" s="1278"/>
    </row>
    <row r="11" spans="1:12" ht="13.2">
      <c r="A11" s="3275"/>
      <c r="B11" s="3330"/>
      <c r="C11" s="3334"/>
      <c r="D11" s="3321"/>
      <c r="E11" s="122" t="s">
        <v>1277</v>
      </c>
      <c r="F11" s="1624"/>
      <c r="G11" s="1624"/>
      <c r="H11" s="1624"/>
      <c r="I11" s="1278"/>
    </row>
    <row r="12" spans="1:12" ht="13.2">
      <c r="A12" s="3275" t="s">
        <v>1278</v>
      </c>
      <c r="B12" s="3330">
        <v>15</v>
      </c>
      <c r="C12" s="3333"/>
      <c r="D12" s="3321"/>
      <c r="E12" s="122" t="s">
        <v>1279</v>
      </c>
      <c r="F12" s="1624"/>
      <c r="G12" s="1624"/>
      <c r="H12" s="1624"/>
      <c r="I12" s="1278"/>
    </row>
    <row r="13" spans="1:12" ht="13.2">
      <c r="A13" s="3275"/>
      <c r="B13" s="3330"/>
      <c r="C13" s="3334"/>
      <c r="D13" s="3321"/>
      <c r="E13" s="122" t="s">
        <v>1280</v>
      </c>
      <c r="F13" s="1624"/>
      <c r="G13" s="1624"/>
      <c r="H13" s="1624"/>
      <c r="I13" s="1278"/>
    </row>
    <row r="14" spans="1:12" ht="13.2">
      <c r="A14" s="3275" t="s">
        <v>1281</v>
      </c>
      <c r="B14" s="3330">
        <v>30</v>
      </c>
      <c r="C14" s="3333">
        <v>4</v>
      </c>
      <c r="D14" s="3321">
        <v>6</v>
      </c>
      <c r="E14" s="122" t="s">
        <v>1282</v>
      </c>
      <c r="F14" s="1624"/>
      <c r="G14" s="1624"/>
      <c r="H14" s="1624"/>
      <c r="I14" s="1278"/>
    </row>
    <row r="15" spans="1:12" ht="13.2">
      <c r="A15" s="3275"/>
      <c r="B15" s="3330"/>
      <c r="C15" s="3335"/>
      <c r="D15" s="3321"/>
      <c r="E15" s="122" t="s">
        <v>1283</v>
      </c>
      <c r="F15" s="1624"/>
      <c r="G15" s="1624"/>
      <c r="H15" s="1624"/>
      <c r="I15" s="1278"/>
    </row>
    <row r="16" spans="1:12" ht="13.2">
      <c r="A16" s="3275"/>
      <c r="B16" s="3330"/>
      <c r="C16" s="3334"/>
      <c r="D16" s="3321"/>
      <c r="E16" s="122" t="s">
        <v>1284</v>
      </c>
      <c r="F16" s="1624"/>
      <c r="G16" s="1624"/>
      <c r="H16" s="1624"/>
      <c r="I16" s="1278"/>
    </row>
    <row r="17" spans="1:36" ht="14.4">
      <c r="A17" s="1625" t="s">
        <v>1285</v>
      </c>
      <c r="B17" s="54"/>
      <c r="C17" s="123">
        <f>SUM(C5:C16)</f>
        <v>4</v>
      </c>
      <c r="D17" s="123">
        <f>SUM(D5:D16)</f>
        <v>6</v>
      </c>
      <c r="E17" s="120"/>
      <c r="F17" s="120"/>
      <c r="G17" s="120"/>
      <c r="H17" s="120"/>
      <c r="I17" s="120"/>
      <c r="K17" s="293"/>
      <c r="L17" s="293" t="s">
        <v>1286</v>
      </c>
      <c r="M17" s="293" t="s">
        <v>1287</v>
      </c>
    </row>
    <row r="18" spans="1:36" ht="31.95" customHeight="1" thickBot="1">
      <c r="A18" s="1626" t="s">
        <v>1288</v>
      </c>
      <c r="B18" s="1539"/>
      <c r="C18" s="124">
        <f>ROUND(C17/SUM(C17:D17),2)</f>
        <v>0.4</v>
      </c>
      <c r="D18" s="124">
        <f>1-C18</f>
        <v>0.6</v>
      </c>
      <c r="E18" s="3352" t="s">
        <v>2131</v>
      </c>
      <c r="F18" s="3353"/>
      <c r="G18" s="3353"/>
      <c r="H18" s="3353"/>
      <c r="I18" s="3353"/>
      <c r="K18" s="293" t="s">
        <v>1289</v>
      </c>
      <c r="L18" s="293">
        <f>IF(C1="",'数据-汇总表'!E3,SUMIF(项目类型,C1,'数据-汇总表'!E17:E26)+SUMIF(项目类型,C1,'数据-汇总表'!I17:I26))</f>
        <v>40045.229999999996</v>
      </c>
      <c r="M18" s="293">
        <f>IF(C1="",'数据-汇总表'!E3,SUMIF(项目类型,C1,'数据-汇总表'!E17:E26))</f>
        <v>40045.229999999996</v>
      </c>
    </row>
    <row r="19" spans="1:36" ht="14.4">
      <c r="A19" s="1627" t="s">
        <v>1290</v>
      </c>
      <c r="B19" s="1628" t="s">
        <v>1291</v>
      </c>
      <c r="C19" s="125">
        <f ca="1">SUMIF(INDIRECT("'"&amp;C4&amp;"'"&amp;"!A:A"),结果表!B19,INDIRECT("'"&amp;C4&amp;"'"&amp;"!B:B"))</f>
        <v>147504</v>
      </c>
      <c r="D19" s="126">
        <f ca="1">SUMIF(INDIRECT("'"&amp;D4&amp;"'"&amp;"!A:A"),结果表!B19,INDIRECT("'"&amp;D4&amp;"'"&amp;"!B:B"))</f>
        <v>100294</v>
      </c>
      <c r="E19" s="1627" t="s">
        <v>1292</v>
      </c>
      <c r="F19" s="1628" t="s">
        <v>1291</v>
      </c>
      <c r="G19" s="127">
        <f ca="1">ROUND(C19*$C$18+D19*$D$18,0)</f>
        <v>119178</v>
      </c>
      <c r="H19" s="1629" t="s">
        <v>1293</v>
      </c>
      <c r="I19" s="120"/>
      <c r="K19" s="293" t="s">
        <v>1294</v>
      </c>
      <c r="L19" s="293">
        <f>IF(C1="",'数据-汇总表'!D3,SUMIF(项目类型,C1,'数据-汇总表'!D17:D26)+SUMIF(项目类型,C1,'数据-汇总表'!H17:H27))</f>
        <v>8274.56</v>
      </c>
      <c r="M19" s="293">
        <f>IF(C1="",'数据-汇总表'!D3,SUMIF(项目类型,C1,'数据-汇总表'!D17:D26))</f>
        <v>8274.56</v>
      </c>
    </row>
    <row r="20" spans="1:36" ht="14.4">
      <c r="A20" s="1630"/>
      <c r="B20" s="43" t="s">
        <v>1295</v>
      </c>
      <c r="C20" s="128">
        <f ca="1">SUMIF(INDIRECT("'"&amp;C4&amp;"'"&amp;"!A:A"),结果表!B20,INDIRECT("'"&amp;C4&amp;"'"&amp;"!B:B"))</f>
        <v>36834</v>
      </c>
      <c r="D20" s="129">
        <f ca="1">SUMIF(INDIRECT("'"&amp;D4&amp;"'"&amp;"!A:A"),结果表!B20,INDIRECT("'"&amp;D4&amp;"'"&amp;"!B:B"))</f>
        <v>25045</v>
      </c>
      <c r="E20" s="1630"/>
      <c r="F20" s="43" t="s">
        <v>1295</v>
      </c>
      <c r="G20" s="130">
        <f ca="1">ROUND(C20*$C$18+D20*$D$18,0)</f>
        <v>29761</v>
      </c>
      <c r="H20" s="757" t="s">
        <v>1296</v>
      </c>
      <c r="I20" s="120">
        <f ca="1">ROUND(G19/'数据-汇总表'!F27*10000,0)</f>
        <v>41262</v>
      </c>
    </row>
    <row r="21" spans="1:36" ht="15" customHeight="1" thickBot="1">
      <c r="A21" s="448"/>
      <c r="B21" s="92" t="s">
        <v>1297</v>
      </c>
      <c r="C21" s="677">
        <f ca="1">ROUND(C19*10000/L19,0)</f>
        <v>178262</v>
      </c>
      <c r="D21" s="678">
        <f ca="1">ROUND(D19*10000/L19,0)</f>
        <v>121208</v>
      </c>
      <c r="E21" s="448"/>
      <c r="F21" s="92" t="s">
        <v>1297</v>
      </c>
      <c r="G21" s="131">
        <f ca="1">ROUND(G19*10000/L19,0)</f>
        <v>144029</v>
      </c>
      <c r="H21" s="1631" t="s">
        <v>1296</v>
      </c>
      <c r="I21" s="120"/>
    </row>
    <row r="22" spans="1:36" ht="15" thickBot="1">
      <c r="A22" s="1561" t="s">
        <v>1298</v>
      </c>
      <c r="B22" s="1632"/>
      <c r="C22" s="1633"/>
      <c r="D22" s="679">
        <f ca="1">IF(C19&lt;D19,D19/C19-1,C19/D19-1)</f>
        <v>0.470716094681636</v>
      </c>
      <c r="E22" s="120"/>
      <c r="F22" s="120"/>
      <c r="G22" s="120"/>
      <c r="H22" s="120"/>
      <c r="I22" s="120"/>
    </row>
    <row r="23" spans="1:36" ht="13.8" thickBot="1">
      <c r="A23" s="645"/>
      <c r="B23" s="645"/>
      <c r="C23" s="645"/>
      <c r="D23" s="645"/>
      <c r="E23" s="120"/>
      <c r="F23" s="120"/>
      <c r="G23" s="120"/>
      <c r="H23" s="120"/>
      <c r="I23" s="120"/>
    </row>
    <row r="24" spans="1:36" ht="14.4">
      <c r="A24" s="3345" t="s">
        <v>1299</v>
      </c>
      <c r="B24" s="1628" t="s">
        <v>1291</v>
      </c>
      <c r="C24" s="127">
        <f>IF(B30=0,0,D30)</f>
        <v>0</v>
      </c>
      <c r="D24" s="1634"/>
      <c r="E24" s="120"/>
      <c r="F24" s="120"/>
      <c r="G24" s="120"/>
      <c r="H24" s="120"/>
      <c r="I24" s="120"/>
    </row>
    <row r="25" spans="1:36" ht="14.4">
      <c r="A25" s="334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119178</v>
      </c>
      <c r="D32" s="1638" t="s">
        <v>3452</v>
      </c>
      <c r="E32" s="120"/>
      <c r="F32" s="120"/>
      <c r="G32" s="120"/>
      <c r="H32" s="120"/>
      <c r="I32" s="120"/>
    </row>
    <row r="33" spans="1:15" ht="14.4">
      <c r="A33" s="737" t="s">
        <v>1306</v>
      </c>
      <c r="B33" s="122"/>
      <c r="C33" s="1639" t="s">
        <v>3453</v>
      </c>
      <c r="D33" s="1640" t="s">
        <v>3451</v>
      </c>
      <c r="E33" s="1641" t="s">
        <v>1307</v>
      </c>
      <c r="F33" s="1642" t="str">
        <f>IF(D32="楼面单价","取值（单价）","取值（总价）")</f>
        <v>取值（总价）</v>
      </c>
      <c r="G33" s="120"/>
      <c r="H33" s="120"/>
      <c r="I33" s="120"/>
    </row>
    <row r="34" spans="1:15" ht="14.4">
      <c r="A34" s="1643"/>
      <c r="B34" s="1644" t="s">
        <v>1308</v>
      </c>
      <c r="C34" s="139">
        <f ca="1">IF(C33="自定义",F34,C32-C35)</f>
        <v>96296</v>
      </c>
      <c r="D34" s="805">
        <f ca="1">IF(C33="自定义",ROUND(C34/C32,3),IF(C33="收益比率",SUMIF(INDIRECT("'"&amp;D33&amp;"'"&amp;"!b:b"),"土地收益比率",INDIRECT("'"&amp;D33&amp;"'"&amp;"!c:c")),SUMIF(INDIRECT("'"&amp;D33&amp;"'"&amp;"!b:b"),"土地成本比率",INDIRECT("'"&amp;D33&amp;"'"&amp;"!c:c"))))</f>
        <v>0.80800000000000005</v>
      </c>
      <c r="E34" s="1645" t="s">
        <v>1309</v>
      </c>
      <c r="F34" s="1240"/>
      <c r="G34" s="120"/>
      <c r="H34" s="120"/>
      <c r="I34" s="120"/>
    </row>
    <row r="35" spans="1:15" ht="15" thickBot="1">
      <c r="A35" s="1646"/>
      <c r="B35" s="1647" t="s">
        <v>1310</v>
      </c>
      <c r="C35" s="1087">
        <f ca="1">IF(C33="自定义",F35,ROUND(C32*D35,0))</f>
        <v>22882</v>
      </c>
      <c r="D35" s="1088">
        <f ca="1">IF(C33="自定义",ROUND(C35/C32,3),IF(C33="收益比率",SUMIF(INDIRECT("'"&amp;D33&amp;"'"&amp;"!b:b"),"建筑物收益比率",INDIRECT("'"&amp;D33&amp;"'"&amp;"!c:c")),SUMIF(INDIRECT("'"&amp;D33&amp;"'"&amp;"!b:b"),"建筑物成本比率",INDIRECT("'"&amp;D33&amp;"'"&amp;"!c:c"))))</f>
        <v>0.192</v>
      </c>
      <c r="E35" s="1648" t="s">
        <v>1311</v>
      </c>
      <c r="F35" s="145"/>
      <c r="G35" s="120"/>
      <c r="H35" s="120"/>
      <c r="I35" s="120"/>
    </row>
    <row r="36" spans="1:15" ht="15" thickBot="1">
      <c r="A36" s="3322" t="s">
        <v>1312</v>
      </c>
      <c r="B36" s="1649" t="s">
        <v>1313</v>
      </c>
      <c r="C36" s="136"/>
      <c r="D36" s="1650"/>
      <c r="E36" s="1564"/>
      <c r="F36" s="1651"/>
      <c r="G36" s="120"/>
      <c r="H36" s="120"/>
      <c r="I36" s="120"/>
    </row>
    <row r="37" spans="1:15" ht="15" thickBot="1">
      <c r="A37" s="3323"/>
      <c r="B37" s="1552" t="s">
        <v>1314</v>
      </c>
      <c r="C37" s="138"/>
      <c r="D37" s="1068"/>
      <c r="E37" s="1068"/>
      <c r="F37" s="1651"/>
      <c r="G37" s="120"/>
      <c r="H37" s="120"/>
      <c r="I37" s="120"/>
    </row>
    <row r="38" spans="1:15" ht="15" thickBot="1">
      <c r="A38" s="3324"/>
      <c r="B38" s="1652" t="s">
        <v>1315</v>
      </c>
      <c r="C38" s="640"/>
      <c r="D38" s="1653" t="s">
        <v>1316</v>
      </c>
      <c r="E38" s="1068"/>
      <c r="F38" s="1651"/>
      <c r="G38" s="120"/>
      <c r="H38" s="120"/>
      <c r="I38" s="120"/>
    </row>
    <row r="39" spans="1:15" ht="14.4">
      <c r="A39" s="1630" t="s">
        <v>1317</v>
      </c>
      <c r="B39" s="1654" t="s">
        <v>1318</v>
      </c>
      <c r="C39" s="1655" t="s">
        <v>1319</v>
      </c>
      <c r="D39" s="1655" t="s">
        <v>1320</v>
      </c>
      <c r="E39" s="1656" t="s">
        <v>1321</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42" t="s">
        <v>1326</v>
      </c>
      <c r="B45" s="3343"/>
      <c r="C45" s="3344"/>
      <c r="D45" s="146">
        <f ca="1">ROUND(H101*F45,0)</f>
        <v>119178</v>
      </c>
      <c r="E45" s="147" t="s">
        <v>1327</v>
      </c>
      <c r="F45" s="148">
        <v>1</v>
      </c>
      <c r="G45" s="149" t="s">
        <v>1328</v>
      </c>
      <c r="H45" s="120"/>
      <c r="I45" s="120"/>
      <c r="J45" s="3262" t="s">
        <v>1329</v>
      </c>
      <c r="K45" s="3262"/>
      <c r="L45" s="3262"/>
      <c r="M45" s="3262"/>
      <c r="N45" s="3262"/>
      <c r="O45" s="3262"/>
    </row>
    <row r="46" spans="1:15" ht="14.25" customHeight="1">
      <c r="A46" s="3339" t="s">
        <v>1330</v>
      </c>
      <c r="B46" s="3340"/>
      <c r="C46" s="3340"/>
      <c r="D46" s="3340"/>
      <c r="E46" s="3340"/>
      <c r="F46" s="3340"/>
      <c r="G46" s="3341"/>
      <c r="H46" s="1665"/>
      <c r="I46" s="150"/>
      <c r="J46" s="2307">
        <v>1</v>
      </c>
      <c r="K46" s="3263" t="s">
        <v>1331</v>
      </c>
      <c r="L46" s="3263"/>
      <c r="M46" s="3264"/>
      <c r="N46" s="3264"/>
      <c r="O46" s="3264"/>
    </row>
    <row r="47" spans="1:15" ht="12" customHeight="1">
      <c r="A47" s="151" t="s">
        <v>1332</v>
      </c>
      <c r="B47" s="152"/>
      <c r="C47" s="153"/>
      <c r="D47" s="1021" t="s">
        <v>1333</v>
      </c>
      <c r="E47" s="293" t="s">
        <v>1334</v>
      </c>
      <c r="F47" s="154" t="s">
        <v>1335</v>
      </c>
      <c r="G47" s="2330" t="s">
        <v>1336</v>
      </c>
      <c r="H47" s="2331"/>
      <c r="I47" s="150"/>
      <c r="J47" s="2307">
        <v>2</v>
      </c>
      <c r="K47" s="3263" t="s">
        <v>1337</v>
      </c>
      <c r="L47" s="3263"/>
      <c r="M47" s="3265">
        <f>'数据-取费表'!B2</f>
        <v>45737</v>
      </c>
      <c r="N47" s="3265"/>
      <c r="O47" s="3265"/>
    </row>
    <row r="48" spans="1:15" ht="26.4">
      <c r="A48" s="3325" t="s">
        <v>1338</v>
      </c>
      <c r="B48" s="3326"/>
      <c r="C48" s="3326"/>
      <c r="D48" s="12">
        <f ca="1">IF(H48="情况1",0,IF(H48="情况2",D52,IF(H48="情况3",D53,IF(H48="情况4",D54))))</f>
        <v>6356</v>
      </c>
      <c r="E48" s="1253" t="str">
        <f>IF(H48="情况4","(销售额-原购置价)×税（费）率","销售额×税（费）率")</f>
        <v>销售额×税（费）率</v>
      </c>
      <c r="F48" s="2332">
        <f>IF(H48="情况1","免征",'数据-取费表'!B41)</f>
        <v>5.6000000000000001E-2</v>
      </c>
      <c r="G48" s="2333" t="s">
        <v>1339</v>
      </c>
      <c r="H48" s="2334" t="s">
        <v>3628</v>
      </c>
      <c r="I48" s="1665"/>
      <c r="J48" s="2307">
        <v>3</v>
      </c>
      <c r="K48" s="3263" t="s">
        <v>1340</v>
      </c>
      <c r="L48" s="3263"/>
      <c r="M48" s="3266">
        <f ca="1">H101</f>
        <v>119178</v>
      </c>
      <c r="N48" s="3266"/>
      <c r="O48" s="3266"/>
    </row>
    <row r="49" spans="1:35" ht="25.5" customHeight="1">
      <c r="A49" s="2149" t="s">
        <v>1341</v>
      </c>
      <c r="B49" s="3311" t="s">
        <v>1342</v>
      </c>
      <c r="C49" s="3311"/>
      <c r="D49" s="1475">
        <v>0</v>
      </c>
      <c r="E49" s="315" t="s">
        <v>1343</v>
      </c>
      <c r="F49" s="2230" t="s">
        <v>28</v>
      </c>
      <c r="G49" s="3294"/>
      <c r="H49" s="2131" t="s">
        <v>2134</v>
      </c>
      <c r="I49" s="2132"/>
      <c r="J49" s="2307">
        <v>4</v>
      </c>
      <c r="K49" s="3263" t="str">
        <f>IF(项目基本情况!E8="房地产抵押价值","房地产抵押价值","抵押担保权已注销时的房地产抵押价值")</f>
        <v>房地产抵押价值</v>
      </c>
      <c r="L49" s="3263"/>
      <c r="M49" s="3266">
        <f ca="1">IF(项目基本情况!E8="房地产抵押价值",H107,H109)</f>
        <v>119178</v>
      </c>
      <c r="N49" s="3266"/>
      <c r="O49" s="3266"/>
    </row>
    <row r="50" spans="1:35" ht="25.5" customHeight="1">
      <c r="A50" s="2335"/>
      <c r="B50" s="3311" t="s">
        <v>1344</v>
      </c>
      <c r="C50" s="3311"/>
      <c r="D50" s="2186"/>
      <c r="E50" s="322"/>
      <c r="F50" s="2230"/>
      <c r="G50" s="3295"/>
      <c r="H50" s="2133" t="s">
        <v>2135</v>
      </c>
      <c r="I50" s="2132"/>
      <c r="J50" s="3262" t="s">
        <v>1345</v>
      </c>
      <c r="K50" s="3262"/>
      <c r="L50" s="3262"/>
      <c r="M50" s="3262"/>
      <c r="N50" s="3262"/>
      <c r="O50" s="3262"/>
    </row>
    <row r="51" spans="1:35" ht="20.399999999999999" customHeight="1">
      <c r="A51" s="2336"/>
      <c r="B51" s="3311" t="s">
        <v>1346</v>
      </c>
      <c r="C51" s="3311"/>
      <c r="D51" s="1021"/>
      <c r="E51" s="318"/>
      <c r="F51" s="2230"/>
      <c r="G51" s="3296"/>
      <c r="H51" s="2133" t="s">
        <v>2136</v>
      </c>
      <c r="I51" s="2132"/>
      <c r="J51" s="2308" t="s">
        <v>1347</v>
      </c>
      <c r="K51" s="3263" t="s">
        <v>1348</v>
      </c>
      <c r="L51" s="3263"/>
      <c r="M51" s="2308" t="s">
        <v>1349</v>
      </c>
      <c r="N51" s="2308" t="s">
        <v>1350</v>
      </c>
      <c r="O51" s="2308" t="s">
        <v>1351</v>
      </c>
    </row>
    <row r="52" spans="1:35" ht="24" customHeight="1">
      <c r="A52" s="2150" t="s">
        <v>1352</v>
      </c>
      <c r="B52" s="3311" t="s">
        <v>1353</v>
      </c>
      <c r="C52" s="3311"/>
      <c r="D52" s="1021">
        <f ca="1">ROUND(D45*'数据-取费表'!B41/(1+'数据-取费表'!C42),0)</f>
        <v>6356</v>
      </c>
      <c r="E52" s="1253" t="s">
        <v>1354</v>
      </c>
      <c r="F52" s="2337">
        <f>'数据-取费表'!B41</f>
        <v>5.6000000000000001E-2</v>
      </c>
      <c r="G52" s="2338"/>
      <c r="H52" s="2328"/>
      <c r="I52" s="1666"/>
      <c r="J52" s="2307">
        <v>1</v>
      </c>
      <c r="K52" s="3288" t="s">
        <v>1355</v>
      </c>
      <c r="L52" s="3288"/>
      <c r="M52" s="2309">
        <f ca="1">D48</f>
        <v>6356</v>
      </c>
      <c r="N52" s="2307" t="str">
        <f>E48</f>
        <v>销售额×税（费）率</v>
      </c>
      <c r="O52" s="2310">
        <f>F48</f>
        <v>5.6000000000000001E-2</v>
      </c>
    </row>
    <row r="53" spans="1:35" ht="12" customHeight="1">
      <c r="A53" s="2150" t="s">
        <v>1356</v>
      </c>
      <c r="B53" s="3312" t="s">
        <v>2282</v>
      </c>
      <c r="C53" s="3313"/>
      <c r="D53" s="1021">
        <f ca="1">ROUND(D45*'数据-取费表'!B41/(1+'数据-取费表'!C42),0)</f>
        <v>6356</v>
      </c>
      <c r="E53" s="1253" t="s">
        <v>1354</v>
      </c>
      <c r="F53" s="2337">
        <f>'数据-取费表'!B41</f>
        <v>5.6000000000000001E-2</v>
      </c>
      <c r="G53" s="2338"/>
      <c r="H53" s="2328"/>
      <c r="I53" s="1666"/>
      <c r="J53" s="2307">
        <v>2</v>
      </c>
      <c r="K53" s="3288" t="s">
        <v>1357</v>
      </c>
      <c r="L53" s="3288"/>
      <c r="M53" s="2309">
        <f t="shared" ref="M53:O54" ca="1" si="0">D55</f>
        <v>60</v>
      </c>
      <c r="N53" s="2307" t="str">
        <f t="shared" si="0"/>
        <v>销售额×税（费）率</v>
      </c>
      <c r="O53" s="2310">
        <f t="shared" si="0"/>
        <v>5.0000000000000001E-4</v>
      </c>
    </row>
    <row r="54" spans="1:35" ht="12" customHeight="1">
      <c r="A54" s="2150" t="s">
        <v>1358</v>
      </c>
      <c r="B54" s="3312" t="s">
        <v>2283</v>
      </c>
      <c r="C54" s="3313"/>
      <c r="D54" s="1021">
        <f ca="1">C68</f>
        <v>6356</v>
      </c>
      <c r="E54" s="318" t="s">
        <v>1359</v>
      </c>
      <c r="F54" s="2337">
        <f>'数据-取费表'!B41</f>
        <v>5.6000000000000001E-2</v>
      </c>
      <c r="G54" s="2338"/>
      <c r="H54" s="2339"/>
      <c r="I54" s="1666"/>
      <c r="J54" s="2307">
        <v>3</v>
      </c>
      <c r="K54" s="3288" t="s">
        <v>1360</v>
      </c>
      <c r="L54" s="3288"/>
      <c r="M54" s="2309">
        <f t="shared" ca="1" si="0"/>
        <v>13470</v>
      </c>
      <c r="N54" s="2307" t="str">
        <f t="shared" si="0"/>
        <v>增值额×税（费）率</v>
      </c>
      <c r="O54" s="2311" t="str">
        <f t="shared" si="0"/>
        <v>——</v>
      </c>
    </row>
    <row r="55" spans="1:35" ht="24" customHeight="1">
      <c r="A55" s="3348" t="s">
        <v>1361</v>
      </c>
      <c r="B55" s="3326"/>
      <c r="C55" s="3326"/>
      <c r="D55" s="12">
        <f ca="1">IF(H55="个人住宅",0,ROUND(D45*I55,0))</f>
        <v>60</v>
      </c>
      <c r="E55" s="1253" t="s">
        <v>1362</v>
      </c>
      <c r="F55" s="2337">
        <f>IF(H55="正常",I55,"免征")</f>
        <v>5.0000000000000001E-4</v>
      </c>
      <c r="G55" s="2338"/>
      <c r="H55" s="2334" t="s">
        <v>3625</v>
      </c>
      <c r="I55" s="156">
        <f>'数据-取费表'!B49</f>
        <v>5.0000000000000001E-4</v>
      </c>
      <c r="J55" s="2307" t="str">
        <f>IF(H59="非个人房产","",4)</f>
        <v/>
      </c>
      <c r="K55" s="3288" t="str">
        <f>IF(H59="非个人房产","——","个人所得税")</f>
        <v>——</v>
      </c>
      <c r="L55" s="3288"/>
      <c r="M55" s="2312" t="str">
        <f>D59</f>
        <v>——</v>
      </c>
      <c r="N55" s="1880" t="str">
        <f>E59</f>
        <v>——</v>
      </c>
      <c r="O55" s="2313" t="str">
        <f>F59</f>
        <v>——</v>
      </c>
    </row>
    <row r="56" spans="1:35" ht="25.2">
      <c r="A56" s="3348" t="s">
        <v>1363</v>
      </c>
      <c r="B56" s="3326"/>
      <c r="C56" s="3326"/>
      <c r="D56" s="12">
        <f ca="1">IF(H56="个人住宅",D57,D58)</f>
        <v>13470</v>
      </c>
      <c r="E56" s="1253" t="s">
        <v>1364</v>
      </c>
      <c r="F56" s="2337" t="str">
        <f>IF(H56="正常",F58,"免征")</f>
        <v>——</v>
      </c>
      <c r="G56" s="2340" t="s">
        <v>1365</v>
      </c>
      <c r="H56" s="2341" t="s">
        <v>3625</v>
      </c>
      <c r="I56" s="1667"/>
      <c r="J56" s="2307" t="str">
        <f>IF(项目基本情况!K6="上海银行",IF(J55="",4,J55+1),"")</f>
        <v/>
      </c>
      <c r="K56" s="3269" t="str">
        <f>IF(项目基本情况!K6="上海银行","其他处置费用","")</f>
        <v/>
      </c>
      <c r="L56" s="3270"/>
      <c r="M56" s="2309" t="str">
        <f>IF(项目基本情况!K6="上海银行",M69,"")</f>
        <v/>
      </c>
      <c r="N56" s="3269" t="str">
        <f>IF(项目基本情况!K6="上海银行","包含处置中涉及的律师、诉讼、拍卖、评估等费用","")</f>
        <v/>
      </c>
      <c r="O56" s="3272"/>
    </row>
    <row r="57" spans="1:35" ht="13.2">
      <c r="A57" s="2150" t="s">
        <v>1341</v>
      </c>
      <c r="B57" s="3312" t="s">
        <v>1366</v>
      </c>
      <c r="C57" s="3313"/>
      <c r="D57" s="1475">
        <v>0</v>
      </c>
      <c r="E57" s="315" t="s">
        <v>1343</v>
      </c>
      <c r="F57" s="293"/>
      <c r="G57" s="2338"/>
      <c r="H57" s="2342"/>
      <c r="I57" s="1667"/>
      <c r="J57" s="3288">
        <f>IF(AND(J55="",J56=""),4,IF(项目基本情况!K6="上海银行",结果表!J56+1,结果表!J55+1))</f>
        <v>4</v>
      </c>
      <c r="K57" s="3288" t="s">
        <v>1367</v>
      </c>
      <c r="L57" s="2314" t="s">
        <v>1368</v>
      </c>
      <c r="M57" s="2315"/>
      <c r="N57" s="2316">
        <f ca="1">SUMIF(M52:M56,"&lt;9e307")</f>
        <v>19886</v>
      </c>
      <c r="O57" s="2317"/>
      <c r="P57" s="2462">
        <f ca="1">N57/M49</f>
        <v>0.16685965530550942</v>
      </c>
    </row>
    <row r="58" spans="1:35" ht="25.2">
      <c r="A58" s="2150" t="s">
        <v>1352</v>
      </c>
      <c r="B58" s="3312" t="s">
        <v>1369</v>
      </c>
      <c r="C58" s="3311"/>
      <c r="D58" s="12">
        <f ca="1">IF(H58="转让取得",C81,C97)</f>
        <v>13470</v>
      </c>
      <c r="E58" s="1253" t="s">
        <v>1364</v>
      </c>
      <c r="F58" s="293" t="s">
        <v>28</v>
      </c>
      <c r="G58" s="2338"/>
      <c r="H58" s="2341" t="s">
        <v>3626</v>
      </c>
      <c r="I58" s="1667"/>
      <c r="J58" s="3288"/>
      <c r="K58" s="3288"/>
      <c r="L58" s="2314" t="s">
        <v>1370</v>
      </c>
      <c r="M58" s="2318"/>
      <c r="N58" s="2319" t="str">
        <f ca="1">NUMBERSTRING(INT(N57*10000),2)&amp;"元整"</f>
        <v>壹亿玖仟捌佰捌拾陆万元整</v>
      </c>
      <c r="O58" s="2320"/>
    </row>
    <row r="59" spans="1:35" ht="24.6" thickBot="1">
      <c r="A59" s="3292" t="s">
        <v>1371</v>
      </c>
      <c r="B59" s="3293"/>
      <c r="C59" s="3293"/>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3627</v>
      </c>
      <c r="I59" s="2134" t="s">
        <v>2137</v>
      </c>
      <c r="J59" s="3290">
        <f>J57+1</f>
        <v>5</v>
      </c>
      <c r="K59" s="3288" t="s">
        <v>1372</v>
      </c>
      <c r="L59" s="2307" t="s">
        <v>1368</v>
      </c>
      <c r="M59" s="2321"/>
      <c r="N59" s="2322">
        <f ca="1">M49-N57</f>
        <v>99292</v>
      </c>
      <c r="O59" s="2323"/>
    </row>
    <row r="60" spans="1:35" ht="12" customHeight="1">
      <c r="A60" s="1668"/>
      <c r="B60" s="645"/>
      <c r="C60" s="645"/>
      <c r="D60" s="645"/>
      <c r="E60" s="1463"/>
      <c r="F60" s="1667"/>
      <c r="G60" s="1667"/>
      <c r="H60" s="150"/>
      <c r="I60" s="120"/>
      <c r="J60" s="3291"/>
      <c r="K60" s="3288"/>
      <c r="L60" s="2314" t="s">
        <v>1370</v>
      </c>
      <c r="M60" s="2318"/>
      <c r="N60" s="2319" t="str">
        <f ca="1">NUMBERSTRING(INT(N59*10000),2)&amp;"元整"</f>
        <v>玖亿玖仟贰佰玖拾贰万元整</v>
      </c>
      <c r="O60" s="2320"/>
    </row>
    <row r="61" spans="1:35" ht="13.8" thickBot="1">
      <c r="A61" s="3347" t="s">
        <v>1373</v>
      </c>
      <c r="B61" s="3347"/>
      <c r="C61" s="3347"/>
      <c r="D61" s="3347"/>
      <c r="E61" s="3347"/>
      <c r="F61" s="1667"/>
      <c r="G61" s="1667"/>
      <c r="H61" s="150"/>
      <c r="I61" s="120"/>
      <c r="J61" s="2307">
        <f>J59+1</f>
        <v>6</v>
      </c>
      <c r="K61" s="3288" t="s">
        <v>1374</v>
      </c>
      <c r="L61" s="3288"/>
      <c r="M61" s="2324"/>
      <c r="N61" s="2325">
        <f ca="1">ROUND(N59*10000/'数据-汇总表'!E3,0)</f>
        <v>24795</v>
      </c>
      <c r="O61" s="2326"/>
    </row>
    <row r="62" spans="1:35" ht="13.2">
      <c r="A62" s="3307" t="s">
        <v>1375</v>
      </c>
      <c r="B62" s="3308"/>
      <c r="C62" s="1862"/>
      <c r="D62" s="1862" t="s">
        <v>1376</v>
      </c>
      <c r="E62" s="157" t="s">
        <v>1377</v>
      </c>
      <c r="F62" s="1667"/>
      <c r="G62" s="1667"/>
      <c r="H62" s="150"/>
      <c r="I62" s="120"/>
    </row>
    <row r="63" spans="1:35" ht="13.2">
      <c r="A63" s="164" t="s">
        <v>330</v>
      </c>
      <c r="B63" s="158" t="s">
        <v>1378</v>
      </c>
      <c r="C63" s="2347">
        <f ca="1">ROUND((C64+C65)/(1+'数据-取费表'!C42),0)</f>
        <v>113503</v>
      </c>
      <c r="D63" s="158"/>
      <c r="E63" s="159"/>
      <c r="F63" s="1667"/>
      <c r="G63" s="1667"/>
      <c r="H63" s="150"/>
      <c r="I63" s="120"/>
      <c r="J63" s="3271" t="s">
        <v>1379</v>
      </c>
      <c r="K63" s="1242" t="s">
        <v>1380</v>
      </c>
      <c r="L63" s="1242">
        <f ca="1">IF(M49&gt;10000,M49*0.5%,IF(AND(M49&gt;1000,M49&lt;=10000),M49*1%,IF(AND(M49&gt;100,M49&lt;=1000),M49*3%,IF(AND(M49&gt;10,M49&lt;=100),M49*5%,M49*8%))))</f>
        <v>595.89</v>
      </c>
      <c r="M63" s="293">
        <f ca="1">ROUND(L63,1)</f>
        <v>595.9</v>
      </c>
      <c r="N63" s="2327"/>
      <c r="Z63" s="1620"/>
      <c r="AI63" s="1558"/>
    </row>
    <row r="64" spans="1:35" ht="14.25" customHeight="1">
      <c r="A64" s="160" t="s">
        <v>325</v>
      </c>
      <c r="B64" s="161" t="s">
        <v>1381</v>
      </c>
      <c r="C64" s="2348">
        <f ca="1">D45</f>
        <v>119178</v>
      </c>
      <c r="D64" s="161" t="s">
        <v>26</v>
      </c>
      <c r="E64" s="163"/>
      <c r="F64" s="1667"/>
      <c r="G64" s="1667"/>
      <c r="H64" s="150"/>
      <c r="I64" s="120"/>
      <c r="J64" s="3271"/>
      <c r="K64" s="1242" t="s">
        <v>1382</v>
      </c>
      <c r="L64" s="1242">
        <f ca="1">IF(M49&gt;2000,M49*0.5%,IF(AND(M49&gt;1000,M49&lt;=2000),M49*0.6%,IF(AND(M49&gt;500,M49&lt;=1000),M49*0.7%,IF(AND(M49&gt;200,M49&lt;=500),M49*0.8%,IF(AND(M49&gt;100,M49&lt;=200),M49*0.9%,IF(AND(M49&gt;50,M49&lt;=100),M49*1%,IF(AND(M49&gt;20,M49&lt;=50),M49*1.5%,IF(AND(M49&gt;10,M49&lt;=20),M49*2%,IF(AND(M49&gt;1,M49&lt;=10),M49*2.5%)))))))))</f>
        <v>595.89</v>
      </c>
      <c r="M64" s="293">
        <f t="shared" ref="M64:M65" ca="1" si="1">ROUND(L64,1)</f>
        <v>595.9</v>
      </c>
      <c r="N64" s="2328" t="s">
        <v>1383</v>
      </c>
      <c r="Z64" s="1620"/>
      <c r="AI64" s="1558"/>
    </row>
    <row r="65" spans="1:35" ht="14.25" customHeight="1">
      <c r="A65" s="160" t="s">
        <v>326</v>
      </c>
      <c r="B65" s="161" t="s">
        <v>1384</v>
      </c>
      <c r="C65" s="2349"/>
      <c r="D65" s="161"/>
      <c r="E65" s="163"/>
      <c r="F65" s="1667"/>
      <c r="G65" s="1667"/>
      <c r="H65" s="150"/>
      <c r="I65" s="120"/>
      <c r="J65" s="3271"/>
      <c r="K65" s="1242" t="s">
        <v>1385</v>
      </c>
      <c r="L65" s="1242">
        <f ca="1">IF(M49&gt;1000,M49*0.1%,IF(AND(M49&gt;500,M49&lt;=1000),M49*0.5%,IF(AND(M49&gt;50,M49&lt;=500),M49*1%,IF(AND(M49&gt;1,M49&lt;=50),M49*1.5%))))</f>
        <v>119.178</v>
      </c>
      <c r="M65" s="293">
        <f t="shared" ca="1" si="1"/>
        <v>119.2</v>
      </c>
      <c r="N65" s="2328" t="s">
        <v>1383</v>
      </c>
      <c r="Z65" s="1620"/>
      <c r="AI65" s="1558"/>
    </row>
    <row r="66" spans="1:35" ht="14.25" customHeight="1">
      <c r="A66" s="164" t="s">
        <v>327</v>
      </c>
      <c r="B66" s="165" t="s">
        <v>1386</v>
      </c>
      <c r="C66" s="2350"/>
      <c r="D66" s="165" t="s">
        <v>26</v>
      </c>
      <c r="E66" s="1248" t="s">
        <v>671</v>
      </c>
      <c r="F66" s="1667"/>
      <c r="G66" s="1667"/>
      <c r="H66" s="150"/>
      <c r="I66" s="120"/>
      <c r="J66" s="3271"/>
      <c r="K66" s="1242" t="s">
        <v>1387</v>
      </c>
      <c r="L66" s="1242">
        <f ca="1">M49*0.5%</f>
        <v>595.89</v>
      </c>
      <c r="M66" s="293">
        <f ca="1">IF(L66&gt;0.5,0.5,ROUND(L66,0))</f>
        <v>0.5</v>
      </c>
      <c r="N66" s="2328" t="s">
        <v>1388</v>
      </c>
      <c r="Z66" s="1620"/>
      <c r="AI66" s="1558"/>
    </row>
    <row r="67" spans="1:35" ht="14.25" customHeight="1">
      <c r="A67" s="164" t="s">
        <v>328</v>
      </c>
      <c r="B67" s="165" t="s">
        <v>1389</v>
      </c>
      <c r="C67" s="2351">
        <f ca="1">C63-C66</f>
        <v>113503</v>
      </c>
      <c r="D67" s="161" t="s">
        <v>26</v>
      </c>
      <c r="E67" s="163"/>
      <c r="F67" s="1667"/>
      <c r="G67" s="1667"/>
      <c r="H67" s="150"/>
      <c r="I67" s="120"/>
      <c r="J67" s="3271"/>
      <c r="K67" s="1242" t="s">
        <v>1390</v>
      </c>
      <c r="L67" s="1242">
        <f ca="1">IF(M49&gt;=10000,(8.25+(M49-10000)*0.01%),IF(AND(M49&gt;=8000,M49&lt;10000),(7.85+(M49-8000)*0.02%),IF(AND(M49&gt;=5000,M49&lt;8000),(6.65+(M49-5000)*0.04%),IF(AND(M49&gt;=2000,M49&lt;5000),(4.25+(PM49-2000)*0.08%),IF(AND(M49&gt;=1000,M49&lt;2000),(2.75+(M49-1000)*0.15%),IF(AND(M49&gt;=100,M49&lt;1000),(0.5+(M49-100)*0.25%),IF(AND(M49&gt;0,M49&lt;100),M49*0.5%)))))))</f>
        <v>19.1678</v>
      </c>
      <c r="M67" s="293">
        <f ca="1">ROUND(L67*0.9,1)</f>
        <v>17.3</v>
      </c>
      <c r="N67" s="2327"/>
      <c r="Z67" s="1620"/>
      <c r="AI67" s="1558"/>
    </row>
    <row r="68" spans="1:35" ht="14.25" customHeight="1" thickBot="1">
      <c r="A68" s="167" t="s">
        <v>329</v>
      </c>
      <c r="B68" s="168" t="s">
        <v>1391</v>
      </c>
      <c r="C68" s="2352">
        <f ca="1">IF(C67&lt;=0,0,ROUND(C67*D68,0))</f>
        <v>6356</v>
      </c>
      <c r="D68" s="2353">
        <f>'数据-取费表'!B41</f>
        <v>5.6000000000000001E-2</v>
      </c>
      <c r="E68" s="169"/>
      <c r="F68" s="1667"/>
      <c r="G68" s="1667"/>
      <c r="H68" s="150"/>
      <c r="I68" s="120"/>
      <c r="J68" s="3271"/>
      <c r="K68" s="1242" t="s">
        <v>1392</v>
      </c>
      <c r="L68" s="1242">
        <f ca="1">IF(M49&gt;10000,M49*0.5%,IF(AND(M49&gt;5000,M49&lt;=10000),M49*1%,IF(AND(M49&gt;1000,M49&lt;=5000),M49*2%,IF(AND(M49&gt;200,M49&lt;=1000),M49*3%,M49*5%))))</f>
        <v>595.89</v>
      </c>
      <c r="M68" s="293">
        <f ca="1">ROUND(L68,1)</f>
        <v>595.9</v>
      </c>
      <c r="N68" s="2327"/>
      <c r="Z68" s="1620"/>
      <c r="AI68" s="1558"/>
    </row>
    <row r="69" spans="1:35" ht="16.5" customHeight="1">
      <c r="A69" s="1669"/>
      <c r="B69" s="1670"/>
      <c r="C69" s="1671"/>
      <c r="D69" s="1672"/>
      <c r="E69" s="1673"/>
      <c r="F69" s="1463"/>
      <c r="G69" s="1463"/>
      <c r="H69" s="1464"/>
      <c r="I69" s="645"/>
      <c r="J69" s="3271"/>
      <c r="K69" s="1242" t="s">
        <v>1393</v>
      </c>
      <c r="L69" s="1242"/>
      <c r="M69" s="293">
        <f ca="1">ROUND(SUM(M63:M68),0)</f>
        <v>1925</v>
      </c>
      <c r="N69" s="2329">
        <f ca="1">M69/M49</f>
        <v>1.6152309990098843E-2</v>
      </c>
      <c r="Z69" s="1620"/>
      <c r="AI69" s="1558"/>
    </row>
    <row r="70" spans="1:35" s="641" customFormat="1" ht="14.4" thickBot="1">
      <c r="A70" s="3315" t="s">
        <v>1394</v>
      </c>
      <c r="B70" s="3316"/>
      <c r="C70" s="3316"/>
      <c r="D70" s="3316"/>
      <c r="E70" s="3316"/>
      <c r="F70" s="3316"/>
      <c r="G70" s="3316"/>
      <c r="H70" s="3316"/>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07" t="s">
        <v>1375</v>
      </c>
      <c r="B71" s="3308"/>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51">
        <f ca="1">ROUND(D45/(1+'数据-取费表'!C42),0)</f>
        <v>113503</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51">
        <f ca="1">C74+C78</f>
        <v>681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7">
        <v>0.05</v>
      </c>
      <c r="E76" s="3312" t="s">
        <v>1402</v>
      </c>
      <c r="F76" s="3311"/>
      <c r="G76" s="3311"/>
      <c r="H76" s="331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9">
        <f ca="1">ROUND(D45*D78/(1+'数据-取费表'!C42),0)</f>
        <v>681</v>
      </c>
      <c r="D78" s="2360">
        <f>'数据-取费表'!B43</f>
        <v>6.000000000000001E-3</v>
      </c>
      <c r="E78" s="3304" t="s">
        <v>1406</v>
      </c>
      <c r="F78" s="3305"/>
      <c r="G78" s="3305"/>
      <c r="H78" s="330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334</v>
      </c>
      <c r="B79" s="165" t="s">
        <v>1407</v>
      </c>
      <c r="C79" s="2351">
        <f ca="1">C72-C73</f>
        <v>112822</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61">
        <f ca="1">IF(C79&lt;=0,0,C79/C73)</f>
        <v>165.67107195301028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62">
        <f ca="1">ROUND(IF(C79&lt;=0,0,IF(C80&gt;=200%,C79*60%-C73*35%,IF(C80&gt;=100%,C79*50%-C73*15%,IF(C80&gt;=50%,C79*40%-C73*5%,IF(C80&lt;50%,C79*30%,0))))),0)</f>
        <v>67455</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15" t="s">
        <v>1410</v>
      </c>
      <c r="B83" s="3316"/>
      <c r="C83" s="3316"/>
      <c r="D83" s="3316"/>
      <c r="E83" s="3316"/>
      <c r="F83" s="3316"/>
      <c r="G83" s="3316"/>
      <c r="H83" s="331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07" t="s">
        <v>1375</v>
      </c>
      <c r="B84" s="3308"/>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51">
        <f ca="1">ROUND(D45/(1+'数据-取费表'!C42),0)</f>
        <v>113503</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51">
        <f ca="1">IF(H88="仅含出让金",C87+C90+C91+C92+C93+C94,C87+C91+C92+C93+C94)</f>
        <v>70958.279095999998</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9">
        <f ca="1">C88+C89</f>
        <v>29691.279095999998</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5">
        <f ca="1">I91-C91</f>
        <v>28812.279095999998</v>
      </c>
      <c r="D88" s="2360"/>
      <c r="E88" s="184" t="s">
        <v>1413</v>
      </c>
      <c r="F88" s="2145"/>
      <c r="G88" s="185" t="s">
        <v>1414</v>
      </c>
      <c r="H88" s="1681" t="s">
        <v>3629</v>
      </c>
      <c r="I88" s="1678"/>
      <c r="J88" s="2305"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9">
        <f ca="1">ROUND(C88*D89,0)</f>
        <v>879</v>
      </c>
      <c r="D89" s="2360">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5"/>
      <c r="D90" s="2360"/>
      <c r="E90" s="184" t="str">
        <f>IF(H88="-","土地取得成本中已包含该笔费用"," ")</f>
        <v xml:space="preserve"> </v>
      </c>
      <c r="F90" s="2145"/>
      <c r="G90" s="3273" t="s">
        <v>2129</v>
      </c>
      <c r="H90" s="3274"/>
      <c r="I90" s="1678"/>
      <c r="J90" s="2305"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9">
        <f ca="1">IF(H91="——",成本法!C33,I91)</f>
        <v>24368</v>
      </c>
      <c r="D91" s="2360"/>
      <c r="E91" s="3304" t="s">
        <v>1419</v>
      </c>
      <c r="F91" s="3305"/>
      <c r="G91" s="3305"/>
      <c r="H91" s="1682" t="s">
        <v>43</v>
      </c>
      <c r="I91" s="1683">
        <f>531802790.96/10000</f>
        <v>53180.279095999998</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9">
        <f ca="1">ROUND((C87+C90+C91)*D92,0)</f>
        <v>5406</v>
      </c>
      <c r="D92" s="2366">
        <v>0.1</v>
      </c>
      <c r="E92" s="3304" t="s">
        <v>1422</v>
      </c>
      <c r="F92" s="3305"/>
      <c r="G92" s="3305"/>
      <c r="H92" s="3306"/>
      <c r="I92" s="1678"/>
      <c r="J92" s="2306"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9">
        <f ca="1">ROUND(D45*D93/(1+'数据-取费表'!C42),0)</f>
        <v>681</v>
      </c>
      <c r="D93" s="2360">
        <f>'数据-取费表'!B43</f>
        <v>6.000000000000001E-3</v>
      </c>
      <c r="E93" s="3304" t="s">
        <v>1406</v>
      </c>
      <c r="F93" s="3305"/>
      <c r="G93" s="3305"/>
      <c r="H93" s="330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5">
        <f ca="1">ROUND((C87+C90+C91)*D94,0)</f>
        <v>10812</v>
      </c>
      <c r="D94" s="2360">
        <v>0.2</v>
      </c>
      <c r="E94" s="3349" t="s">
        <v>1426</v>
      </c>
      <c r="F94" s="3350"/>
      <c r="G94" s="3350"/>
      <c r="H94" s="335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334</v>
      </c>
      <c r="B95" s="165" t="s">
        <v>1407</v>
      </c>
      <c r="C95" s="2351">
        <f ca="1">ROUND(C85-C86,0)</f>
        <v>42545</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61">
        <f ca="1">IF(C95&lt;=0,0,C95/C86)</f>
        <v>0.5995776749664482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62">
        <f ca="1">ROUND(IF(C95&lt;=0,0,IF(C96&gt;=200%,C95*60%-C86*35%,IF(C96&gt;=100%,C95*50%-C86*15%,IF(C96&gt;=50%,C95*40%-C86*5%,IF(C96&lt;50%,C95*30%,0))))),0)</f>
        <v>13470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54" t="s">
        <v>1428</v>
      </c>
      <c r="B100" s="3255"/>
      <c r="C100" s="3255"/>
      <c r="D100" s="3289"/>
      <c r="E100" s="3255" t="s">
        <v>1429</v>
      </c>
      <c r="F100" s="3255"/>
      <c r="G100" s="3255"/>
      <c r="H100" s="3289"/>
      <c r="I100" s="120"/>
    </row>
    <row r="101" spans="1:35" ht="18.75" customHeight="1">
      <c r="A101" s="3297" t="s">
        <v>1430</v>
      </c>
      <c r="B101" s="3298"/>
      <c r="C101" s="2368" t="str">
        <f>C4</f>
        <v>成本法</v>
      </c>
      <c r="D101" s="2369" t="str">
        <f>D4</f>
        <v>收益法（汇总）</v>
      </c>
      <c r="E101" s="3267" t="s">
        <v>1431</v>
      </c>
      <c r="F101" s="3268"/>
      <c r="G101" s="1684" t="s">
        <v>1432</v>
      </c>
      <c r="H101" s="2378">
        <f ca="1">H118</f>
        <v>119178</v>
      </c>
      <c r="I101" s="120"/>
    </row>
    <row r="102" spans="1:35" ht="18.75" customHeight="1">
      <c r="A102" s="3299" t="s">
        <v>1433</v>
      </c>
      <c r="B102" s="2367" t="s">
        <v>1432</v>
      </c>
      <c r="C102" s="2368">
        <f ca="1">IF(D32="楼面单价",ROUND(C19,0),C19)</f>
        <v>147504</v>
      </c>
      <c r="D102" s="2369">
        <f ca="1">IF(D32="楼面单价",ROUND(D19,0),D19)</f>
        <v>100294</v>
      </c>
      <c r="E102" s="3267"/>
      <c r="F102" s="3268"/>
      <c r="G102" s="1684" t="s">
        <v>1434</v>
      </c>
      <c r="H102" s="2338">
        <f ca="1">I118</f>
        <v>29761</v>
      </c>
      <c r="I102" s="120"/>
    </row>
    <row r="103" spans="1:35" ht="42.75" customHeight="1">
      <c r="A103" s="3299"/>
      <c r="B103" s="2367" t="s">
        <v>1434</v>
      </c>
      <c r="C103" s="2370">
        <f ca="1">C20</f>
        <v>36834</v>
      </c>
      <c r="D103" s="2371">
        <f ca="1">D20</f>
        <v>25045</v>
      </c>
      <c r="E103" s="3260" t="s">
        <v>1435</v>
      </c>
      <c r="F103" s="3261"/>
      <c r="G103" s="1685" t="s">
        <v>1436</v>
      </c>
      <c r="H103" s="2378">
        <f>IF(D36="正常操作",H104+H105+H106,H105+H106)</f>
        <v>0</v>
      </c>
      <c r="I103" s="120"/>
    </row>
    <row r="104" spans="1:35" ht="18.75" customHeight="1">
      <c r="A104" s="3299" t="s">
        <v>1437</v>
      </c>
      <c r="B104" s="2372" t="s">
        <v>1432</v>
      </c>
      <c r="C104" s="2373">
        <f ca="1">H118</f>
        <v>119178</v>
      </c>
      <c r="D104" s="2374"/>
      <c r="E104" s="1552" t="s">
        <v>1438</v>
      </c>
      <c r="F104" s="1545"/>
      <c r="G104" s="1685" t="s">
        <v>1436</v>
      </c>
      <c r="H104" s="2379">
        <f>IF(D36="同一抵押权人同一抵押物续贷",C36&amp;"（续贷，未扣减，详见特别提示）",C36)</f>
        <v>0</v>
      </c>
      <c r="I104" s="120"/>
    </row>
    <row r="105" spans="1:35" ht="18.75" customHeight="1" thickBot="1">
      <c r="A105" s="3309"/>
      <c r="B105" s="2375" t="s">
        <v>1434</v>
      </c>
      <c r="C105" s="2376">
        <f ca="1">I118</f>
        <v>29761</v>
      </c>
      <c r="D105" s="2377"/>
      <c r="E105" s="1552" t="s">
        <v>1439</v>
      </c>
      <c r="F105" s="1545"/>
      <c r="G105" s="1685" t="s">
        <v>1436</v>
      </c>
      <c r="H105" s="2380">
        <f>C37</f>
        <v>0</v>
      </c>
      <c r="I105" s="120"/>
    </row>
    <row r="106" spans="1:35" ht="18.75" customHeight="1">
      <c r="A106" s="645" t="s">
        <v>1440</v>
      </c>
      <c r="B106" s="645"/>
      <c r="C106" s="645"/>
      <c r="D106" s="645"/>
      <c r="E106" s="1686" t="s">
        <v>1441</v>
      </c>
      <c r="F106" s="1545"/>
      <c r="G106" s="1685" t="s">
        <v>1436</v>
      </c>
      <c r="H106" s="2380">
        <f>C38</f>
        <v>0</v>
      </c>
      <c r="I106" s="120"/>
    </row>
    <row r="107" spans="1:35" ht="18.75" customHeight="1">
      <c r="A107" s="120"/>
      <c r="B107" s="120"/>
      <c r="C107" s="120"/>
      <c r="D107" s="120"/>
      <c r="E107" s="3300" t="str">
        <f>IF(项目基本情况!E8="已注销","——","3.房地产抵押价值")</f>
        <v>3.房地产抵押价值</v>
      </c>
      <c r="F107" s="3268"/>
      <c r="G107" s="1684" t="s">
        <v>1432</v>
      </c>
      <c r="H107" s="2378">
        <f ca="1">IF(E107="——","——",H101-H103)</f>
        <v>119178</v>
      </c>
      <c r="I107" s="120"/>
    </row>
    <row r="108" spans="1:35" ht="18.75" customHeight="1">
      <c r="A108" s="120"/>
      <c r="B108" s="120"/>
      <c r="C108" s="120"/>
      <c r="D108" s="120"/>
      <c r="E108" s="3300"/>
      <c r="F108" s="3268"/>
      <c r="G108" s="1684" t="s">
        <v>1434</v>
      </c>
      <c r="H108" s="2338">
        <f ca="1">IF(H107=H101,H102,ROUND(H107*10000/'数据-汇总表'!E3,0))</f>
        <v>29761</v>
      </c>
      <c r="I108" s="120"/>
    </row>
    <row r="109" spans="1:35" ht="18.75" customHeight="1">
      <c r="A109" s="120"/>
      <c r="B109" s="120"/>
      <c r="C109" s="120"/>
      <c r="D109" s="120"/>
      <c r="E109" s="3300" t="str">
        <f>IF(项目基本情况!E8="已注销及未注销","4.抵押担保权已注销时的房地产抵押价值",IF(项目基本情况!E8="已注销","3.抵押担保权已注销时的房地产抵押价值","——"))</f>
        <v>——</v>
      </c>
      <c r="F109" s="3268"/>
      <c r="G109" s="1684" t="s">
        <v>1432</v>
      </c>
      <c r="H109" s="2381" t="str">
        <f>IF(E109="——","——",H101-H105-H106)</f>
        <v>——</v>
      </c>
      <c r="I109" s="120"/>
    </row>
    <row r="110" spans="1:35" ht="18.75" customHeight="1">
      <c r="A110" s="120"/>
      <c r="B110" s="120"/>
      <c r="C110" s="120"/>
      <c r="D110" s="120"/>
      <c r="E110" s="3300"/>
      <c r="F110" s="3268"/>
      <c r="G110" s="1684" t="s">
        <v>1434</v>
      </c>
      <c r="H110" s="2338" t="str">
        <f>IF(H109="——","——",ROUND(H109*10000/'数据-汇总表'!E3,0))</f>
        <v>——</v>
      </c>
      <c r="I110" s="120"/>
    </row>
    <row r="111" spans="1:35" ht="18.75" customHeight="1">
      <c r="A111" s="120"/>
      <c r="B111" s="120"/>
      <c r="C111" s="120"/>
      <c r="D111" s="120"/>
      <c r="E111" s="3301" t="str">
        <f>IF(项目基本情况!E9="抵押净值",IF(OR(项目基本情况!E8="已注销",项目基本情况!E8="房地产抵押价值"),"4.抵押净值","5.抵押净值"),"——")</f>
        <v>4.抵押净值</v>
      </c>
      <c r="F111" s="3287"/>
      <c r="G111" s="1684" t="s">
        <v>1432</v>
      </c>
      <c r="H111" s="2378">
        <f ca="1">IF(E111="——","——",N59)</f>
        <v>99292</v>
      </c>
      <c r="I111" s="120"/>
    </row>
    <row r="112" spans="1:35" ht="18.75" customHeight="1" thickBot="1">
      <c r="A112" s="120"/>
      <c r="B112" s="120"/>
      <c r="C112" s="120"/>
      <c r="D112" s="120"/>
      <c r="E112" s="3302"/>
      <c r="F112" s="3303"/>
      <c r="G112" s="1687" t="s">
        <v>1434</v>
      </c>
      <c r="H112" s="2382">
        <f ca="1">IF(E111="——","——",N61)</f>
        <v>24795</v>
      </c>
      <c r="I112" s="120"/>
    </row>
    <row r="113" spans="1:27" ht="18.75" customHeight="1">
      <c r="A113" s="120"/>
      <c r="B113" s="120"/>
      <c r="C113" s="120"/>
      <c r="D113" s="120"/>
      <c r="E113" s="3310" t="s">
        <v>1440</v>
      </c>
      <c r="F113" s="3310"/>
      <c r="G113" s="3310"/>
      <c r="H113" s="3310"/>
      <c r="I113" s="120"/>
    </row>
    <row r="114" spans="1:27" ht="3.75" customHeight="1">
      <c r="A114" s="645"/>
      <c r="B114" s="645"/>
      <c r="C114" s="645"/>
      <c r="D114" s="645"/>
      <c r="E114" s="1668"/>
      <c r="F114" s="1668"/>
      <c r="G114" s="1668"/>
      <c r="H114" s="1668"/>
      <c r="I114" s="645"/>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40045.229999999996</v>
      </c>
      <c r="C118" s="2147">
        <f>M19</f>
        <v>8274.56</v>
      </c>
      <c r="D118" s="2147">
        <f ca="1">ROUND(IF(D32="总价",C34,E118*B118/10000),0)</f>
        <v>96296</v>
      </c>
      <c r="E118" s="2147">
        <f ca="1">ROUND(IF(C33="自定义",IF(D32="楼面单价",C34,D118*10000/B118),I118-G118),0)</f>
        <v>24047</v>
      </c>
      <c r="F118" s="2147">
        <f ca="1">ROUND(IF(D32="总价",C35,G118*B118/10000),0)</f>
        <v>22882</v>
      </c>
      <c r="G118" s="2147">
        <f ca="1">ROUND(IF(D32="楼面单价",C35,F118*10000/B118),0)</f>
        <v>5714</v>
      </c>
      <c r="H118" s="2147">
        <f ca="1">ROUND(IF(D32="总价",C32,I118*B118/10000),0)</f>
        <v>119178</v>
      </c>
      <c r="I118" s="2147">
        <f ca="1">ROUND(IF(D32="楼面单价",C32,H118*10000/B118),0)</f>
        <v>29761</v>
      </c>
    </row>
    <row r="119" spans="1:27" ht="18.75" customHeight="1">
      <c r="A119" s="3275" t="s">
        <v>1452</v>
      </c>
      <c r="B119" s="3275"/>
      <c r="C119" s="3275"/>
      <c r="D119" s="3281" t="str">
        <f ca="1">NUMBERSTRING(INT(D118*10000),2)&amp;"元整"</f>
        <v>玖亿陆仟贰佰玖拾陆万元整</v>
      </c>
      <c r="E119" s="3282"/>
      <c r="F119" s="3281" t="str">
        <f ca="1">NUMBERSTRING(INT(F118*10000),2)&amp;"元整"</f>
        <v>贰亿贰仟捌佰捌拾贰万元整</v>
      </c>
      <c r="G119" s="3282"/>
      <c r="H119" s="3281" t="str">
        <f ca="1">NUMBERSTRING(INT(H118*10000),2)&amp;"元整"</f>
        <v>壹拾壹亿玖仟壹佰柒拾捌万元整</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1" t="s">
        <v>1452</v>
      </c>
      <c r="B121" s="3283"/>
      <c r="C121" s="3282"/>
      <c r="D121" s="3281" t="str">
        <f>IF(D120=0,"零元整",NUMBERSTRING(INT(D120*10000),2)&amp;"元整")</f>
        <v>零元整</v>
      </c>
      <c r="E121" s="3283"/>
      <c r="F121" s="3283"/>
      <c r="G121" s="3283"/>
      <c r="H121" s="3283"/>
      <c r="I121" s="3282"/>
      <c r="AA121" s="683"/>
    </row>
    <row r="122" spans="1:27" ht="18.75" customHeight="1">
      <c r="A122" s="3287" t="str">
        <f>IF(项目基本情况!B9="房地产市场价值","",MID(E107,3,LEN(E107)-2))</f>
        <v>房地产抵押价值</v>
      </c>
      <c r="B122" s="3287"/>
      <c r="C122" s="3287"/>
      <c r="D122" s="3276">
        <f ca="1">H107</f>
        <v>119178</v>
      </c>
      <c r="E122" s="3277"/>
      <c r="F122" s="3277"/>
      <c r="G122" s="3277"/>
      <c r="H122" s="3277"/>
      <c r="I122" s="3278"/>
      <c r="AA122" s="683"/>
    </row>
    <row r="123" spans="1:27" ht="18.75" customHeight="1">
      <c r="A123" s="3275" t="s">
        <v>1452</v>
      </c>
      <c r="B123" s="3275"/>
      <c r="C123" s="3275"/>
      <c r="D123" s="3281" t="str">
        <f ca="1">NUMBERSTRING(INT(D122*10000),2)&amp;"元整"</f>
        <v>壹拾壹亿玖仟壹佰柒拾捌万元整</v>
      </c>
      <c r="E123" s="3283"/>
      <c r="F123" s="3283"/>
      <c r="G123" s="3283"/>
      <c r="H123" s="3283"/>
      <c r="I123" s="3282"/>
      <c r="AA123" s="683"/>
    </row>
    <row r="124" spans="1:27" ht="18.75" customHeight="1">
      <c r="A124" s="3287" t="str">
        <f>IF(项目基本情况!B9="房地产市场价值","",MID(E109,3,LEN(E109)-2))</f>
        <v/>
      </c>
      <c r="B124" s="3287"/>
      <c r="C124" s="3287"/>
      <c r="D124" s="3276" t="str">
        <f>H109</f>
        <v>——</v>
      </c>
      <c r="E124" s="3277"/>
      <c r="F124" s="3277"/>
      <c r="G124" s="3277"/>
      <c r="H124" s="3277"/>
      <c r="I124" s="3278"/>
      <c r="AA124" s="683"/>
    </row>
    <row r="125" spans="1:27" ht="18.75" customHeight="1">
      <c r="A125" s="3275" t="s">
        <v>1452</v>
      </c>
      <c r="B125" s="3275"/>
      <c r="C125" s="3275"/>
      <c r="D125" s="3281" t="e">
        <f>NUMBERSTRING(INT(D124*10000),2)&amp;"元整"</f>
        <v>#VALUE!</v>
      </c>
      <c r="E125" s="3283"/>
      <c r="F125" s="3283"/>
      <c r="G125" s="3283"/>
      <c r="H125" s="3283"/>
      <c r="I125" s="3282"/>
      <c r="AA125" s="683"/>
    </row>
    <row r="126" spans="1:27" ht="18.75" customHeight="1">
      <c r="A126" s="3287" t="str">
        <f>IF(项目基本情况!B9="房地产市场价值","",MID(E111,3,LEN(E111)-2))</f>
        <v>抵押净值</v>
      </c>
      <c r="B126" s="3287"/>
      <c r="C126" s="3287"/>
      <c r="D126" s="3276">
        <f ca="1">H111</f>
        <v>99292</v>
      </c>
      <c r="E126" s="3277"/>
      <c r="F126" s="3277"/>
      <c r="G126" s="3277"/>
      <c r="H126" s="3277"/>
      <c r="I126" s="3278"/>
      <c r="AA126" s="683"/>
    </row>
    <row r="127" spans="1:27" ht="18.75" customHeight="1">
      <c r="A127" s="3275" t="s">
        <v>1452</v>
      </c>
      <c r="B127" s="3275"/>
      <c r="C127" s="3275"/>
      <c r="D127" s="3281" t="str">
        <f ca="1">NUMBERSTRING(INT(D126*10000),2)&amp;"元整"</f>
        <v>玖亿玖仟贰佰玖拾贰万元整</v>
      </c>
      <c r="E127" s="3283"/>
      <c r="F127" s="3283"/>
      <c r="G127" s="3283"/>
      <c r="H127" s="3283"/>
      <c r="I127" s="3282"/>
      <c r="AA127" s="683"/>
    </row>
    <row r="128" spans="1:27" ht="21.75" customHeight="1">
      <c r="A128" s="3284" t="s">
        <v>1453</v>
      </c>
      <c r="B128" s="3284"/>
      <c r="C128" s="3284"/>
      <c r="D128" s="3284"/>
      <c r="E128" s="3284"/>
      <c r="F128" s="3284"/>
      <c r="G128" s="3284"/>
      <c r="H128" s="3284"/>
      <c r="I128" s="3284"/>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66" t="str">
        <f>项目基本情况!B1</f>
        <v>北京市房地产抵押价值预评估</v>
      </c>
      <c r="C37" s="3166"/>
      <c r="D37" s="3166"/>
      <c r="E37" s="3166"/>
      <c r="F37" s="3166"/>
      <c r="G37" s="3166"/>
      <c r="H37" s="3166"/>
      <c r="I37" s="3166"/>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I22" sqref="I22"/>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c r="C1" s="189"/>
      <c r="D1" s="189"/>
      <c r="E1" s="189"/>
      <c r="F1" s="189"/>
      <c r="G1" s="1059">
        <f>MATCH(B1,'数据-取费表'!A6:A16,0)+5</f>
        <v>8</v>
      </c>
    </row>
    <row r="2" spans="1:9" s="191" customFormat="1" ht="18" customHeight="1">
      <c r="A2" s="192" t="s">
        <v>1462</v>
      </c>
      <c r="B2" s="193">
        <f ca="1">IF(D2="——",C52,C52-E2)</f>
        <v>147504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36834</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87123</v>
      </c>
      <c r="D5" s="202" t="s">
        <v>1469</v>
      </c>
      <c r="E5" s="203" t="s">
        <v>1470</v>
      </c>
      <c r="F5" s="203" t="s">
        <v>1471</v>
      </c>
      <c r="G5" s="204"/>
    </row>
    <row r="6" spans="1:9" s="205" customFormat="1" ht="13.5" customHeight="1">
      <c r="A6" s="729" t="s">
        <v>1472</v>
      </c>
      <c r="B6" s="206" t="s">
        <v>1473</v>
      </c>
      <c r="C6" s="207">
        <f>'基准地价修正-商业'!B2+'基准地价修正-办公'!B2</f>
        <v>83767</v>
      </c>
      <c r="D6" s="208"/>
      <c r="E6" s="209"/>
      <c r="F6" s="209"/>
      <c r="G6" s="210"/>
    </row>
    <row r="7" spans="1:9" s="205" customFormat="1" ht="13.5" customHeight="1">
      <c r="A7" s="729" t="s">
        <v>1474</v>
      </c>
      <c r="B7" s="206" t="s">
        <v>1475</v>
      </c>
      <c r="C7" s="211">
        <f>ROUND(C6*F7,0)</f>
        <v>2555</v>
      </c>
      <c r="D7" s="211"/>
      <c r="E7" s="209"/>
      <c r="F7" s="212">
        <f>IF(项目基本情况!B8="出让",0,'数据-取费表'!B48+'数据-取费表'!B49)</f>
        <v>3.0499999999999999E-2</v>
      </c>
      <c r="G7" s="210"/>
    </row>
    <row r="8" spans="1:9" s="214" customFormat="1">
      <c r="A8" s="729" t="s">
        <v>1476</v>
      </c>
      <c r="B8" s="206" t="s">
        <v>1477</v>
      </c>
      <c r="C8" s="211">
        <f ca="1">IF(G8="已包含在土地购买价格中","0",IF(B1="",'数据-取费表'!B29,IF(G9="全部缴纳",C9+C10,H9)))</f>
        <v>801</v>
      </c>
      <c r="D8" s="213"/>
      <c r="E8" s="211"/>
      <c r="F8" s="212"/>
      <c r="G8" s="1711" t="s">
        <v>3439</v>
      </c>
    </row>
    <row r="9" spans="1:9" s="205" customFormat="1" ht="13.5" customHeight="1">
      <c r="A9" s="730" t="s">
        <v>355</v>
      </c>
      <c r="B9" s="215" t="s">
        <v>1478</v>
      </c>
      <c r="C9" s="216">
        <f ca="1">ROUND(D9*E9/10000,0)</f>
        <v>0</v>
      </c>
      <c r="D9" s="792">
        <f ca="1">IF(B1="",'数据-汇总表'!E5,IF(INDIRECT("'数据-取费表'!c"&amp;$G$1)="住宅",INDIRECT("'数据-取费表'!k"&amp;$G$1),0))</f>
        <v>0</v>
      </c>
      <c r="E9" s="216">
        <f>'数据-取费表'!B27</f>
        <v>160</v>
      </c>
      <c r="F9" s="212"/>
      <c r="G9" s="1712" t="s">
        <v>3441</v>
      </c>
      <c r="H9" s="1067"/>
      <c r="I9" s="1713" t="s">
        <v>1479</v>
      </c>
    </row>
    <row r="10" spans="1:9" s="205" customFormat="1" ht="13.5" customHeight="1">
      <c r="A10" s="730" t="s">
        <v>356</v>
      </c>
      <c r="B10" s="215" t="s">
        <v>1480</v>
      </c>
      <c r="C10" s="216">
        <f ca="1">ROUND(D10*E10/10000,0)</f>
        <v>801</v>
      </c>
      <c r="D10" s="792">
        <f ca="1">IF(B1="",'数据-汇总表'!E6,IF(INDIRECT("'数据-取费表'!c"&amp;$G$1)="住宅",INDIRECT("'数据-取费表'!s"&amp;$G$1),INDIRECT("'数据-取费表'!k"&amp;$G$1)+INDIRECT("'数据-取费表'!s"&amp;$G$1)))</f>
        <v>40045.229999999996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40045.229999999996</v>
      </c>
      <c r="E19" s="202">
        <f>'数据-取费表'!B31</f>
        <v>200</v>
      </c>
      <c r="F19" s="222"/>
      <c r="G19" s="1711" t="s">
        <v>3440</v>
      </c>
    </row>
    <row r="20" spans="1:7" s="205" customFormat="1" ht="13.5" customHeight="1">
      <c r="A20" s="246" t="s">
        <v>1493</v>
      </c>
      <c r="B20" s="201" t="s">
        <v>1494</v>
      </c>
      <c r="C20" s="223">
        <f ca="1">ROUND((C5+C19)*F20,0)</f>
        <v>1742</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8">
        <f ca="1">ROUND(SUM(C23:C25),0)</f>
        <v>5539</v>
      </c>
      <c r="D22" s="226">
        <f ca="1">C26</f>
        <v>8.9999999999999998E-4</v>
      </c>
      <c r="E22" s="227" t="s">
        <v>1498</v>
      </c>
      <c r="F22" s="228">
        <f ca="1">'数据-取费表'!B40</f>
        <v>3.1E-2</v>
      </c>
      <c r="G22" s="225" t="str">
        <f>IF('数据-取费表'!B22&lt;=1,"单利计息","复利计息")</f>
        <v>复利计息</v>
      </c>
    </row>
    <row r="23" spans="1:7" s="205" customFormat="1" ht="13.5" customHeight="1">
      <c r="A23" s="731" t="s">
        <v>1502</v>
      </c>
      <c r="B23" s="206" t="s">
        <v>1503</v>
      </c>
      <c r="C23" s="1039">
        <f ca="1">ROUND(IF('数据-取费表'!B22&lt;=1,C5*F22*'数据-取费表'!B23,C5*(POWER((1+F22),'数据-取费表'!B23)-1)),0)</f>
        <v>5485</v>
      </c>
      <c r="D23" s="229"/>
      <c r="E23" s="229"/>
      <c r="F23" s="230"/>
      <c r="G23" s="231" t="s">
        <v>1504</v>
      </c>
    </row>
    <row r="24" spans="1:7" s="205" customFormat="1" ht="13.5" customHeight="1">
      <c r="A24" s="731"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1" t="s">
        <v>1508</v>
      </c>
      <c r="B25" s="206" t="s">
        <v>1509</v>
      </c>
      <c r="C25" s="1039">
        <f ca="1">ROUND(IF('数据-取费表'!B22&lt;=1,C20*F22*'数据-取费表'!B23/2,C20*(POWER((1+F22),'数据-取费表'!B23/2)-1)),0)</f>
        <v>54</v>
      </c>
      <c r="D25" s="229"/>
      <c r="E25" s="232"/>
      <c r="F25" s="230"/>
      <c r="G25" s="233" t="s">
        <v>1510</v>
      </c>
    </row>
    <row r="26" spans="1:7" s="205" customFormat="1">
      <c r="A26" s="731"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14218</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ROUND((C5+C19+C20)*F27*'数据-取费表'!B21/'数据-取费表'!B20,0)</f>
        <v>14218</v>
      </c>
      <c r="D28" s="226"/>
      <c r="E28" s="227"/>
      <c r="F28" s="237"/>
      <c r="G28" s="238"/>
    </row>
    <row r="29" spans="1:7" s="205" customFormat="1" ht="13.5" customHeight="1">
      <c r="A29" s="731" t="s">
        <v>347</v>
      </c>
      <c r="B29" s="239" t="s">
        <v>1517</v>
      </c>
      <c r="C29" s="229">
        <f ca="1">ROUND(C21*F27*'数据-取费表'!B21/'数据-取费表'!B20,4)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119234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24368</v>
      </c>
      <c r="D33" s="223"/>
      <c r="E33" s="203"/>
      <c r="F33" s="232"/>
      <c r="G33" s="225"/>
    </row>
    <row r="34" spans="1:7" s="249" customFormat="1" ht="13.5" customHeight="1">
      <c r="A34" s="731" t="s">
        <v>346</v>
      </c>
      <c r="B34" s="206" t="s">
        <v>1525</v>
      </c>
      <c r="C34" s="211">
        <f ca="1">IF(B1="",IF(F34=100%,'数据-取费表'!M16,'数据-取费表'!O16),IF(F34=100%,INDIRECT("'数据-取费表'!m"&amp;$G$1)+INDIRECT("'数据-取费表'!t"&amp;$G$1),INDIRECT("'数据-取费表'!o"&amp;$G$1)+INDIRECT("'数据-取费表'!aq"&amp;$G$1)))</f>
        <v>22025</v>
      </c>
      <c r="D34" s="208"/>
      <c r="E34" s="211"/>
      <c r="F34" s="248">
        <f ca="1">IF('数据-取费表'!B24=0,1,IF(B1="",'数据-取费表'!N16,INDIRECT("'数据-取费表'!n"&amp;$G$1)))</f>
        <v>1</v>
      </c>
      <c r="G34" s="210" t="s">
        <v>1526</v>
      </c>
    </row>
    <row r="35" spans="1:7" ht="13.5" customHeight="1">
      <c r="A35" s="731" t="s">
        <v>351</v>
      </c>
      <c r="B35" s="206" t="s">
        <v>1527</v>
      </c>
      <c r="C35" s="211">
        <f ca="1">ROUND(C34*F35,0)</f>
        <v>1101</v>
      </c>
      <c r="D35" s="211"/>
      <c r="E35" s="211"/>
      <c r="F35" s="250">
        <f>'数据-取费表'!B33</f>
        <v>0.05</v>
      </c>
      <c r="G35" s="210" t="s">
        <v>1528</v>
      </c>
    </row>
    <row r="36" spans="1:7" ht="24">
      <c r="A36" s="731"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1" t="s">
        <v>353</v>
      </c>
      <c r="B37" s="206" t="s">
        <v>1531</v>
      </c>
      <c r="C37" s="240">
        <f ca="1">ROUND(E37*D37*F34/10000,0)</f>
        <v>801</v>
      </c>
      <c r="D37" s="208">
        <f ca="1">D19</f>
        <v>40045.229999999996</v>
      </c>
      <c r="E37" s="240">
        <f>'数据-取费表'!B35</f>
        <v>200</v>
      </c>
      <c r="F37" s="250"/>
      <c r="G37" s="252" t="s">
        <v>1532</v>
      </c>
    </row>
    <row r="38" spans="1:7" ht="13.5" customHeight="1">
      <c r="A38" s="731" t="s">
        <v>354</v>
      </c>
      <c r="B38" s="206" t="s">
        <v>1533</v>
      </c>
      <c r="C38" s="211">
        <f ca="1">ROUND(C34*F38,0)</f>
        <v>441</v>
      </c>
      <c r="D38" s="211"/>
      <c r="E38" s="211"/>
      <c r="F38" s="250">
        <f>'数据-取费表'!B36</f>
        <v>0.02</v>
      </c>
      <c r="G38" s="210" t="s">
        <v>1528</v>
      </c>
    </row>
    <row r="39" spans="1:7" s="205" customFormat="1" ht="13.5" customHeight="1">
      <c r="A39" s="246" t="s">
        <v>1534</v>
      </c>
      <c r="B39" s="201" t="s">
        <v>1535</v>
      </c>
      <c r="C39" s="223">
        <f ca="1">ROUND(C33*F20,0)</f>
        <v>487</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ROUND(IF('数据-取费表'!B22&lt;=1,C33*F22*'数据-取费表'!B21/2,C33*(POWER((1+F22),'数据-取费表'!B21/2)-1)),0)</f>
        <v>755</v>
      </c>
      <c r="D42" s="229"/>
      <c r="E42" s="229"/>
      <c r="F42" s="230"/>
      <c r="G42" s="3354" t="s">
        <v>1544</v>
      </c>
    </row>
    <row r="43" spans="1:7" ht="13.5" customHeight="1">
      <c r="A43" s="731" t="s">
        <v>347</v>
      </c>
      <c r="B43" s="206" t="s">
        <v>1545</v>
      </c>
      <c r="C43" s="229">
        <f ca="1">ROUND(IF('数据-取费表'!B22&lt;=1,C39*F22*'数据-取费表'!B21/2,C39*(POWER((1+F22),'数据-取费表'!B21/2)-1)),0)</f>
        <v>15</v>
      </c>
      <c r="D43" s="229"/>
      <c r="E43" s="229"/>
      <c r="F43" s="230"/>
      <c r="G43" s="3355"/>
    </row>
    <row r="44" spans="1:7" ht="13.5" customHeight="1">
      <c r="A44" s="731" t="s">
        <v>348</v>
      </c>
      <c r="B44" s="206" t="s">
        <v>1546</v>
      </c>
      <c r="C44" s="229">
        <f ca="1">ROUND(IF('数据-取费表'!B22&lt;=1,C40*F22*'数据-取费表'!B21/2,C40*(POWER((1+F22),'数据-取费表'!B21/2)-1)),4)</f>
        <v>8.9999999999999998E-4</v>
      </c>
      <c r="D44" s="229"/>
      <c r="E44" s="229"/>
      <c r="F44" s="230"/>
      <c r="G44" s="3356"/>
    </row>
    <row r="45" spans="1:7" s="205" customFormat="1" ht="13.5" customHeight="1">
      <c r="A45" s="246" t="s">
        <v>1547</v>
      </c>
      <c r="B45" s="235" t="s">
        <v>1513</v>
      </c>
      <c r="C45" s="236">
        <f ca="1">C46</f>
        <v>3977</v>
      </c>
      <c r="D45" s="226">
        <f ca="1">C47</f>
        <v>4.7999999999999996E-3</v>
      </c>
      <c r="E45" s="227" t="s">
        <v>1539</v>
      </c>
      <c r="F45" s="237">
        <f ca="1">F27</f>
        <v>0.16</v>
      </c>
      <c r="G45" s="238" t="s">
        <v>1548</v>
      </c>
    </row>
    <row r="46" spans="1:7" s="205" customFormat="1" ht="13.5" customHeight="1">
      <c r="A46" s="731" t="s">
        <v>346</v>
      </c>
      <c r="B46" s="239" t="s">
        <v>1549</v>
      </c>
      <c r="C46" s="240">
        <f ca="1">ROUND((C33+C39)*F27,0)</f>
        <v>3977</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32494</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28270</v>
      </c>
      <c r="D51" s="223"/>
      <c r="E51" s="223"/>
      <c r="F51" s="255"/>
      <c r="G51" s="225" t="s">
        <v>1560</v>
      </c>
    </row>
    <row r="52" spans="1:7" s="199" customFormat="1" ht="16.8" thickBot="1">
      <c r="A52" s="256" t="s">
        <v>1561</v>
      </c>
      <c r="B52" s="257"/>
      <c r="C52" s="258">
        <f ca="1">C31+C51</f>
        <v>147504</v>
      </c>
      <c r="D52" s="257"/>
      <c r="E52" s="257"/>
      <c r="F52" s="257"/>
      <c r="G52" s="259"/>
    </row>
    <row r="55" spans="1:7" ht="15">
      <c r="B55" s="261" t="s">
        <v>1562</v>
      </c>
      <c r="C55" s="262"/>
    </row>
    <row r="56" spans="1:7">
      <c r="B56" s="264" t="s">
        <v>802</v>
      </c>
      <c r="C56" s="266">
        <f ca="1">1-C57</f>
        <v>0.80800000000000005</v>
      </c>
    </row>
    <row r="57" spans="1:7">
      <c r="B57" s="264" t="s">
        <v>803</v>
      </c>
      <c r="C57" s="265">
        <f ca="1">ROUND(C51/C52,3)</f>
        <v>0.192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c r="C1" s="1714" t="s">
        <v>1563</v>
      </c>
      <c r="D1" s="189"/>
      <c r="E1" s="189"/>
      <c r="F1" s="189"/>
      <c r="G1" s="1059">
        <f>MATCH(B1,'数据-取费表'!A6:A16,0)+5</f>
        <v>8</v>
      </c>
      <c r="H1" s="995" t="str">
        <f>IF(ISERROR(FIND("住宅",B1)),"非住宅","住宅")</f>
        <v>非住宅</v>
      </c>
    </row>
    <row r="2" spans="1:8" s="191" customFormat="1" ht="18" customHeight="1">
      <c r="A2" s="192" t="s">
        <v>1462</v>
      </c>
      <c r="B2" s="3120">
        <f ca="1">ROUND(IF(D2="——",C52/10000,C52/10000-E2),4)</f>
        <v>30462.106400000001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7607</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8009046</v>
      </c>
      <c r="D5" s="202" t="s">
        <v>1469</v>
      </c>
      <c r="E5" s="203" t="s">
        <v>1470</v>
      </c>
      <c r="F5" s="203" t="s">
        <v>1471</v>
      </c>
      <c r="G5" s="204"/>
    </row>
    <row r="6" spans="1:8" s="205" customFormat="1" ht="13.5" customHeight="1">
      <c r="A6" s="729" t="s">
        <v>1472</v>
      </c>
      <c r="B6" s="206" t="s">
        <v>1473</v>
      </c>
      <c r="C6" s="207"/>
      <c r="D6" s="208"/>
      <c r="E6" s="209"/>
      <c r="F6" s="209"/>
      <c r="G6" s="210"/>
    </row>
    <row r="7" spans="1:8" s="205" customFormat="1" ht="13.5" customHeight="1">
      <c r="A7" s="729" t="s">
        <v>1474</v>
      </c>
      <c r="B7" s="206" t="s">
        <v>1475</v>
      </c>
      <c r="C7" s="211">
        <f>ROUND(C6*F7,0)</f>
        <v>0</v>
      </c>
      <c r="D7" s="211"/>
      <c r="E7" s="209"/>
      <c r="F7" s="212">
        <f>IF(项目基本情况!B8="出让",0,'数据-取费表'!B48+'数据-取费表'!B49)</f>
        <v>3.0499999999999999E-2</v>
      </c>
      <c r="G7" s="210"/>
    </row>
    <row r="8" spans="1:8" s="214" customFormat="1">
      <c r="A8" s="729" t="s">
        <v>1476</v>
      </c>
      <c r="B8" s="206" t="s">
        <v>1477</v>
      </c>
      <c r="C8" s="211">
        <f ca="1">IF(G8="已包含在土地购买价格中",0,C9+C10)</f>
        <v>8009046</v>
      </c>
      <c r="D8" s="213"/>
      <c r="E8" s="211"/>
      <c r="F8" s="212"/>
      <c r="G8" s="1711"/>
    </row>
    <row r="9" spans="1:8" s="205" customFormat="1" ht="13.5" customHeight="1">
      <c r="A9" s="730" t="s">
        <v>355</v>
      </c>
      <c r="B9" s="215" t="s">
        <v>1478</v>
      </c>
      <c r="C9" s="216">
        <f ca="1">ROUND(D9*E9,0)</f>
        <v>0</v>
      </c>
      <c r="D9" s="792">
        <f ca="1">IF(B1="",'数据-汇总表'!E5,IF(INDIRECT("'数据-取费表'!c"&amp;$G$1)="住宅",INDIRECT("'数据-取费表'!k"&amp;$G$1),0))</f>
        <v>0</v>
      </c>
      <c r="E9" s="216">
        <f>'数据-取费表'!B27</f>
        <v>160</v>
      </c>
      <c r="F9" s="212"/>
      <c r="G9" s="217"/>
    </row>
    <row r="10" spans="1:8" s="205" customFormat="1" ht="13.5" customHeight="1">
      <c r="A10" s="730" t="s">
        <v>356</v>
      </c>
      <c r="B10" s="215" t="s">
        <v>1480</v>
      </c>
      <c r="C10" s="216">
        <f ca="1">ROUND(D10*E10,0)</f>
        <v>8009046</v>
      </c>
      <c r="D10" s="792">
        <f ca="1">IF(B1="",'数据-汇总表'!E6,IF(INDIRECT("'数据-取费表'!c"&amp;$G$1)="住宅",INDIRECT("'数据-取费表'!s"&amp;$G$1),INDIRECT("'数据-取费表'!k"&amp;$G$1)+INDIRECT("'数据-取费表'!s"&amp;$G$1)))</f>
        <v>40045.229999999996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8009046</v>
      </c>
      <c r="D19" s="203">
        <f ca="1">D9+D10</f>
        <v>40045.229999999996</v>
      </c>
      <c r="E19" s="202">
        <f>'数据-取费表'!B31</f>
        <v>200</v>
      </c>
      <c r="F19" s="222"/>
      <c r="G19" s="1711"/>
    </row>
    <row r="20" spans="1:7" s="205" customFormat="1" ht="13.5" customHeight="1">
      <c r="A20" s="246" t="s">
        <v>1574</v>
      </c>
      <c r="B20" s="201" t="s">
        <v>1575</v>
      </c>
      <c r="C20" s="223">
        <f ca="1">ROUND((C5+C19)*F20,0)</f>
        <v>320362</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1018447</v>
      </c>
      <c r="D22" s="226">
        <f ca="1">C26</f>
        <v>8.9999999999999998E-4</v>
      </c>
      <c r="E22" s="227" t="s">
        <v>1579</v>
      </c>
      <c r="F22" s="228">
        <f ca="1">'数据-取费表'!B40</f>
        <v>3.1E-2</v>
      </c>
      <c r="G22" s="225" t="str">
        <f>IF('数据-取费表'!B22&lt;=1,"单利计息","复利计息")</f>
        <v>复利计息</v>
      </c>
    </row>
    <row r="23" spans="1:7" s="205" customFormat="1" ht="13.5" customHeight="1">
      <c r="A23" s="731" t="s">
        <v>1472</v>
      </c>
      <c r="B23" s="206" t="s">
        <v>1583</v>
      </c>
      <c r="C23" s="229">
        <f ca="1">ROUND(IF('数据-取费表'!B22&lt;=1,C5*F22*'数据-取费表'!B22,C5*(POWER((1+F22),'数据-取费表'!B22)-1)),0)</f>
        <v>504258</v>
      </c>
      <c r="D23" s="229"/>
      <c r="E23" s="229"/>
      <c r="F23" s="230"/>
      <c r="G23" s="231" t="s">
        <v>1584</v>
      </c>
    </row>
    <row r="24" spans="1:7" s="205" customFormat="1" ht="13.5" customHeight="1">
      <c r="A24" s="731" t="s">
        <v>1474</v>
      </c>
      <c r="B24" s="206" t="s">
        <v>1585</v>
      </c>
      <c r="C24" s="229">
        <f ca="1">ROUND(IF('数据-取费表'!B22&lt;=1,C19*F22*('数据-取费表'!B19/2+'数据-取费表'!B20),C19*(POWER((1+F22),('数据-取费表'!B19/2+'数据-取费表'!B20))-1)),0)</f>
        <v>504258</v>
      </c>
      <c r="D24" s="229"/>
      <c r="E24" s="229"/>
      <c r="F24" s="230"/>
      <c r="G24" s="231" t="s">
        <v>1586</v>
      </c>
    </row>
    <row r="25" spans="1:7" s="205" customFormat="1" ht="24">
      <c r="A25" s="731" t="s">
        <v>1476</v>
      </c>
      <c r="B25" s="206" t="s">
        <v>1587</v>
      </c>
      <c r="C25" s="229">
        <f ca="1">ROUND(IF('数据-取费表'!B22&lt;=1,C20*F22*'数据-取费表'!B22/2,C20*(POWER((1+F22),'数据-取费表'!B22/2)-1)),0)</f>
        <v>9931</v>
      </c>
      <c r="D25" s="229"/>
      <c r="E25" s="232"/>
      <c r="F25" s="230"/>
      <c r="G25" s="233" t="s">
        <v>1588</v>
      </c>
    </row>
    <row r="26" spans="1:7" s="205" customFormat="1">
      <c r="A26" s="731"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f ca="1">C28</f>
        <v>2614153</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ROUND((C5+C19+C20)*F27,0)</f>
        <v>2614153</v>
      </c>
      <c r="D28" s="226"/>
      <c r="E28" s="227"/>
      <c r="F28" s="237"/>
      <c r="G28" s="238"/>
    </row>
    <row r="29" spans="1:7" s="205" customFormat="1" ht="13.5" customHeight="1">
      <c r="A29" s="731" t="s">
        <v>347</v>
      </c>
      <c r="B29" s="239" t="s">
        <v>1517</v>
      </c>
      <c r="C29" s="229">
        <f ca="1">ROUND(C21*F27,4)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21922123</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243675224</v>
      </c>
      <c r="D33" s="223"/>
      <c r="E33" s="203"/>
      <c r="F33" s="232"/>
      <c r="G33" s="225"/>
    </row>
    <row r="34" spans="1:7" s="249" customFormat="1" ht="13.5" customHeight="1">
      <c r="A34" s="731" t="s">
        <v>346</v>
      </c>
      <c r="B34" s="206" t="s">
        <v>1525</v>
      </c>
      <c r="C34" s="211">
        <f ca="1">ROUND(IF(B1="",SUMPRODUCT('数据-取费表'!K6:K14,'数据-取费表'!L6:L14),INDIRECT("'数据-取费表'!l"&amp;$G$1)*INDIRECT("'数据-取费表'!k"&amp;$G$1)+'数据-取费表'!L14*INDIRECT("'数据-取费表'!S"&amp;$G$1)),0)</f>
        <v>220248765</v>
      </c>
      <c r="D34" s="208"/>
      <c r="E34" s="211"/>
      <c r="F34" s="248"/>
      <c r="G34" s="210"/>
    </row>
    <row r="35" spans="1:7" ht="13.5" customHeight="1">
      <c r="A35" s="731" t="s">
        <v>351</v>
      </c>
      <c r="B35" s="206" t="s">
        <v>1527</v>
      </c>
      <c r="C35" s="211">
        <f ca="1">ROUND(C34*F35,0)</f>
        <v>11012438</v>
      </c>
      <c r="D35" s="211"/>
      <c r="E35" s="211"/>
      <c r="F35" s="250">
        <f>'数据-取费表'!B33</f>
        <v>0.05</v>
      </c>
      <c r="G35" s="210" t="s">
        <v>1528</v>
      </c>
    </row>
    <row r="36" spans="1:7" ht="24">
      <c r="A36" s="731"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1" t="s">
        <v>353</v>
      </c>
      <c r="B37" s="206" t="s">
        <v>1531</v>
      </c>
      <c r="C37" s="240">
        <f ca="1">ROUND(E37*D37,0)</f>
        <v>8009046</v>
      </c>
      <c r="D37" s="208">
        <f ca="1">D19</f>
        <v>40045.229999999996</v>
      </c>
      <c r="E37" s="240">
        <f>'数据-取费表'!B35</f>
        <v>200</v>
      </c>
      <c r="F37" s="250"/>
      <c r="G37" s="252"/>
    </row>
    <row r="38" spans="1:7" ht="13.5" customHeight="1">
      <c r="A38" s="731" t="s">
        <v>354</v>
      </c>
      <c r="B38" s="206" t="s">
        <v>1533</v>
      </c>
      <c r="C38" s="211">
        <f ca="1">ROUND(C34*F38,0)</f>
        <v>4404975</v>
      </c>
      <c r="D38" s="211"/>
      <c r="E38" s="211"/>
      <c r="F38" s="250">
        <f>'数据-取费表'!B36</f>
        <v>0.02</v>
      </c>
      <c r="G38" s="210" t="s">
        <v>1528</v>
      </c>
    </row>
    <row r="39" spans="1:7" s="205" customFormat="1" ht="13.5" customHeight="1">
      <c r="A39" s="246" t="s">
        <v>1534</v>
      </c>
      <c r="B39" s="201" t="s">
        <v>1535</v>
      </c>
      <c r="C39" s="223">
        <f ca="1">ROUND(C33*F20,0)</f>
        <v>4873504</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7705011</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ROUND(IF('数据-取费表'!B22&lt;=1,C33*F22*'数据-取费表'!B20/2,C33*(POWER((1+F22),'数据-取费表'!B20/2)-1)),0)</f>
        <v>7553932</v>
      </c>
      <c r="D42" s="229"/>
      <c r="E42" s="229"/>
      <c r="F42" s="230"/>
      <c r="G42" s="3354" t="s">
        <v>1591</v>
      </c>
    </row>
    <row r="43" spans="1:7" ht="13.5" customHeight="1">
      <c r="A43" s="731" t="s">
        <v>347</v>
      </c>
      <c r="B43" s="206" t="s">
        <v>1545</v>
      </c>
      <c r="C43" s="229">
        <f ca="1">ROUND(IF('数据-取费表'!B22&lt;=1,C39*F22*'数据-取费表'!B20/2,C39*(POWER((1+F22),'数据-取费表'!B20/2)-1)),0)</f>
        <v>151079</v>
      </c>
      <c r="D43" s="229"/>
      <c r="E43" s="229"/>
      <c r="F43" s="230"/>
      <c r="G43" s="3355"/>
    </row>
    <row r="44" spans="1:7" ht="13.5" customHeight="1">
      <c r="A44" s="731" t="s">
        <v>348</v>
      </c>
      <c r="B44" s="206" t="s">
        <v>1546</v>
      </c>
      <c r="C44" s="229">
        <f ca="1">ROUND(IF('数据-取费表'!B22&lt;=1,C40*F22*'数据-取费表'!B20/2,C40*(POWER((1+F22),'数据-取费表'!B20/2)-1)),4)</f>
        <v>8.9999999999999998E-4</v>
      </c>
      <c r="D44" s="229"/>
      <c r="E44" s="229"/>
      <c r="F44" s="230"/>
      <c r="G44" s="3356"/>
    </row>
    <row r="45" spans="1:7" s="205" customFormat="1" ht="13.5" customHeight="1">
      <c r="A45" s="246" t="s">
        <v>1547</v>
      </c>
      <c r="B45" s="235" t="s">
        <v>1513</v>
      </c>
      <c r="C45" s="236">
        <f ca="1">C46</f>
        <v>39767796</v>
      </c>
      <c r="D45" s="226">
        <f ca="1">C47</f>
        <v>4.7999999999999996E-3</v>
      </c>
      <c r="E45" s="227" t="s">
        <v>1539</v>
      </c>
      <c r="F45" s="237">
        <f ca="1">F27</f>
        <v>0.16</v>
      </c>
      <c r="G45" s="238" t="s">
        <v>1548</v>
      </c>
    </row>
    <row r="46" spans="1:7" s="205" customFormat="1" ht="13.5" customHeight="1">
      <c r="A46" s="731" t="s">
        <v>346</v>
      </c>
      <c r="B46" s="239" t="s">
        <v>1549</v>
      </c>
      <c r="C46" s="240">
        <f ca="1">ROUND((C33+C39)*F27,0)</f>
        <v>39767796</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324941312</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282698941</v>
      </c>
      <c r="D51" s="223"/>
      <c r="E51" s="223"/>
      <c r="F51" s="255"/>
      <c r="G51" s="225" t="s">
        <v>1560</v>
      </c>
    </row>
    <row r="52" spans="1:7" s="199" customFormat="1" ht="16.8" thickBot="1">
      <c r="A52" s="256" t="s">
        <v>1561</v>
      </c>
      <c r="B52" s="257"/>
      <c r="C52" s="258">
        <f ca="1">C31+C51</f>
        <v>304621064</v>
      </c>
      <c r="D52" s="257"/>
      <c r="E52" s="257"/>
      <c r="F52" s="257"/>
      <c r="G52" s="259"/>
    </row>
    <row r="55" spans="1:7" ht="15">
      <c r="B55" s="261" t="s">
        <v>1562</v>
      </c>
      <c r="C55" s="262"/>
    </row>
    <row r="56" spans="1:7">
      <c r="B56" s="264" t="s">
        <v>802</v>
      </c>
      <c r="C56" s="266">
        <f ca="1">1-C57</f>
        <v>7.1999999999999953E-2</v>
      </c>
    </row>
    <row r="57" spans="1:7">
      <c r="B57" s="264" t="s">
        <v>803</v>
      </c>
      <c r="C57" s="265">
        <f ca="1">ROUND(C51/C52,3)</f>
        <v>0.92800000000000005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7" t="s">
        <v>1594</v>
      </c>
      <c r="B1" s="120"/>
      <c r="C1" s="1107"/>
      <c r="D1" s="1106"/>
      <c r="E1" s="2565"/>
      <c r="F1" s="2565"/>
      <c r="G1" s="2446"/>
      <c r="H1" s="2565"/>
      <c r="I1" s="2565"/>
      <c r="J1" s="2565"/>
      <c r="K1" s="2566">
        <f>MATCH(C1,'数据-取费表'!A6:A16,0)+5</f>
        <v>8</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1"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7"/>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7"/>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40045.229999999996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2"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2"/>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40045.229999999996</v>
      </c>
      <c r="E17" s="21">
        <f>'数据-取费表'!B32</f>
        <v>0</v>
      </c>
      <c r="F17" s="755"/>
      <c r="G17" s="122"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801</v>
      </c>
      <c r="D20" s="793">
        <f ca="1">IF(C1="",'数据-汇总表'!E6,IF(INDIRECT("'数据-取费表'!c"&amp;$K$1)="住宅",INDIRECT("'数据-取费表'!s"&amp;$K$1),INDIRECT("'数据-取费表'!k"&amp;$K$1)+INDIRECT("'数据-取费表'!s"&amp;$K$1)))</f>
        <v>40045.229999999996</v>
      </c>
      <c r="E20" s="21">
        <f>'数据-取费表'!B28</f>
        <v>200</v>
      </c>
      <c r="F20" s="753"/>
      <c r="G20" s="12"/>
      <c r="H20" s="758"/>
      <c r="I20" s="758"/>
      <c r="J20" s="758"/>
      <c r="K20" s="759"/>
    </row>
    <row r="21" spans="1:33" s="752" customFormat="1" ht="13.5" customHeight="1">
      <c r="A21" s="741" t="s">
        <v>357</v>
      </c>
      <c r="B21" s="762" t="s">
        <v>1628</v>
      </c>
      <c r="C21" s="763">
        <f ca="1">C16+C17+C18</f>
        <v>0</v>
      </c>
      <c r="D21" s="764"/>
      <c r="E21" s="272"/>
      <c r="F21" s="272"/>
      <c r="G21" s="122" t="s">
        <v>1629</v>
      </c>
      <c r="H21" s="756"/>
      <c r="I21" s="756"/>
      <c r="J21" s="756"/>
      <c r="K21" s="757"/>
    </row>
    <row r="22" spans="1:33" s="752" customFormat="1" ht="13.5" customHeight="1">
      <c r="A22" s="741" t="s">
        <v>1601</v>
      </c>
      <c r="B22" s="762" t="s">
        <v>1630</v>
      </c>
      <c r="C22" s="763">
        <f ca="1">ROUND(C21*F22,0)</f>
        <v>0</v>
      </c>
      <c r="D22" s="272"/>
      <c r="E22" s="272"/>
      <c r="F22" s="765">
        <f>'数据-取费表'!B37</f>
        <v>0.02</v>
      </c>
      <c r="G22" s="5" t="s">
        <v>1631</v>
      </c>
      <c r="H22" s="746"/>
      <c r="I22" s="746"/>
      <c r="J22" s="746"/>
      <c r="K22" s="747"/>
    </row>
    <row r="23" spans="1:33" s="752" customFormat="1" ht="13.5" customHeight="1">
      <c r="A23" s="741" t="s">
        <v>1603</v>
      </c>
      <c r="B23" s="762" t="s">
        <v>1632</v>
      </c>
      <c r="C23" s="763">
        <f ca="1">ROUND(C4*F23*F11,0)</f>
        <v>0</v>
      </c>
      <c r="D23" s="272"/>
      <c r="E23" s="272"/>
      <c r="F23" s="765">
        <f>'数据-取费表'!B38</f>
        <v>0.03</v>
      </c>
      <c r="G23" s="5" t="s">
        <v>1633</v>
      </c>
      <c r="H23" s="746"/>
      <c r="I23" s="746"/>
      <c r="J23" s="746"/>
      <c r="K23" s="747"/>
    </row>
    <row r="24" spans="1:33" s="752" customFormat="1" ht="13.5" customHeight="1">
      <c r="A24" s="741" t="s">
        <v>1634</v>
      </c>
      <c r="B24" s="762" t="s">
        <v>1635</v>
      </c>
      <c r="C24" s="271">
        <f>ROUND(F24/(1+'数据-取费表'!C42),4)</f>
        <v>2.9000000000000001E-2</v>
      </c>
      <c r="D24" s="272" t="s">
        <v>12</v>
      </c>
      <c r="E24" s="272"/>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6"/>
      <c r="I27" s="756"/>
      <c r="J27" s="756"/>
      <c r="K27" s="757"/>
    </row>
    <row r="28" spans="1:33" s="280" customFormat="1" ht="13.5" customHeight="1">
      <c r="A28" s="741" t="s">
        <v>1641</v>
      </c>
      <c r="B28" s="1720" t="s">
        <v>1642</v>
      </c>
      <c r="C28" s="278">
        <f ca="1">C30</f>
        <v>0</v>
      </c>
      <c r="D28" s="271">
        <f ca="1">C29</f>
        <v>0</v>
      </c>
      <c r="E28" s="273" t="s">
        <v>12</v>
      </c>
      <c r="F28" s="279">
        <f ca="1">IF(C1="",'数据-取费表'!Q16,INDIRECT("'数据-取费表'!q"&amp;$K$1))</f>
        <v>0.16</v>
      </c>
      <c r="G28" s="766"/>
      <c r="H28" s="767"/>
      <c r="I28" s="767"/>
      <c r="J28" s="767"/>
      <c r="K28" s="55"/>
    </row>
    <row r="29" spans="1:33" s="282" customFormat="1" ht="13.5" customHeight="1">
      <c r="A29" s="749" t="s">
        <v>358</v>
      </c>
      <c r="B29" s="770" t="s">
        <v>1643</v>
      </c>
      <c r="C29" s="275">
        <f ca="1">ROUND((1+C24)*F28*'数据-取费表'!B24/'数据-取费表'!B20,4)</f>
        <v>0</v>
      </c>
      <c r="D29" s="275"/>
      <c r="E29" s="276"/>
      <c r="F29" s="281"/>
      <c r="G29" s="122" t="s">
        <v>1644</v>
      </c>
      <c r="H29" s="756"/>
      <c r="I29" s="756"/>
      <c r="J29" s="756"/>
      <c r="K29" s="757"/>
    </row>
    <row r="30" spans="1:33" s="282" customFormat="1" ht="13.5" customHeight="1">
      <c r="A30" s="749" t="s">
        <v>359</v>
      </c>
      <c r="B30" s="770" t="s">
        <v>1645</v>
      </c>
      <c r="C30" s="283">
        <f ca="1">ROUND((C21+C22+C23)*F28,0)</f>
        <v>0</v>
      </c>
      <c r="D30" s="275"/>
      <c r="E30" s="276"/>
      <c r="F30" s="281"/>
      <c r="G30" s="122"/>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8"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9" zoomScaleNormal="80" zoomScaleSheetLayoutView="100" workbookViewId="0">
      <selection activeCell="C50" sqref="C50:C58"/>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6927.16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13880</v>
      </c>
      <c r="C2" s="1843" t="s">
        <v>1935</v>
      </c>
      <c r="D2" s="161" t="s">
        <v>1936</v>
      </c>
      <c r="E2" s="3118" t="s">
        <v>673</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31219</v>
      </c>
      <c r="U2" s="1127">
        <f>'数据-基础表'!I13</f>
        <v>2330.09</v>
      </c>
      <c r="V2" s="3061">
        <f>ROUND(T2*U2/10000,0)</f>
        <v>7274</v>
      </c>
      <c r="W2" s="1130"/>
      <c r="X2" s="1130"/>
      <c r="Y2" s="1130"/>
      <c r="Z2" s="1130"/>
      <c r="AA2" s="1130"/>
      <c r="AB2" s="1130"/>
      <c r="AC2" s="1131"/>
      <c r="AD2" s="1132"/>
      <c r="AE2" s="1132"/>
      <c r="AF2" s="1132"/>
      <c r="AG2" s="1132"/>
      <c r="AH2" s="1132"/>
      <c r="AI2" s="1132"/>
      <c r="AJ2" s="1133"/>
    </row>
    <row r="3" spans="1:36" ht="15.6">
      <c r="A3" s="194" t="s">
        <v>1940</v>
      </c>
      <c r="B3" s="195">
        <f>ROUND(B2*10000/D1,0)</f>
        <v>20037</v>
      </c>
      <c r="C3" s="1843" t="s">
        <v>1941</v>
      </c>
      <c r="D3" s="161" t="s">
        <v>1942</v>
      </c>
      <c r="E3" s="3116" t="s">
        <v>2430</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24784</v>
      </c>
      <c r="U3" s="1127"/>
      <c r="V3" s="3061">
        <f t="shared" ref="V3:V16" si="1">ROUND(T3*U3/10000,0)</f>
        <v>0</v>
      </c>
      <c r="W3" s="1130"/>
      <c r="X3" s="1130"/>
      <c r="Y3" s="1130"/>
      <c r="Z3" s="1130"/>
      <c r="AA3" s="1130"/>
      <c r="AB3" s="1130"/>
      <c r="AC3" s="1131"/>
      <c r="AD3" s="1132"/>
      <c r="AE3" s="1132"/>
      <c r="AF3" s="1132"/>
      <c r="AG3" s="1132"/>
      <c r="AH3" s="1132"/>
      <c r="AI3" s="1132"/>
      <c r="AJ3" s="1133"/>
    </row>
    <row r="4" spans="1:36" ht="15.6">
      <c r="A4" s="3364"/>
      <c r="B4" s="3365"/>
      <c r="C4" s="3365"/>
      <c r="D4" s="3366"/>
      <c r="E4" s="3366"/>
      <c r="F4" s="3366"/>
      <c r="G4" s="3366"/>
      <c r="H4" s="3366"/>
      <c r="I4" s="3366"/>
      <c r="J4" s="3367"/>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21415</v>
      </c>
      <c r="U4" s="1127"/>
      <c r="V4" s="3061">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30520</v>
      </c>
      <c r="D5" s="1249">
        <f>ROUND(C6*C17+C20,0)</f>
        <v>30520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19379</v>
      </c>
      <c r="U5" s="1127"/>
      <c r="V5" s="3061">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18469</v>
      </c>
      <c r="U6" s="1127"/>
      <c r="V6" s="3061">
        <f t="shared" si="1"/>
        <v>0</v>
      </c>
      <c r="W6" s="1130"/>
      <c r="X6" s="1130"/>
      <c r="Y6" s="1130"/>
      <c r="Z6" s="1130"/>
      <c r="AA6" s="1130"/>
      <c r="AB6" s="1130"/>
      <c r="AC6" s="1852"/>
      <c r="AD6" s="1853"/>
      <c r="AE6" s="1853"/>
      <c r="AF6" s="1853"/>
      <c r="AG6" s="1853"/>
      <c r="AH6" s="1853"/>
      <c r="AI6" s="1853"/>
      <c r="AJ6" s="1854"/>
    </row>
    <row r="7" spans="1:36" ht="24.6"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6.4">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1" t="s">
        <v>1960</v>
      </c>
      <c r="X8" s="336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3"/>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8" thickBot="1">
      <c r="A12" s="3010" t="s">
        <v>3229</v>
      </c>
      <c r="B12" s="3011" t="s">
        <v>3230</v>
      </c>
      <c r="C12" s="3012"/>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24.6"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24">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ht="24">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6"/>
      <c r="B18" s="2307"/>
      <c r="C18" s="3032"/>
      <c r="D18" s="3027" t="s">
        <v>3239</v>
      </c>
      <c r="E18" s="2354"/>
      <c r="F18" s="3028" t="s">
        <v>3242</v>
      </c>
      <c r="G18" s="3032">
        <f>ROUND(1-(1/(POWER(1+G24,E18))),4)</f>
        <v>0</v>
      </c>
      <c r="H18" s="3028" t="s">
        <v>3244</v>
      </c>
      <c r="I18" s="3032">
        <f>ROUND(1-(1/(POWER(1+G24,J24))),4)</f>
        <v>0.88249999999999995</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4.4"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3.8">
      <c r="A20" s="3368" t="s">
        <v>3245</v>
      </c>
      <c r="B20" s="158" t="s">
        <v>1994</v>
      </c>
      <c r="C20" s="3029">
        <f>ROUND(IF(F21="与级别开发程度一致",0,(G21-E21)/C21),0)</f>
        <v>0</v>
      </c>
      <c r="D20" s="3044" t="s">
        <v>1998</v>
      </c>
      <c r="E20" s="3045"/>
      <c r="F20" s="3374" t="s">
        <v>1995</v>
      </c>
      <c r="G20" s="3375"/>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7" thickBot="1">
      <c r="A21" s="3369"/>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7"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0.61950000000000005</v>
      </c>
      <c r="D24" s="1899" t="s">
        <v>2007</v>
      </c>
      <c r="E24" s="1245">
        <f>存贷款利率!E27/100</f>
        <v>4.3499999999999997E-2</v>
      </c>
      <c r="F24" s="1899" t="s">
        <v>1999</v>
      </c>
      <c r="G24" s="721">
        <f>SUMIF(M30:Q30,E2,M33:Q33)</f>
        <v>5.5E-2</v>
      </c>
      <c r="H24" s="1899" t="s">
        <v>2008</v>
      </c>
      <c r="I24" s="722">
        <f>SUMIF('数据-取费表'!C6:C15,E2,'数据-取费表'!F6:F15)/COUNTIF('数据-取费表'!C6:C15,E2)</f>
        <v>14.78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4.4">
      <c r="A25" s="1904" t="s">
        <v>366</v>
      </c>
      <c r="B25" s="1905" t="s">
        <v>3445</v>
      </c>
      <c r="C25" s="460">
        <f>IF(B25="容积率修正",IF(G3&lt;10,D26,J26),C27)</f>
        <v>1.5206</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1.0035000000000001</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1.0443</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13880</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1652</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31219</v>
      </c>
      <c r="D33" s="1937">
        <f>'数据-基础表'!I13</f>
        <v>2330.09</v>
      </c>
      <c r="E33" s="724">
        <f>ROUND(C33*D33/10000,0)</f>
        <v>7274</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72"/>
      <c r="B37" s="1952" t="s">
        <v>2036</v>
      </c>
      <c r="C37" s="166">
        <f>ROUND(D5*C22*C23*C24*C28*F37,0)</f>
        <v>14371</v>
      </c>
      <c r="D37" s="1937">
        <f>'数据-基础表'!K13</f>
        <v>4597.07</v>
      </c>
      <c r="E37" s="162">
        <f>ROUND(C37*D37/10000,0)</f>
        <v>6606</v>
      </c>
      <c r="F37" s="162">
        <f>SUMIF(修正!A57:A68,G2,修正!B57:B68)</f>
        <v>0.7</v>
      </c>
      <c r="G37" s="162">
        <f>ROUND(IF(E2="工业",C37*$M$42,C37*$M$41),0)</f>
        <v>3593</v>
      </c>
      <c r="H37" s="162">
        <f>D37</f>
        <v>4597.07</v>
      </c>
      <c r="I37" s="162">
        <f>ROUND(G37*H37/10000,0)</f>
        <v>1652</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3"/>
      <c r="B38" s="1881" t="s">
        <v>2037</v>
      </c>
      <c r="C38" s="166">
        <f>ROUND(D5*C22*C23*C24*C28*F38,0)</f>
        <v>8212</v>
      </c>
      <c r="D38" s="1937"/>
      <c r="E38" s="162">
        <f t="shared" ref="E38:E42" si="4">ROUND(C38*D38/10000,0)</f>
        <v>0</v>
      </c>
      <c r="F38" s="162">
        <f>SUMIF(修正!A57:A68,G2,修正!C57:C68)</f>
        <v>0.4</v>
      </c>
      <c r="G38" s="162">
        <f>ROUND(IF(E2="工业",C38*$M$42,C38*$M$41),0)</f>
        <v>2053</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73"/>
      <c r="B39" s="1881" t="s">
        <v>3250</v>
      </c>
      <c r="C39" s="166">
        <f>ROUND(D5*C22*C23*C24*C28*F39,0)</f>
        <v>6159</v>
      </c>
      <c r="D39" s="1937"/>
      <c r="E39" s="162">
        <f t="shared" si="4"/>
        <v>0</v>
      </c>
      <c r="F39" s="162">
        <f>SUMIF(修正!A57:A68,G2,修正!D57:D68)</f>
        <v>0.3</v>
      </c>
      <c r="G39" s="162">
        <f>ROUND(IF(E2="工业",C39*$M$42,C39*$M$41),0)</f>
        <v>1540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6159</v>
      </c>
      <c r="D40" s="1937"/>
      <c r="E40" s="162">
        <f t="shared" si="4"/>
        <v>0</v>
      </c>
      <c r="F40" s="166">
        <f>SUMIF(修正!A57:A68,G2,修正!E57:E68)</f>
        <v>0.3</v>
      </c>
      <c r="G40" s="162">
        <f>ROUND(IF(E2="工业",C40*$M$42,C40*$M$41),0)</f>
        <v>1540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4"/>
        <v>0</v>
      </c>
      <c r="F41" s="166">
        <f>SUMIF(修正!A57:A68,G2,修正!F57:F68)</f>
        <v>0.3</v>
      </c>
      <c r="G41" s="162">
        <f>ROUND(IF(E2="工业",C41*$M$42,C41*$M$41),0)</f>
        <v>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4"/>
        <v>0</v>
      </c>
      <c r="F42" s="720">
        <f>SUMIF(修正!A57:A68,G2,修正!G57:G68)</f>
        <v>0.2</v>
      </c>
      <c r="G42" s="178">
        <f>ROUND(IF(E2="工业",C42*$M$42,C42*$M$41),0)</f>
        <v>0</v>
      </c>
      <c r="H42" s="178">
        <f t="shared" si="5"/>
        <v>0</v>
      </c>
      <c r="I42" s="178">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1.0443</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f>估价对象房地状况!C4</f>
        <v>0</v>
      </c>
      <c r="C50" s="1884" t="s">
        <v>3447</v>
      </c>
      <c r="D50" s="999">
        <f t="shared" ref="D50:D58" si="7">SUMIF($J$49:$N$49,C50,J50:N50)</f>
        <v>1.4500000000000001E-2</v>
      </c>
      <c r="E50" s="699">
        <f>ROUND(SUM(D50:D58),4)</f>
        <v>4.4299999999999999E-2</v>
      </c>
      <c r="F50" s="1672">
        <f>IF(E2="商业",SUMIF(L1:L12,G2,N1:N12),"——")</f>
        <v>9.7000000000000003E-2</v>
      </c>
      <c r="G50" s="997">
        <f>H50</f>
        <v>1.4500000000000001E-2</v>
      </c>
      <c r="H50" s="1000">
        <f t="shared" ref="H50:H58" si="8">IFERROR(ROUNDDOWN($F$50*I50/2,4),"——")</f>
        <v>1.4500000000000001E-2</v>
      </c>
      <c r="I50" s="3066">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24">
      <c r="A51" s="1967" t="s">
        <v>2053</v>
      </c>
      <c r="B51" s="1259">
        <f>估价对象房地状况!C18</f>
        <v>0</v>
      </c>
      <c r="C51" s="1884" t="s">
        <v>3447</v>
      </c>
      <c r="D51" s="999">
        <f t="shared" si="7"/>
        <v>1.06E-2</v>
      </c>
      <c r="E51" s="700"/>
      <c r="F51" s="1672"/>
      <c r="G51" s="997">
        <f t="shared" ref="G51:G58" si="12">H51</f>
        <v>1.06E-2</v>
      </c>
      <c r="H51" s="1000">
        <f t="shared" si="8"/>
        <v>1.06E-2</v>
      </c>
      <c r="I51" s="3066">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48">
      <c r="A52" s="3068" t="s">
        <v>3260</v>
      </c>
      <c r="B52" s="1259">
        <f>估价对象房地状况!C19</f>
        <v>0</v>
      </c>
      <c r="C52" s="1884" t="s">
        <v>3447</v>
      </c>
      <c r="D52" s="999">
        <f t="shared" si="7"/>
        <v>5.7999999999999996E-3</v>
      </c>
      <c r="E52" s="700"/>
      <c r="F52" s="1672"/>
      <c r="G52" s="997">
        <f t="shared" si="12"/>
        <v>5.7999999999999996E-3</v>
      </c>
      <c r="H52" s="1000">
        <f t="shared" si="8"/>
        <v>5.7999999999999996E-3</v>
      </c>
      <c r="I52" s="3066">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3447</v>
      </c>
      <c r="D53" s="999">
        <f t="shared" si="7"/>
        <v>2.3999999999999998E-3</v>
      </c>
      <c r="E53" s="700"/>
      <c r="F53" s="1672"/>
      <c r="G53" s="997">
        <f t="shared" si="12"/>
        <v>2.3999999999999998E-3</v>
      </c>
      <c r="H53" s="1000">
        <f t="shared" si="8"/>
        <v>2.3999999999999998E-3</v>
      </c>
      <c r="I53" s="3066">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3448</v>
      </c>
      <c r="D54" s="999">
        <f t="shared" si="7"/>
        <v>0</v>
      </c>
      <c r="E54" s="700"/>
      <c r="F54" s="1672"/>
      <c r="G54" s="997">
        <f t="shared" si="12"/>
        <v>3.8E-3</v>
      </c>
      <c r="H54" s="1000">
        <f t="shared" si="8"/>
        <v>3.8E-3</v>
      </c>
      <c r="I54" s="3066">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36">
      <c r="A55" s="1967" t="s">
        <v>2057</v>
      </c>
      <c r="B55" s="1972" t="s">
        <v>2058</v>
      </c>
      <c r="C55" s="1884" t="s">
        <v>3447</v>
      </c>
      <c r="D55" s="999">
        <f t="shared" si="7"/>
        <v>2.3999999999999998E-3</v>
      </c>
      <c r="E55" s="700"/>
      <c r="F55" s="1672"/>
      <c r="G55" s="997">
        <f t="shared" si="12"/>
        <v>2.3999999999999998E-3</v>
      </c>
      <c r="H55" s="1000">
        <f t="shared" si="8"/>
        <v>2.3999999999999998E-3</v>
      </c>
      <c r="I55" s="3066">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t="s">
        <v>3447</v>
      </c>
      <c r="D56" s="999">
        <f t="shared" si="7"/>
        <v>2.3999999999999998E-3</v>
      </c>
      <c r="E56" s="700"/>
      <c r="F56" s="1672"/>
      <c r="G56" s="997">
        <f t="shared" si="12"/>
        <v>2.3999999999999998E-3</v>
      </c>
      <c r="H56" s="1000">
        <f t="shared" si="8"/>
        <v>2.3999999999999998E-3</v>
      </c>
      <c r="I56" s="3066">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t="s">
        <v>3447</v>
      </c>
      <c r="D57" s="999">
        <f t="shared" si="7"/>
        <v>3.8E-3</v>
      </c>
      <c r="E57" s="700"/>
      <c r="F57" s="1672"/>
      <c r="G57" s="997">
        <f t="shared" si="12"/>
        <v>3.8E-3</v>
      </c>
      <c r="H57" s="1000">
        <f t="shared" si="8"/>
        <v>3.8E-3</v>
      </c>
      <c r="I57" s="3066">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36.6" thickBot="1">
      <c r="A58" s="1974" t="s">
        <v>2061</v>
      </c>
      <c r="B58" s="1975">
        <f>估价对象房地状况!C20</f>
        <v>0</v>
      </c>
      <c r="C58" s="1884" t="s">
        <v>3447</v>
      </c>
      <c r="D58" s="999">
        <f t="shared" si="7"/>
        <v>2.3999999999999998E-3</v>
      </c>
      <c r="E58" s="701"/>
      <c r="F58" s="1672"/>
      <c r="G58" s="997">
        <f t="shared" si="12"/>
        <v>2.3999999999999998E-3</v>
      </c>
      <c r="H58" s="1000">
        <f t="shared" si="8"/>
        <v>2.3999999999999998E-3</v>
      </c>
      <c r="I58" s="3067">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3">SUMIF($J$60:$N$60,C61,J61:N61)</f>
        <v>0</v>
      </c>
      <c r="E61" s="699">
        <f>ROUND(SUM(D61:D69),4)</f>
        <v>0</v>
      </c>
      <c r="F61" s="1672" t="str">
        <f>IF(E2="办公",SUMIF(L1:L12,G2,N1:N12),"——")</f>
        <v>——</v>
      </c>
      <c r="G61" s="997"/>
      <c r="H61" s="1000" t="str">
        <f t="shared" ref="H61:H69" si="14">IFERROR(ROUNDDOWN($F$61*I61/2,4),"——")</f>
        <v>——</v>
      </c>
      <c r="I61" s="306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24">
      <c r="A62" s="1967" t="s">
        <v>2053</v>
      </c>
      <c r="B62" s="1259">
        <f>估价对象房地状况!C18</f>
        <v>0</v>
      </c>
      <c r="C62" s="1884"/>
      <c r="D62" s="999">
        <f t="shared" si="13"/>
        <v>0</v>
      </c>
      <c r="E62" s="700"/>
      <c r="F62" s="1672"/>
      <c r="G62" s="997"/>
      <c r="H62" s="1000" t="str">
        <f t="shared" si="14"/>
        <v>——</v>
      </c>
      <c r="I62" s="306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48">
      <c r="A63" s="3068" t="s">
        <v>3260</v>
      </c>
      <c r="B63" s="1259">
        <f>估价对象房地状况!C19</f>
        <v>0</v>
      </c>
      <c r="C63" s="1884"/>
      <c r="D63" s="999">
        <f t="shared" si="13"/>
        <v>0</v>
      </c>
      <c r="E63" s="700"/>
      <c r="F63" s="1672"/>
      <c r="G63" s="997"/>
      <c r="H63" s="1000" t="str">
        <f t="shared" si="14"/>
        <v>——</v>
      </c>
      <c r="I63" s="306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3"/>
        <v>0</v>
      </c>
      <c r="E64" s="700"/>
      <c r="F64" s="1672"/>
      <c r="G64" s="997"/>
      <c r="H64" s="1000" t="str">
        <f t="shared" si="14"/>
        <v>——</v>
      </c>
      <c r="I64" s="306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3"/>
        <v>0</v>
      </c>
      <c r="E66" s="700"/>
      <c r="F66" s="1672"/>
      <c r="G66" s="997"/>
      <c r="H66" s="1000" t="str">
        <f t="shared" si="14"/>
        <v>——</v>
      </c>
      <c r="I66" s="306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c r="D67" s="999">
        <f t="shared" si="13"/>
        <v>0</v>
      </c>
      <c r="E67" s="700"/>
      <c r="F67" s="1672"/>
      <c r="G67" s="997"/>
      <c r="H67" s="1000" t="str">
        <f t="shared" si="14"/>
        <v>——</v>
      </c>
      <c r="I67" s="306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c r="D68" s="999">
        <f t="shared" si="13"/>
        <v>0</v>
      </c>
      <c r="E68" s="700"/>
      <c r="F68" s="1672"/>
      <c r="G68" s="997"/>
      <c r="H68" s="1000" t="str">
        <f t="shared" si="14"/>
        <v>——</v>
      </c>
      <c r="I68" s="306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36.6" thickBot="1">
      <c r="A69" s="1974" t="s">
        <v>2061</v>
      </c>
      <c r="B69" s="1976">
        <f>估价对象房地状况!C20</f>
        <v>0</v>
      </c>
      <c r="C69" s="1884"/>
      <c r="D69" s="999">
        <f t="shared" si="13"/>
        <v>0</v>
      </c>
      <c r="E69" s="701"/>
      <c r="F69" s="1672"/>
      <c r="G69" s="997"/>
      <c r="H69" s="1000" t="str">
        <f t="shared" si="14"/>
        <v>——</v>
      </c>
      <c r="I69" s="306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48">
      <c r="A85" s="3068" t="s">
        <v>3261</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3.8">
      <c r="A91" s="3076" t="s">
        <v>2603</v>
      </c>
      <c r="B91" s="3077">
        <f>1+E93</f>
        <v>1</v>
      </c>
      <c r="C91" s="3070"/>
      <c r="D91" s="3071"/>
      <c r="E91" s="1672"/>
      <c r="F91" s="1672"/>
      <c r="G91" s="3072"/>
      <c r="H91" s="3073"/>
      <c r="I91" s="3074"/>
      <c r="J91" s="3075"/>
      <c r="K91" s="3075"/>
      <c r="L91" s="3075"/>
      <c r="M91" s="3075"/>
      <c r="N91" s="3075"/>
    </row>
    <row r="92" spans="1:37" ht="25.2">
      <c r="A92" s="3078" t="s">
        <v>3262</v>
      </c>
      <c r="B92" s="2307"/>
      <c r="C92" s="2307" t="s">
        <v>3271</v>
      </c>
      <c r="D92" s="2307" t="s">
        <v>3272</v>
      </c>
      <c r="E92" s="3050" t="s">
        <v>3273</v>
      </c>
      <c r="F92" s="3080" t="s">
        <v>3274</v>
      </c>
      <c r="G92" s="2307" t="s">
        <v>3275</v>
      </c>
      <c r="H92" s="3087" t="s">
        <v>3278</v>
      </c>
      <c r="I92" s="2307" t="s">
        <v>3279</v>
      </c>
      <c r="J92" s="2147" t="s">
        <v>3280</v>
      </c>
      <c r="K92" s="2147" t="s">
        <v>3281</v>
      </c>
      <c r="L92" s="2147" t="s">
        <v>3282</v>
      </c>
      <c r="M92" s="2147" t="s">
        <v>3283</v>
      </c>
      <c r="N92" s="2147" t="s">
        <v>3284</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24">
      <c r="A94" s="3078" t="s">
        <v>3264</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48">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7.200000000000003">
      <c r="A96" s="3078" t="s">
        <v>3265</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36">
      <c r="A98" s="3078" t="s">
        <v>3267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3268</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3269</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36.6" thickBot="1">
      <c r="A101" s="3079" t="s">
        <v>3270</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0" t="s">
        <v>3285</v>
      </c>
      <c r="B103" s="3370"/>
      <c r="C103" s="3370"/>
      <c r="D103" s="3370"/>
      <c r="E103" s="3370"/>
      <c r="F103" s="3370"/>
      <c r="G103" s="3370"/>
      <c r="H103" s="3370"/>
      <c r="I103" s="3370"/>
      <c r="J103" s="3370"/>
      <c r="K103" s="1664"/>
      <c r="L103" s="1664"/>
      <c r="M103" s="1664"/>
      <c r="N103" s="1664"/>
    </row>
    <row r="104" spans="1:14">
      <c r="A104" s="3371" t="s">
        <v>3286</v>
      </c>
      <c r="B104" s="3371" t="s">
        <v>3287</v>
      </c>
      <c r="C104" s="3088" t="s">
        <v>3288</v>
      </c>
      <c r="D104" s="3089"/>
      <c r="E104" s="3089"/>
      <c r="F104" s="3089"/>
      <c r="G104" s="3089"/>
      <c r="H104" s="3089"/>
      <c r="I104" s="3089"/>
      <c r="J104" s="3090"/>
      <c r="K104" s="3091"/>
      <c r="L104" s="3091"/>
      <c r="M104" s="3091"/>
      <c r="N104" s="3091"/>
    </row>
    <row r="105" spans="1:14">
      <c r="A105" s="3371"/>
      <c r="B105" s="3371"/>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357"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8"/>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59"/>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0" t="s">
        <v>3302</v>
      </c>
      <c r="B113" s="3360"/>
      <c r="C113" s="3360"/>
      <c r="D113" s="3360"/>
      <c r="E113" s="3360"/>
      <c r="F113" s="3360"/>
      <c r="G113" s="3360"/>
      <c r="H113" s="3360"/>
      <c r="I113" s="3360"/>
      <c r="J113" s="3360"/>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3303</v>
      </c>
      <c r="B116" s="3112">
        <f>G3</f>
        <v>3.49</v>
      </c>
      <c r="C116" s="3097" t="s">
        <v>3304</v>
      </c>
      <c r="D116" s="3098">
        <f>SUMPRODUCT((A118:A122=F116)*(B117:M117=H116)*B118:M122)</f>
        <v>0.95840000000000003</v>
      </c>
      <c r="E116" s="161" t="s">
        <v>3305</v>
      </c>
      <c r="F116" s="3099" t="str">
        <f>E2</f>
        <v>商业</v>
      </c>
      <c r="G116" s="161" t="s">
        <v>3306</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3320</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3321</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8" thickBot="1">
      <c r="A121" s="3108" t="s">
        <v>3322</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D5D8-22D7-4D99-BEEF-9C938B22790F}">
  <sheetPr>
    <tabColor rgb="FF92D050"/>
  </sheetPr>
  <dimension ref="A1:AK122"/>
  <sheetViews>
    <sheetView view="pageBreakPreview" zoomScaleNormal="80" zoomScaleSheetLayoutView="100" workbookViewId="0">
      <selection activeCell="F12" sqref="F1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33118.07</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69887</v>
      </c>
      <c r="C2" s="1843" t="s">
        <v>1935</v>
      </c>
      <c r="D2" s="161" t="s">
        <v>1936</v>
      </c>
      <c r="E2" s="3118" t="s">
        <v>21</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Ⅱ—07</v>
      </c>
      <c r="J2" s="1839"/>
      <c r="K2" s="1053"/>
      <c r="L2" s="1844" t="s">
        <v>1939</v>
      </c>
      <c r="M2" s="808">
        <f>SUMPRODUCT((区片价!B10:B29=I2)*(区片价!C3:G3=E2)*(区片价!C10:G29))</f>
        <v>30370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38122</v>
      </c>
      <c r="U2" s="1127">
        <f>'数据-基础表'!I13</f>
        <v>2330.09</v>
      </c>
      <c r="V2" s="3061">
        <f>ROUND(T2*U2/10000,0)</f>
        <v>8883</v>
      </c>
      <c r="W2" s="1130"/>
      <c r="X2" s="1130"/>
      <c r="Y2" s="1130"/>
      <c r="Z2" s="1130"/>
      <c r="AA2" s="1130"/>
      <c r="AB2" s="1130"/>
      <c r="AC2" s="1131"/>
      <c r="AD2" s="1132"/>
      <c r="AE2" s="1132"/>
      <c r="AF2" s="1132"/>
      <c r="AG2" s="1132"/>
      <c r="AH2" s="1132"/>
      <c r="AI2" s="1132"/>
      <c r="AJ2" s="1133"/>
    </row>
    <row r="3" spans="1:36" ht="15.6">
      <c r="A3" s="194" t="s">
        <v>1940</v>
      </c>
      <c r="B3" s="195">
        <f>ROUND(B2*10000/D1,0)</f>
        <v>21102</v>
      </c>
      <c r="C3" s="1843" t="s">
        <v>1941</v>
      </c>
      <c r="D3" s="161" t="s">
        <v>1942</v>
      </c>
      <c r="E3" s="3116" t="s">
        <v>3446</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30265</v>
      </c>
      <c r="U3" s="1127"/>
      <c r="V3" s="3061">
        <f t="shared" ref="V3:V16" si="1">ROUND(T3*U3/10000,0)</f>
        <v>0</v>
      </c>
      <c r="W3" s="1130"/>
      <c r="X3" s="1130"/>
      <c r="Y3" s="1130"/>
      <c r="Z3" s="1130"/>
      <c r="AA3" s="1130"/>
      <c r="AB3" s="1130"/>
      <c r="AC3" s="1131"/>
      <c r="AD3" s="1132"/>
      <c r="AE3" s="1132"/>
      <c r="AF3" s="1132"/>
      <c r="AG3" s="1132"/>
      <c r="AH3" s="1132"/>
      <c r="AI3" s="1132"/>
      <c r="AJ3" s="1133"/>
    </row>
    <row r="4" spans="1:36" ht="15.6">
      <c r="A4" s="3364"/>
      <c r="B4" s="3365"/>
      <c r="C4" s="3365"/>
      <c r="D4" s="3366"/>
      <c r="E4" s="3366"/>
      <c r="F4" s="3366"/>
      <c r="G4" s="3366"/>
      <c r="H4" s="3366"/>
      <c r="I4" s="3366"/>
      <c r="J4" s="3367"/>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26151</v>
      </c>
      <c r="U4" s="1127"/>
      <c r="V4" s="3061">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30370</v>
      </c>
      <c r="D5" s="1249">
        <f>ROUND(C6*C17+C20,0)</f>
        <v>30370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23664</v>
      </c>
      <c r="U5" s="1127"/>
      <c r="V5" s="3061">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30370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22553</v>
      </c>
      <c r="U6" s="1127"/>
      <c r="V6" s="3061">
        <f t="shared" si="1"/>
        <v>0</v>
      </c>
      <c r="W6" s="1130"/>
      <c r="X6" s="1130"/>
      <c r="Y6" s="1130"/>
      <c r="Z6" s="1130"/>
      <c r="AA6" s="1130"/>
      <c r="AB6" s="1130"/>
      <c r="AC6" s="1852"/>
      <c r="AD6" s="1853"/>
      <c r="AE6" s="1853"/>
      <c r="AF6" s="1853"/>
      <c r="AG6" s="1853"/>
      <c r="AH6" s="1853"/>
      <c r="AI6" s="1853"/>
      <c r="AJ6" s="1854"/>
    </row>
    <row r="7" spans="1:36" ht="24.6"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6.4">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1" t="s">
        <v>1960</v>
      </c>
      <c r="X8" s="336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3"/>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8" thickBot="1">
      <c r="A12" s="3010" t="s">
        <v>3229</v>
      </c>
      <c r="B12" s="3011" t="s">
        <v>3230</v>
      </c>
      <c r="C12" s="3507">
        <v>1</v>
      </c>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24.6"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24">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ht="24">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6"/>
      <c r="B18" s="2307"/>
      <c r="C18" s="3032"/>
      <c r="D18" s="3027" t="s">
        <v>3239</v>
      </c>
      <c r="E18" s="2354"/>
      <c r="F18" s="3028" t="s">
        <v>3242</v>
      </c>
      <c r="G18" s="3032">
        <f>ROUND(1-(1/(POWER(1+G24,E18))),4)</f>
        <v>0</v>
      </c>
      <c r="H18" s="3028" t="s">
        <v>3244</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4.4"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3.8">
      <c r="A20" s="3368" t="s">
        <v>3245</v>
      </c>
      <c r="B20" s="158" t="s">
        <v>1994</v>
      </c>
      <c r="C20" s="3029">
        <f>ROUND(IF(F21="与级别开发程度一致",0,(G21-E21)/C21),0)</f>
        <v>0</v>
      </c>
      <c r="D20" s="3044" t="s">
        <v>1998</v>
      </c>
      <c r="E20" s="3045"/>
      <c r="F20" s="3374" t="s">
        <v>1995</v>
      </c>
      <c r="G20" s="3375"/>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7" thickBot="1">
      <c r="A21" s="3369"/>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7"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0.78910000000000002</v>
      </c>
      <c r="D24" s="1899" t="s">
        <v>2007</v>
      </c>
      <c r="E24" s="1245">
        <f>存贷款利率!E27/100</f>
        <v>4.3499999999999997E-2</v>
      </c>
      <c r="F24" s="1899" t="s">
        <v>1999</v>
      </c>
      <c r="G24" s="721">
        <f>SUMIF(M30:Q30,E2,M33:Q33)</f>
        <v>5.5E-2</v>
      </c>
      <c r="H24" s="1899" t="s">
        <v>2008</v>
      </c>
      <c r="I24" s="722">
        <f>SUMIF('数据-取费表'!C6:C15,E2,'数据-取费表'!F6:F15)/COUNTIF('数据-取费表'!C6:C15,E2)</f>
        <v>24.79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4.4">
      <c r="A25" s="1904" t="s">
        <v>366</v>
      </c>
      <c r="B25" s="1905" t="s">
        <v>3326</v>
      </c>
      <c r="C25" s="460">
        <f>IF(B25="容积率修正",IF(G3&lt;10,D26,J26),C27)</f>
        <v>1.0004</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1.004</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1.0458000000000001</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69887</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823</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25080</v>
      </c>
      <c r="D33" s="1937">
        <f>'数据-基础表'!M14</f>
        <v>26553.1</v>
      </c>
      <c r="E33" s="724">
        <f>ROUND(C33*D33/10000,0)</f>
        <v>66595</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f>ROUND(IF(E2="工业",C33*M42,IF(B25="楼层修正",SUM(V2:V16)*M41*10000/D34,C33*M41)),0)</f>
        <v>6270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72"/>
      <c r="B37" s="1952" t="s">
        <v>2036</v>
      </c>
      <c r="C37" s="166">
        <f>ROUND(D5*C22*C23*C24*C28*F37,0)</f>
        <v>17549</v>
      </c>
      <c r="D37" s="1937"/>
      <c r="E37" s="162">
        <f>ROUND(C37*D37/10000,0)</f>
        <v>0</v>
      </c>
      <c r="F37" s="162">
        <f>SUMIF(修正!A57:A68,G2,修正!B57:B68)</f>
        <v>0.7</v>
      </c>
      <c r="G37" s="162">
        <f>ROUND(IF(E2="工业",C37*$M$42,C37*$M$41),0)</f>
        <v>4387</v>
      </c>
      <c r="H37" s="162">
        <f>D37</f>
        <v>0</v>
      </c>
      <c r="I37" s="162">
        <f>ROUND(G37*H37/10000,0)</f>
        <v>0</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3"/>
      <c r="B38" s="1881" t="s">
        <v>2037</v>
      </c>
      <c r="C38" s="166">
        <f>ROUND(D5*C22*C23*C24*C28*F38,0)</f>
        <v>10028</v>
      </c>
      <c r="D38" s="1937"/>
      <c r="E38" s="162">
        <f t="shared" ref="E38:E42" si="4">ROUND(C38*D38/10000,0)</f>
        <v>0</v>
      </c>
      <c r="F38" s="162">
        <f>SUMIF(修正!A57:A68,G2,修正!C57:C68)</f>
        <v>0.4</v>
      </c>
      <c r="G38" s="162">
        <f>ROUND(IF(E2="工业",C38*$M$42,C38*$M$41),0)</f>
        <v>2507</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73"/>
      <c r="B39" s="1881" t="s">
        <v>3250</v>
      </c>
      <c r="C39" s="166">
        <f>ROUND(D5*C22*C23*C24*C28*F39,0)</f>
        <v>7521</v>
      </c>
      <c r="D39" s="1937"/>
      <c r="E39" s="162">
        <f t="shared" si="4"/>
        <v>0</v>
      </c>
      <c r="F39" s="162">
        <f>SUMIF(修正!A57:A68,G2,修正!D57:D68)</f>
        <v>0.3</v>
      </c>
      <c r="G39" s="162">
        <f>ROUND(IF(E2="工业",C39*$M$42,C39*$M$41),0)</f>
        <v>1880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7521</v>
      </c>
      <c r="D40" s="1937"/>
      <c r="E40" s="162">
        <f t="shared" si="4"/>
        <v>0</v>
      </c>
      <c r="F40" s="166">
        <f>SUMIF(修正!A57:A68,G2,修正!E57:E68)</f>
        <v>0.3</v>
      </c>
      <c r="G40" s="162">
        <f>ROUND(IF(E2="工业",C40*$M$42,C40*$M$41),0)</f>
        <v>1880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7521</v>
      </c>
      <c r="D41" s="1937"/>
      <c r="E41" s="162">
        <f t="shared" si="4"/>
        <v>0</v>
      </c>
      <c r="F41" s="166">
        <f>SUMIF(修正!A57:A68,G2,修正!F57:F68)</f>
        <v>0.3</v>
      </c>
      <c r="G41" s="162">
        <f>ROUND(IF(E2="工业",C41*$M$42,C41*$M$41),0)</f>
        <v>1880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5014</v>
      </c>
      <c r="D42" s="1942">
        <f>'数据-基础表'!O15</f>
        <v>6564.97</v>
      </c>
      <c r="E42" s="178">
        <f t="shared" si="4"/>
        <v>3292</v>
      </c>
      <c r="F42" s="720">
        <f>SUMIF(修正!A57:A68,G2,修正!G57:G68)</f>
        <v>0.2</v>
      </c>
      <c r="G42" s="178">
        <f>ROUND(IF(E2="工业",C42*$M$42,C42*$M$41),0)</f>
        <v>1254</v>
      </c>
      <c r="H42" s="178">
        <f t="shared" si="5"/>
        <v>6564.97</v>
      </c>
      <c r="I42" s="178">
        <f t="shared" si="6"/>
        <v>823</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0.78910000000000002</v>
      </c>
      <c r="D44" s="162" t="s">
        <v>1999</v>
      </c>
      <c r="E44" s="1988">
        <f>G24</f>
        <v>5.5E-2</v>
      </c>
      <c r="F44" s="162" t="s">
        <v>2008</v>
      </c>
      <c r="G44" s="174">
        <f>项目基本情况!F15</f>
        <v>24.79</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24">
      <c r="A51" s="1967" t="s">
        <v>2053</v>
      </c>
      <c r="B51" s="1259">
        <f>估价对象房地状况!C18</f>
        <v>0</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8" t="s">
        <v>3260</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36.6" thickBot="1">
      <c r="A58" s="1974" t="s">
        <v>2061</v>
      </c>
      <c r="B58" s="1975">
        <f>估价对象房地状况!C20</f>
        <v>0</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4" t="s">
        <v>2062</v>
      </c>
      <c r="B59" s="1965">
        <f>1+E61</f>
        <v>1.0458000000000001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3508" t="s">
        <v>3447</v>
      </c>
      <c r="D61" s="999">
        <f t="shared" ref="D61:D69" si="12">SUMIF($J$60:$N$60,C61,J61:N61)</f>
        <v>1.21E-2</v>
      </c>
      <c r="E61" s="699">
        <f>ROUND(SUM(D61:D69),4)</f>
        <v>4.58E-2</v>
      </c>
      <c r="F61" s="1672">
        <f>IF(E2="办公",SUMIF(L1:L12,G2,N1:N12),"——")</f>
        <v>9.7000000000000003E-2</v>
      </c>
      <c r="G61" s="997">
        <f>H61</f>
        <v>1.21E-2</v>
      </c>
      <c r="H61" s="1000">
        <f t="shared" ref="H61:H69" si="13">IFERROR(ROUNDDOWN($F$61*I61/2,4),"——")</f>
        <v>1.21E-2</v>
      </c>
      <c r="I61" s="3066">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24">
      <c r="A62" s="1967" t="s">
        <v>2053</v>
      </c>
      <c r="B62" s="1259">
        <f>估价对象房地状况!C18</f>
        <v>0</v>
      </c>
      <c r="C62" s="1884" t="s">
        <v>3447</v>
      </c>
      <c r="D62" s="999">
        <f t="shared" si="12"/>
        <v>1.26E-2</v>
      </c>
      <c r="E62" s="700"/>
      <c r="F62" s="1672"/>
      <c r="G62" s="997">
        <f t="shared" ref="G62:G69" si="17">H62</f>
        <v>1.26E-2</v>
      </c>
      <c r="H62" s="1000">
        <f t="shared" si="13"/>
        <v>1.26E-2</v>
      </c>
      <c r="I62" s="3066">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48">
      <c r="A63" s="3068" t="s">
        <v>3260</v>
      </c>
      <c r="B63" s="1259">
        <f>估价对象房地状况!C19</f>
        <v>0</v>
      </c>
      <c r="C63" s="1884" t="s">
        <v>3447</v>
      </c>
      <c r="D63" s="999">
        <f t="shared" si="12"/>
        <v>5.3E-3</v>
      </c>
      <c r="E63" s="700"/>
      <c r="F63" s="1672"/>
      <c r="G63" s="997">
        <f t="shared" si="17"/>
        <v>5.3E-3</v>
      </c>
      <c r="H63" s="1000">
        <f t="shared" si="13"/>
        <v>5.3E-3</v>
      </c>
      <c r="I63" s="3066">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3447</v>
      </c>
      <c r="D64" s="999">
        <f t="shared" si="12"/>
        <v>2.3999999999999998E-3</v>
      </c>
      <c r="E64" s="700"/>
      <c r="F64" s="1672"/>
      <c r="G64" s="997">
        <f t="shared" si="17"/>
        <v>2.3999999999999998E-3</v>
      </c>
      <c r="H64" s="1000">
        <f t="shared" si="13"/>
        <v>2.3999999999999998E-3</v>
      </c>
      <c r="I64" s="3066">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3448</v>
      </c>
      <c r="D65" s="999">
        <f t="shared" si="12"/>
        <v>0</v>
      </c>
      <c r="E65" s="700"/>
      <c r="F65" s="1672"/>
      <c r="G65" s="997">
        <f t="shared" si="17"/>
        <v>2.3999999999999998E-3</v>
      </c>
      <c r="H65" s="1000">
        <f t="shared" si="13"/>
        <v>2.3999999999999998E-3</v>
      </c>
      <c r="I65" s="3066">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36">
      <c r="A66" s="1967" t="s">
        <v>2057</v>
      </c>
      <c r="B66" s="1972" t="s">
        <v>2058</v>
      </c>
      <c r="C66" s="1884" t="s">
        <v>3447</v>
      </c>
      <c r="D66" s="999">
        <f t="shared" si="12"/>
        <v>2.8999999999999998E-3</v>
      </c>
      <c r="E66" s="700"/>
      <c r="F66" s="1672"/>
      <c r="G66" s="997">
        <f t="shared" si="17"/>
        <v>2.8999999999999998E-3</v>
      </c>
      <c r="H66" s="1000">
        <f t="shared" si="13"/>
        <v>2.8999999999999998E-3</v>
      </c>
      <c r="I66" s="3066">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t="s">
        <v>3447</v>
      </c>
      <c r="D67" s="999">
        <f t="shared" si="12"/>
        <v>2.8999999999999998E-3</v>
      </c>
      <c r="E67" s="700"/>
      <c r="F67" s="1672"/>
      <c r="G67" s="997">
        <f t="shared" si="17"/>
        <v>2.8999999999999998E-3</v>
      </c>
      <c r="H67" s="1000">
        <f t="shared" si="13"/>
        <v>2.8999999999999998E-3</v>
      </c>
      <c r="I67" s="3066">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t="s">
        <v>3447</v>
      </c>
      <c r="D68" s="999">
        <f t="shared" si="12"/>
        <v>4.3E-3</v>
      </c>
      <c r="E68" s="700"/>
      <c r="F68" s="1672"/>
      <c r="G68" s="997">
        <f t="shared" si="17"/>
        <v>4.3E-3</v>
      </c>
      <c r="H68" s="1000">
        <f t="shared" si="13"/>
        <v>4.3E-3</v>
      </c>
      <c r="I68" s="3066">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36.6" thickBot="1">
      <c r="A69" s="1974" t="s">
        <v>2061</v>
      </c>
      <c r="B69" s="1976">
        <f>估价对象房地状况!C20</f>
        <v>0</v>
      </c>
      <c r="C69" s="1884" t="s">
        <v>3447</v>
      </c>
      <c r="D69" s="999">
        <f t="shared" si="12"/>
        <v>3.3E-3</v>
      </c>
      <c r="E69" s="701"/>
      <c r="F69" s="1672"/>
      <c r="G69" s="997">
        <f t="shared" si="17"/>
        <v>3.3E-3</v>
      </c>
      <c r="H69" s="1000">
        <f t="shared" si="13"/>
        <v>3.3E-3</v>
      </c>
      <c r="I69" s="3067">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3.8">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48">
      <c r="A85" s="3068" t="s">
        <v>3260</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3.8">
      <c r="A91" s="3076" t="s">
        <v>2603</v>
      </c>
      <c r="B91" s="3077">
        <f>1+E93</f>
        <v>1</v>
      </c>
      <c r="C91" s="3070"/>
      <c r="D91" s="3071"/>
      <c r="E91" s="1672"/>
      <c r="F91" s="1672"/>
      <c r="G91" s="3072"/>
      <c r="H91" s="3073"/>
      <c r="I91" s="3074"/>
      <c r="J91" s="3075"/>
      <c r="K91" s="3075"/>
      <c r="L91" s="3075"/>
      <c r="M91" s="3075"/>
      <c r="N91" s="3075"/>
    </row>
    <row r="92" spans="1:37" ht="25.2">
      <c r="A92" s="3078" t="s">
        <v>2044</v>
      </c>
      <c r="B92" s="2307"/>
      <c r="C92" s="2307" t="s">
        <v>2046</v>
      </c>
      <c r="D92" s="2307" t="s">
        <v>2047</v>
      </c>
      <c r="E92" s="3050" t="s">
        <v>2048</v>
      </c>
      <c r="F92" s="3080" t="s">
        <v>3274</v>
      </c>
      <c r="G92" s="2307" t="s">
        <v>1989</v>
      </c>
      <c r="H92" s="3087" t="s">
        <v>3278</v>
      </c>
      <c r="I92" s="2307" t="s">
        <v>2051</v>
      </c>
      <c r="J92" s="2147" t="s">
        <v>1721</v>
      </c>
      <c r="K92" s="2147" t="s">
        <v>1722</v>
      </c>
      <c r="L92" s="2147" t="s">
        <v>1723</v>
      </c>
      <c r="M92" s="2147" t="s">
        <v>1724</v>
      </c>
      <c r="N92" s="2147" t="s">
        <v>1725</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24">
      <c r="A94" s="3078" t="s">
        <v>2053</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48">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7.200000000000003">
      <c r="A96" s="3078" t="s">
        <v>2054</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2056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36">
      <c r="A98" s="3078" t="s">
        <v>2057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2059</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2060</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36.6" thickBot="1">
      <c r="A101" s="3079" t="s">
        <v>2061</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0" t="s">
        <v>3285</v>
      </c>
      <c r="B103" s="3370"/>
      <c r="C103" s="3370"/>
      <c r="D103" s="3370"/>
      <c r="E103" s="3370"/>
      <c r="F103" s="3370"/>
      <c r="G103" s="3370"/>
      <c r="H103" s="3370"/>
      <c r="I103" s="3370"/>
      <c r="J103" s="3370"/>
      <c r="K103" s="1664"/>
      <c r="L103" s="1664"/>
      <c r="M103" s="1664"/>
      <c r="N103" s="1664"/>
    </row>
    <row r="104" spans="1:14">
      <c r="A104" s="3371" t="s">
        <v>3286</v>
      </c>
      <c r="B104" s="3371" t="s">
        <v>3287</v>
      </c>
      <c r="C104" s="3088" t="s">
        <v>3288</v>
      </c>
      <c r="D104" s="3089"/>
      <c r="E104" s="3089"/>
      <c r="F104" s="3089"/>
      <c r="G104" s="3089"/>
      <c r="H104" s="3089"/>
      <c r="I104" s="3089"/>
      <c r="J104" s="3090"/>
      <c r="K104" s="3091"/>
      <c r="L104" s="3091"/>
      <c r="M104" s="3091"/>
      <c r="N104" s="3091"/>
    </row>
    <row r="105" spans="1:14">
      <c r="A105" s="3371"/>
      <c r="B105" s="3371"/>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57"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8"/>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59"/>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0" t="s">
        <v>3302</v>
      </c>
      <c r="B113" s="3360"/>
      <c r="C113" s="3360"/>
      <c r="D113" s="3360"/>
      <c r="E113" s="3360"/>
      <c r="F113" s="3360"/>
      <c r="G113" s="3360"/>
      <c r="H113" s="3360"/>
      <c r="I113" s="3360"/>
      <c r="J113" s="3360"/>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3303</v>
      </c>
      <c r="B116" s="3112">
        <f>G3</f>
        <v>3.49</v>
      </c>
      <c r="C116" s="3097" t="s">
        <v>3304</v>
      </c>
      <c r="D116" s="3098">
        <f>SUMPRODUCT((A118:A122=F116)*(B117:M117=H116)*B118:M122)</f>
        <v>0.95389999999999997</v>
      </c>
      <c r="E116" s="161" t="s">
        <v>1936</v>
      </c>
      <c r="F116" s="3099" t="str">
        <f>E2</f>
        <v>办公</v>
      </c>
      <c r="G116" s="161" t="s">
        <v>1937</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1990</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1991</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1992</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8" thickBot="1">
      <c r="A121" s="3108" t="s">
        <v>1993</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J23" xr:uid="{FD1B3574-16CC-43A1-A70F-727DAC085E4C}">
      <formula1>"不用分区数据,中心城区,中心城区以外"</formula1>
    </dataValidation>
    <dataValidation type="list" allowBlank="1" showInputMessage="1" showErrorMessage="1" sqref="H20:O20" xr:uid="{103F6879-7C7C-4414-9390-BAE67AEE33F1}">
      <formula1>七通一平</formula1>
    </dataValidation>
    <dataValidation type="list" allowBlank="1" showInputMessage="1" showErrorMessage="1" sqref="H23" xr:uid="{481A22B9-44ED-48EA-AC3A-8E0E179F8218}">
      <formula1>"地价指数,季度增幅（自定义）,按公示增长率计算"</formula1>
    </dataValidation>
    <dataValidation type="list" allowBlank="1" showInputMessage="1" showErrorMessage="1" sqref="C61:C69 C72:C80 C50:C58 C83:C91 C93:C101" xr:uid="{20EF02ED-80A4-461F-951B-7B20BB6B5685}">
      <formula1>五等判定</formula1>
    </dataValidation>
    <dataValidation type="list" allowBlank="1" showInputMessage="1" showErrorMessage="1" sqref="E3" xr:uid="{E4DD6587-4F61-4F00-8CAB-8A48B43FEBD3}">
      <formula1>二级分类</formula1>
    </dataValidation>
    <dataValidation type="list" allowBlank="1" showInputMessage="1" showErrorMessage="1" sqref="C8" xr:uid="{5FE67B0E-C459-478C-93B6-702D47CEBAE2}">
      <formula1>商业街名称</formula1>
    </dataValidation>
    <dataValidation type="list" allowBlank="1" showInputMessage="1" showErrorMessage="1" sqref="F3" xr:uid="{432634B7-0FAE-46BD-B624-A7DB32CCAB40}">
      <formula1>"宗地容积率,估价对象容积率,自定义容积率"</formula1>
    </dataValidation>
    <dataValidation type="list" allowBlank="1" showInputMessage="1" showErrorMessage="1" sqref="E2" xr:uid="{5E5EF4D4-541C-48F1-96B3-4A7AD03BE2FF}">
      <formula1>"商业,办公,住宅,工业,公共服务"</formula1>
    </dataValidation>
    <dataValidation type="list" allowBlank="1" showInputMessage="1" showErrorMessage="1" sqref="F21" xr:uid="{F2A25984-D12D-4A76-86EC-3617E27B9BB8}">
      <formula1>"与级别开发程度一致,与级别开发程度不一致"</formula1>
    </dataValidation>
    <dataValidation type="list" allowBlank="1" showInputMessage="1" showErrorMessage="1" sqref="B25" xr:uid="{018475B3-D1E6-417A-9B7B-DF71FAA309A9}">
      <formula1>"容积率修正,楼层修正"</formula1>
    </dataValidation>
    <dataValidation type="list" allowBlank="1" showInputMessage="1" showErrorMessage="1" sqref="C15:D15" xr:uid="{7BE48998-B900-45AF-BC4D-C1CF30D0D50A}">
      <formula1>"有,无"</formula1>
    </dataValidation>
    <dataValidation type="list" allowBlank="1" showInputMessage="1" showErrorMessage="1" sqref="E15" xr:uid="{5F70632B-BD01-4264-B592-A702231DBFC9}">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673</v>
      </c>
      <c r="D1" s="1268" t="s">
        <v>43</v>
      </c>
      <c r="E1" s="1269" t="s">
        <v>678</v>
      </c>
      <c r="F1" s="996">
        <f ca="1">J53</f>
        <v>14.78</v>
      </c>
      <c r="G1" s="1283">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12592</v>
      </c>
      <c r="C2" s="1286" t="s">
        <v>805</v>
      </c>
      <c r="D2" s="1286"/>
      <c r="E2" s="1292"/>
      <c r="F2" s="1293"/>
      <c r="G2" s="2476"/>
      <c r="H2" s="2466"/>
      <c r="I2" s="2466"/>
      <c r="J2" s="2466"/>
      <c r="K2" s="2467"/>
      <c r="L2" s="2466"/>
      <c r="M2" s="2466"/>
    </row>
    <row r="3" spans="1:37" ht="18" customHeight="1" thickBot="1">
      <c r="A3" s="1294" t="s">
        <v>806</v>
      </c>
      <c r="B3" s="1295">
        <f ca="1">IF(ISERROR(B2*10000/F43),0,ROUND(B2*10000/F43,0))</f>
        <v>18178</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1276</v>
      </c>
      <c r="D5" s="1270" t="s">
        <v>693</v>
      </c>
      <c r="E5" s="1005"/>
      <c r="F5" s="1006"/>
      <c r="G5" s="1289"/>
      <c r="H5" s="290">
        <v>1</v>
      </c>
      <c r="I5" s="291" t="s">
        <v>692</v>
      </c>
      <c r="J5" s="1004">
        <f ca="1">J6+J10+J12</f>
        <v>0</v>
      </c>
      <c r="K5" s="1270" t="s">
        <v>693</v>
      </c>
      <c r="L5" s="1005"/>
      <c r="M5" s="1006"/>
    </row>
    <row r="6" spans="1:37" ht="18" customHeight="1">
      <c r="A6" s="1003" t="s">
        <v>398</v>
      </c>
      <c r="B6" s="3378" t="s">
        <v>694</v>
      </c>
      <c r="C6" s="1008">
        <f ca="1">ROUND(F6*F8*F7*(1-F9)/10000,0)</f>
        <v>1274</v>
      </c>
      <c r="D6" s="146" t="s">
        <v>2109</v>
      </c>
      <c r="E6" s="293" t="s">
        <v>696</v>
      </c>
      <c r="F6" s="294">
        <f ca="1">INDIRECT("'数据-取费表'!u"&amp;$G$1)</f>
        <v>5.6</v>
      </c>
      <c r="G6" s="1289"/>
      <c r="H6" s="1003" t="s">
        <v>398</v>
      </c>
      <c r="I6" s="3378" t="s">
        <v>694</v>
      </c>
      <c r="J6" s="292">
        <f ca="1">ROUND(M6*M8*M7*(1-M9)/10000,0)</f>
        <v>0</v>
      </c>
      <c r="K6" s="146" t="s">
        <v>2108</v>
      </c>
      <c r="L6" s="293" t="s">
        <v>696</v>
      </c>
      <c r="M6" s="294">
        <f ca="1">INDIRECT("'数据-取费表'!z"&amp;$G$1)</f>
        <v>0</v>
      </c>
    </row>
    <row r="7" spans="1:37" ht="18" customHeight="1">
      <c r="A7" s="1007"/>
      <c r="B7" s="3379"/>
      <c r="C7" s="1009"/>
      <c r="D7" s="298"/>
      <c r="E7" s="1010" t="s">
        <v>697</v>
      </c>
      <c r="F7" s="294">
        <f ca="1">IF(INDIRECT("'数据-取费表'!ah"&amp;$G$1)="",INDIRECT("'数据-取费表'!k"&amp;$G$1),INDIRECT("'数据-取费表'!ah"&amp;$G$1))</f>
        <v>6927.16</v>
      </c>
      <c r="G7" s="1289"/>
      <c r="H7" s="295"/>
      <c r="I7" s="3379"/>
      <c r="J7" s="297"/>
      <c r="K7" s="298"/>
      <c r="L7" s="293" t="s">
        <v>697</v>
      </c>
      <c r="M7" s="294">
        <f ca="1">F7</f>
        <v>6927.16</v>
      </c>
    </row>
    <row r="8" spans="1:37" ht="18" customHeight="1">
      <c r="A8" s="295"/>
      <c r="B8" s="3379"/>
      <c r="C8" s="297"/>
      <c r="D8" s="298"/>
      <c r="E8" s="293" t="s">
        <v>698</v>
      </c>
      <c r="F8" s="294">
        <f ca="1">INDIRECT("'数据-取费表'!ai"&amp;$G$1)</f>
        <v>365</v>
      </c>
      <c r="G8" s="1289"/>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89"/>
      <c r="H9" s="295"/>
      <c r="I9" s="3380"/>
      <c r="J9" s="297"/>
      <c r="K9" s="298"/>
      <c r="L9" s="304" t="s">
        <v>699</v>
      </c>
      <c r="M9" s="305">
        <f ca="1">INDIRECT("'数据-取费表'!ab"&amp;$G$1)</f>
        <v>0</v>
      </c>
    </row>
    <row r="10" spans="1:37" ht="18" customHeight="1">
      <c r="A10" s="1003" t="s">
        <v>402</v>
      </c>
      <c r="B10" s="1271" t="s">
        <v>700</v>
      </c>
      <c r="C10" s="307">
        <f ca="1">ROUND(IF(F10="押一",C6/12*F11,IF(F10="押二",C6/12*2*F11,IF(F10="押三",C6/12*3*F11,C11*F11))),0)</f>
        <v>2</v>
      </c>
      <c r="D10" s="149" t="s">
        <v>2117</v>
      </c>
      <c r="E10" s="304" t="s">
        <v>701</v>
      </c>
      <c r="F10" s="1050" t="s">
        <v>3614</v>
      </c>
      <c r="G10" s="1289"/>
      <c r="H10" s="1003" t="s">
        <v>402</v>
      </c>
      <c r="I10" s="1271" t="s">
        <v>700</v>
      </c>
      <c r="J10" s="292">
        <f ca="1">ROUND(IF(M10="押一",J6/12*M11,IF(M10="押二",J6/12*2*M11,IF(M10="押三",J6/12*3*M11,J11*M11))),0)</f>
        <v>0</v>
      </c>
      <c r="K10" s="149" t="s">
        <v>2116</v>
      </c>
      <c r="L10" s="304" t="s">
        <v>701</v>
      </c>
      <c r="M10" s="1050" t="s">
        <v>3615</v>
      </c>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5063</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3810</v>
      </c>
      <c r="D14" s="1254" t="s">
        <v>708</v>
      </c>
      <c r="E14" s="1252"/>
      <c r="F14" s="310"/>
      <c r="G14" s="1289"/>
      <c r="H14" s="925" t="s">
        <v>398</v>
      </c>
      <c r="I14" s="293" t="s">
        <v>709</v>
      </c>
      <c r="J14" s="21">
        <f ca="1">C29</f>
        <v>5819</v>
      </c>
      <c r="K14" s="12"/>
      <c r="L14" s="756"/>
      <c r="M14" s="757"/>
    </row>
    <row r="15" spans="1:37" s="1301" customFormat="1" ht="18" customHeight="1" thickBot="1">
      <c r="A15" s="925" t="s">
        <v>399</v>
      </c>
      <c r="B15" s="293" t="s">
        <v>710</v>
      </c>
      <c r="C15" s="21">
        <f ca="1">ROUND(C14*F15,0)</f>
        <v>191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33</v>
      </c>
      <c r="K16" s="1021" t="s">
        <v>715</v>
      </c>
      <c r="L16" s="1022"/>
      <c r="M16" s="1006"/>
    </row>
    <row r="17" spans="1:37" s="1301" customFormat="1" ht="18" customHeight="1">
      <c r="A17" s="925" t="s">
        <v>681</v>
      </c>
      <c r="B17" s="293" t="s">
        <v>716</v>
      </c>
      <c r="C17" s="21">
        <f ca="1">ROUND(F17*(F43+INDIRECT("'数据-取费表'!S"&amp;$G$1))/10000,0)</f>
        <v>139</v>
      </c>
      <c r="D17" s="293" t="s">
        <v>717</v>
      </c>
      <c r="E17" s="293" t="s">
        <v>718</v>
      </c>
      <c r="F17" s="23">
        <f>'数据-取费表'!B35</f>
        <v>200</v>
      </c>
      <c r="G17" s="1300"/>
      <c r="H17" s="925" t="s">
        <v>398</v>
      </c>
      <c r="I17" s="293" t="s">
        <v>719</v>
      </c>
      <c r="J17" s="2137">
        <f ca="1">ROUND(IF(AND(项目基本情况!B11="自然人",项目基本情况!B10="北京市"),J6*M17/(1+'数据-取费表'!C42),J18+J19+J20),2)</f>
        <v>3.44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76</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4216</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84</v>
      </c>
      <c r="D20" s="314" t="s">
        <v>729</v>
      </c>
      <c r="E20" s="293" t="s">
        <v>712</v>
      </c>
      <c r="F20" s="313">
        <f>'数据-取费表'!B37</f>
        <v>0.02</v>
      </c>
      <c r="G20" s="1300"/>
      <c r="H20" s="925" t="s">
        <v>680</v>
      </c>
      <c r="I20" s="146" t="s">
        <v>730</v>
      </c>
      <c r="J20" s="22">
        <f ca="1">ROUND(M20*M21/10000,2)</f>
        <v>3.44</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15</v>
      </c>
      <c r="D21" s="314" t="s">
        <v>734</v>
      </c>
      <c r="E21" s="293" t="s">
        <v>735</v>
      </c>
      <c r="F21" s="313">
        <f>'数据-取费表'!B38</f>
        <v>0.03</v>
      </c>
      <c r="G21" s="1300"/>
      <c r="H21" s="317"/>
      <c r="I21" s="302"/>
      <c r="J21" s="26"/>
      <c r="K21" s="318"/>
      <c r="L21" s="293" t="s">
        <v>736</v>
      </c>
      <c r="M21" s="294">
        <f ca="1">INDIRECT("'数据-取费表'!r"&amp;$G$1)</f>
        <v>1431.36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29.1</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134</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-33</v>
      </c>
      <c r="K25" s="1029" t="s">
        <v>753</v>
      </c>
      <c r="L25" s="1030"/>
      <c r="M25" s="1031"/>
    </row>
    <row r="26" spans="1:37">
      <c r="A26" s="925" t="s">
        <v>397</v>
      </c>
      <c r="B26" s="293" t="s">
        <v>754</v>
      </c>
      <c r="C26" s="21">
        <f ca="1">ROUND((C19+C20)*F26,0)</f>
        <v>860</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6.0000000000000001E-3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5819</v>
      </c>
      <c r="D29" s="1026"/>
      <c r="E29" s="1024"/>
      <c r="F29" s="1027"/>
      <c r="G29" s="1300"/>
      <c r="H29" s="324" t="s">
        <v>396</v>
      </c>
      <c r="I29" s="325" t="s">
        <v>768</v>
      </c>
      <c r="J29" s="326">
        <f ca="1">ROUND(J26/(1+F40)^F41,0)</f>
        <v>0</v>
      </c>
      <c r="K29" s="327" t="s">
        <v>769</v>
      </c>
      <c r="L29" s="328"/>
      <c r="M29" s="329">
        <f ca="1">INDIRECT("'数据-取费表'!k"&amp;$G$1)</f>
        <v>6927.16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264</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216.99</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67.95</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145.6</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3.44</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1431.36</v>
      </c>
      <c r="G35" s="1289"/>
      <c r="H35" s="2468"/>
      <c r="I35" s="1302"/>
      <c r="J35" s="1303"/>
      <c r="K35" s="2472"/>
      <c r="L35" s="2471"/>
      <c r="M35" s="2471"/>
    </row>
    <row r="36" spans="1:18" ht="18" customHeight="1">
      <c r="A36" s="1036" t="s">
        <v>402</v>
      </c>
      <c r="B36" s="293" t="s">
        <v>738</v>
      </c>
      <c r="C36" s="21">
        <f ca="1">ROUND(C29*F36,2)</f>
        <v>29.1</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5.0599999999999996</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ROUND(C5*F38,2)</f>
        <v>12.76</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1012</v>
      </c>
      <c r="D39" s="1029" t="s">
        <v>773</v>
      </c>
      <c r="E39" s="1030"/>
      <c r="F39" s="1031"/>
      <c r="G39" s="1289"/>
      <c r="H39" s="2471"/>
      <c r="I39" s="1302"/>
      <c r="J39" s="1303"/>
      <c r="K39" s="2469"/>
      <c r="L39" s="2471"/>
      <c r="M39" s="2471"/>
    </row>
    <row r="40" spans="1:18" ht="18" customHeight="1">
      <c r="A40" s="290" t="s">
        <v>395</v>
      </c>
      <c r="B40" s="291" t="s">
        <v>774</v>
      </c>
      <c r="C40" s="292">
        <f ca="1">ROUND(C39*(1-((1+F42)/(1+F40))^F41)/(F40-F42),0)</f>
        <v>11353</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14.78</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16389</v>
      </c>
      <c r="D43" s="327" t="s">
        <v>777</v>
      </c>
      <c r="E43" s="328" t="s">
        <v>778</v>
      </c>
      <c r="F43" s="329">
        <f ca="1">INDIRECT("'数据-取费表'!k"&amp;$G$1)</f>
        <v>6927.16</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8" thickBot="1">
      <c r="A46" s="1308" t="s">
        <v>809</v>
      </c>
      <c r="C46" s="1309">
        <f ca="1">C68-C40</f>
        <v>-11721</v>
      </c>
      <c r="D46" s="1310" t="str">
        <f>C2</f>
        <v>万元</v>
      </c>
      <c r="E46" s="1304"/>
      <c r="F46" s="1304"/>
      <c r="I46" s="1311" t="s">
        <v>810</v>
      </c>
      <c r="J46" s="1312"/>
      <c r="K46" s="1313"/>
      <c r="L46" s="1314">
        <f ca="1">IF(M47="住宅",0,IF(L48&gt;J51,L60,J60))</f>
        <v>1239</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3420</v>
      </c>
      <c r="K47" s="1320" t="s">
        <v>816</v>
      </c>
      <c r="L47" s="1321">
        <f ca="1">INDIRECT("'数据-取费表'!d"&amp;$G$1)</f>
        <v>40</v>
      </c>
      <c r="M47" s="1285" t="str">
        <f>IF(ISNUMBER(FIND("住宅",C1)),"住宅","非住宅")</f>
        <v>非住宅</v>
      </c>
      <c r="O47" s="1322" t="s">
        <v>403</v>
      </c>
      <c r="P47" s="1323" t="s">
        <v>817</v>
      </c>
      <c r="Q47" s="1324">
        <f ca="1">C40+J29</f>
        <v>11353</v>
      </c>
      <c r="R47" s="1324" t="s">
        <v>818</v>
      </c>
    </row>
    <row r="48" spans="1:18" s="1289" customFormat="1" ht="40.200000000000003" thickBot="1">
      <c r="A48" s="1044" t="s">
        <v>438</v>
      </c>
      <c r="B48" s="291" t="s">
        <v>692</v>
      </c>
      <c r="C48" s="1265">
        <f ca="1">C49+C53+C55</f>
        <v>0</v>
      </c>
      <c r="D48" s="1046"/>
      <c r="E48" s="1047"/>
      <c r="F48" s="905"/>
      <c r="G48" s="680"/>
      <c r="H48" s="681"/>
      <c r="I48" s="1325" t="s">
        <v>819</v>
      </c>
      <c r="J48" s="1326" t="s">
        <v>3616</v>
      </c>
      <c r="K48" s="1327" t="s">
        <v>820</v>
      </c>
      <c r="L48" s="1328">
        <f ca="1">INDIRECT("'数据-取费表'!f"&amp;$G$1)</f>
        <v>14.78</v>
      </c>
      <c r="O48" s="1322" t="s">
        <v>404</v>
      </c>
      <c r="P48" s="1323" t="s">
        <v>821</v>
      </c>
      <c r="Q48" s="1324">
        <f ca="1">J60</f>
        <v>1239</v>
      </c>
      <c r="R48" s="1324" t="s">
        <v>822</v>
      </c>
    </row>
    <row r="49" spans="1:18" s="1289" customFormat="1" ht="13.8" thickBot="1">
      <c r="A49" s="918" t="s">
        <v>439</v>
      </c>
      <c r="B49" s="1276" t="s">
        <v>779</v>
      </c>
      <c r="C49" s="1048">
        <f ca="1">ROUND(F49*F51*F50*(1-F52)/10000,0)</f>
        <v>0</v>
      </c>
      <c r="D49" s="989" t="s">
        <v>2110</v>
      </c>
      <c r="E49" s="1277" t="s">
        <v>780</v>
      </c>
      <c r="F49" s="994"/>
      <c r="H49" s="681"/>
      <c r="I49" s="1325" t="s">
        <v>823</v>
      </c>
      <c r="J49" s="1329">
        <v>2017</v>
      </c>
      <c r="K49" s="1327" t="s">
        <v>824</v>
      </c>
      <c r="L49" s="1330"/>
      <c r="O49" s="1331" t="s">
        <v>405</v>
      </c>
      <c r="P49" s="1323" t="s">
        <v>825</v>
      </c>
      <c r="Q49" s="1324">
        <f ca="1">C29</f>
        <v>5819</v>
      </c>
      <c r="R49" s="1324" t="s">
        <v>818</v>
      </c>
    </row>
    <row r="50" spans="1:18" s="1289" customFormat="1" ht="13.8" thickBot="1">
      <c r="A50" s="919"/>
      <c r="B50" s="922"/>
      <c r="C50" s="1052"/>
      <c r="D50" s="896"/>
      <c r="E50" s="990" t="s">
        <v>697</v>
      </c>
      <c r="F50" s="991">
        <f ca="1">F7</f>
        <v>6927.16</v>
      </c>
      <c r="H50" s="681"/>
      <c r="I50" s="1325" t="s">
        <v>826</v>
      </c>
      <c r="J50" s="1332">
        <f>SUMPRODUCT((I63:I65=J47)*(J62:L62=J48)*(J63:L65))</f>
        <v>60</v>
      </c>
      <c r="K50" s="1327" t="s">
        <v>827</v>
      </c>
      <c r="L50" s="1330"/>
      <c r="M50" s="1333"/>
      <c r="O50" s="1331" t="s">
        <v>406</v>
      </c>
      <c r="P50" s="1323" t="s">
        <v>828</v>
      </c>
      <c r="Q50" s="1334">
        <f ca="1">J58</f>
        <v>0.62</v>
      </c>
      <c r="R50" s="1324"/>
    </row>
    <row r="51" spans="1:18" s="1289" customFormat="1" ht="13.8"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12112</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14.78</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14.78</v>
      </c>
      <c r="K53" s="3376" t="s">
        <v>837</v>
      </c>
      <c r="L53" s="3377"/>
      <c r="O53" s="1322" t="s">
        <v>409</v>
      </c>
      <c r="P53" s="1323" t="s">
        <v>838</v>
      </c>
      <c r="Q53" s="1324">
        <f ca="1">Q47+Q48</f>
        <v>12592</v>
      </c>
      <c r="R53" s="1324" t="s">
        <v>410</v>
      </c>
    </row>
    <row r="54" spans="1:18" s="1289" customFormat="1" ht="24.6"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0.62</v>
      </c>
      <c r="K55" s="1347" t="s">
        <v>841</v>
      </c>
      <c r="L55" s="1348"/>
      <c r="O55" s="1315" t="s">
        <v>811</v>
      </c>
      <c r="P55" s="1316" t="s">
        <v>812</v>
      </c>
      <c r="Q55" s="1317" t="s">
        <v>813</v>
      </c>
      <c r="R55" s="1317" t="s">
        <v>814</v>
      </c>
    </row>
    <row r="56" spans="1:18" s="1289" customFormat="1" ht="37.200000000000003" thickTop="1" thickBot="1">
      <c r="A56" s="900">
        <v>2</v>
      </c>
      <c r="B56" s="901" t="s">
        <v>704</v>
      </c>
      <c r="C56" s="223">
        <f ca="1">C13</f>
        <v>5063</v>
      </c>
      <c r="D56" s="1349"/>
      <c r="E56" s="1350"/>
      <c r="F56" s="1342"/>
      <c r="I56" s="1351" t="s">
        <v>842</v>
      </c>
      <c r="J56" s="1352" t="s">
        <v>3617</v>
      </c>
      <c r="K56" s="1325" t="s">
        <v>843</v>
      </c>
      <c r="L56" s="1328" t="str">
        <f ca="1">IF(L48&lt;J51,"——",L48-J53)</f>
        <v>——</v>
      </c>
      <c r="O56" s="1322" t="s">
        <v>403</v>
      </c>
      <c r="P56" s="1323" t="s">
        <v>817</v>
      </c>
      <c r="Q56" s="1324">
        <f ca="1">C40+J29</f>
        <v>11353</v>
      </c>
      <c r="R56" s="1324" t="s">
        <v>818</v>
      </c>
    </row>
    <row r="57" spans="1:18" s="1289" customFormat="1" ht="24.6" thickBot="1">
      <c r="A57" s="1353"/>
      <c r="B57" s="893" t="s">
        <v>767</v>
      </c>
      <c r="C57" s="229">
        <f ca="1">C29</f>
        <v>5819</v>
      </c>
      <c r="D57" s="1354"/>
      <c r="E57" s="1355"/>
      <c r="F57" s="1356"/>
      <c r="I57" s="1357" t="s">
        <v>844</v>
      </c>
      <c r="J57" s="1358">
        <f ca="1">IF(OR(M47="住宅",J51&lt;L48,J56="是"),"——",J51-L48)</f>
        <v>37.22</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1" t="s">
        <v>714</v>
      </c>
      <c r="C58" s="307">
        <f ca="1">ROUND(C59+C64+C65+C66,0)</f>
        <v>37</v>
      </c>
      <c r="D58" s="903" t="s">
        <v>715</v>
      </c>
      <c r="E58" s="904"/>
      <c r="F58" s="905"/>
      <c r="I58" s="1357" t="s">
        <v>848</v>
      </c>
      <c r="J58" s="1359">
        <f ca="1">IF(J55&lt;0.4,0.4,J55)</f>
        <v>0.62</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3</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3608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1239</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3.44</v>
      </c>
      <c r="D62" s="908" t="s">
        <v>786</v>
      </c>
      <c r="E62" s="893" t="s">
        <v>787</v>
      </c>
      <c r="F62" s="316">
        <f t="shared" si="0"/>
        <v>24</v>
      </c>
      <c r="I62" s="1364" t="s">
        <v>858</v>
      </c>
      <c r="J62" s="609" t="s">
        <v>859</v>
      </c>
      <c r="K62" s="609" t="s">
        <v>860</v>
      </c>
      <c r="L62" s="609" t="s">
        <v>861</v>
      </c>
      <c r="M62" s="1365" t="s">
        <v>862</v>
      </c>
      <c r="O62" s="1322" t="s">
        <v>409</v>
      </c>
      <c r="P62" s="1323" t="s">
        <v>863</v>
      </c>
      <c r="Q62" s="1324">
        <f ca="1">Q56+Q57</f>
        <v>11353</v>
      </c>
      <c r="R62" s="1324" t="s">
        <v>410</v>
      </c>
    </row>
    <row r="63" spans="1:18" s="1289" customFormat="1" ht="13.8" thickBot="1">
      <c r="A63" s="317"/>
      <c r="B63" s="899"/>
      <c r="C63" s="26"/>
      <c r="D63" s="909"/>
      <c r="E63" s="893" t="s">
        <v>788</v>
      </c>
      <c r="F63" s="294">
        <f t="shared" ca="1" si="0"/>
        <v>1431.36</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f ca="1">ROUND(C57*F64,2)</f>
        <v>29.1</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5.0599999999999996</v>
      </c>
      <c r="D65" s="907" t="s">
        <v>743</v>
      </c>
      <c r="E65" s="893" t="s">
        <v>744</v>
      </c>
      <c r="F65" s="320">
        <f t="shared" ca="1" si="0"/>
        <v>1E-3</v>
      </c>
      <c r="I65" s="1364" t="s">
        <v>867</v>
      </c>
      <c r="J65" s="609">
        <v>40</v>
      </c>
      <c r="K65" s="609">
        <v>30</v>
      </c>
      <c r="L65" s="609">
        <v>50</v>
      </c>
      <c r="M65" s="1366">
        <v>0.02</v>
      </c>
      <c r="O65" s="1322" t="s">
        <v>403</v>
      </c>
      <c r="P65" s="1323" t="s">
        <v>868</v>
      </c>
      <c r="Q65" s="1324">
        <f ca="1">C40+J29</f>
        <v>11353</v>
      </c>
      <c r="R65" s="1324" t="s">
        <v>818</v>
      </c>
    </row>
    <row r="66" spans="1:18" s="1289" customFormat="1" ht="16.2" thickBot="1">
      <c r="A66" s="925" t="s">
        <v>793</v>
      </c>
      <c r="B66" s="893" t="s">
        <v>728</v>
      </c>
      <c r="C66" s="21">
        <f ca="1">ROUND(C48*F66,2)</f>
        <v>0</v>
      </c>
      <c r="D66" s="907" t="s">
        <v>794</v>
      </c>
      <c r="E66" s="893" t="s">
        <v>712</v>
      </c>
      <c r="F66" s="303">
        <f t="shared" ca="1" si="0"/>
        <v>0.01</v>
      </c>
      <c r="O66" s="1322" t="s">
        <v>404</v>
      </c>
      <c r="P66" s="1323" t="s">
        <v>846</v>
      </c>
      <c r="Q66" s="1324">
        <f ca="1">L60</f>
        <v>0</v>
      </c>
      <c r="R66" s="1324" t="s">
        <v>869</v>
      </c>
    </row>
    <row r="67" spans="1:18" s="1289" customFormat="1" ht="24.6" thickBot="1">
      <c r="A67" s="900" t="s">
        <v>394</v>
      </c>
      <c r="B67" s="910" t="s">
        <v>752</v>
      </c>
      <c r="C67" s="307">
        <f ca="1">C48-C58</f>
        <v>-37</v>
      </c>
      <c r="D67" s="906" t="s">
        <v>753</v>
      </c>
      <c r="E67" s="911"/>
      <c r="F67" s="912"/>
      <c r="O67" s="1331" t="s">
        <v>405</v>
      </c>
      <c r="P67" s="1323" t="s">
        <v>850</v>
      </c>
      <c r="Q67" s="1367">
        <f ca="1">L51</f>
        <v>12112</v>
      </c>
      <c r="R67" s="1324" t="s">
        <v>870</v>
      </c>
    </row>
    <row r="68" spans="1:18" s="1289" customFormat="1" ht="16.2" thickBot="1">
      <c r="A68" s="890" t="s">
        <v>395</v>
      </c>
      <c r="B68" s="891" t="s">
        <v>774</v>
      </c>
      <c r="C68" s="292">
        <f ca="1">ROUND(C67*(1-((1+F70)/(1+F68))^F69)/(F68-F70),0)</f>
        <v>-368</v>
      </c>
      <c r="D68" s="908" t="s">
        <v>758</v>
      </c>
      <c r="E68" s="893" t="s">
        <v>759</v>
      </c>
      <c r="F68" s="303">
        <f ca="1">F40</f>
        <v>5.5E-2</v>
      </c>
      <c r="O68" s="1331" t="s">
        <v>406</v>
      </c>
      <c r="P68" s="1368" t="s">
        <v>871</v>
      </c>
      <c r="Q68" s="1324">
        <f ca="1">ROUND(Q69-Q70*Q71,0)</f>
        <v>658</v>
      </c>
      <c r="R68" s="1324" t="s">
        <v>414</v>
      </c>
    </row>
    <row r="69" spans="1:18" s="1289" customFormat="1" ht="13.8" thickBot="1">
      <c r="A69" s="894"/>
      <c r="B69" s="895"/>
      <c r="C69" s="297"/>
      <c r="D69" s="913" t="s">
        <v>762</v>
      </c>
      <c r="E69" s="893" t="s">
        <v>763</v>
      </c>
      <c r="F69" s="323">
        <f ca="1">F41</f>
        <v>14.78</v>
      </c>
      <c r="O69" s="1331" t="s">
        <v>411</v>
      </c>
      <c r="P69" s="1368" t="s">
        <v>872</v>
      </c>
      <c r="Q69" s="1324">
        <f ca="1">C39</f>
        <v>1012</v>
      </c>
      <c r="R69" s="1324" t="s">
        <v>818</v>
      </c>
    </row>
    <row r="70" spans="1:18" s="1289" customFormat="1" ht="13.8" thickBot="1">
      <c r="A70" s="897"/>
      <c r="B70" s="898"/>
      <c r="C70" s="301"/>
      <c r="D70" s="909"/>
      <c r="E70" s="893" t="s">
        <v>766</v>
      </c>
      <c r="F70" s="988"/>
      <c r="O70" s="1331" t="s">
        <v>412</v>
      </c>
      <c r="P70" s="1368" t="s">
        <v>873</v>
      </c>
      <c r="Q70" s="1324">
        <f ca="1">C13</f>
        <v>5063</v>
      </c>
      <c r="R70" s="1324" t="s">
        <v>818</v>
      </c>
    </row>
    <row r="71" spans="1:18" s="1289" customFormat="1" ht="13.8" thickBot="1">
      <c r="A71" s="914" t="s">
        <v>396</v>
      </c>
      <c r="B71" s="915" t="s">
        <v>776</v>
      </c>
      <c r="C71" s="326">
        <f ca="1">ROUND(C68*10000/F71,0)</f>
        <v>-531</v>
      </c>
      <c r="D71" s="916" t="s">
        <v>777</v>
      </c>
      <c r="E71" s="917" t="s">
        <v>778</v>
      </c>
      <c r="F71" s="329">
        <f ca="1">F43</f>
        <v>6927.16</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354</v>
      </c>
      <c r="D75" s="1289"/>
      <c r="E75" s="1289"/>
      <c r="F75" s="1289"/>
      <c r="K75" s="1306"/>
      <c r="L75" s="1289"/>
      <c r="O75" s="1322" t="s">
        <v>409</v>
      </c>
      <c r="P75" s="1323" t="s">
        <v>838</v>
      </c>
      <c r="Q75" s="1324">
        <f ca="1">Q65+Q66</f>
        <v>11353</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v>
      </c>
    </row>
    <row r="80" spans="1:18">
      <c r="B80" s="330" t="s">
        <v>800</v>
      </c>
      <c r="C80" s="265">
        <f ca="1">ROUND(C75/C39,3)</f>
        <v>0.35</v>
      </c>
    </row>
    <row r="81" spans="2:3">
      <c r="B81" s="261" t="s">
        <v>801</v>
      </c>
      <c r="C81" s="229"/>
    </row>
    <row r="82" spans="2:3">
      <c r="B82" s="264" t="s">
        <v>802</v>
      </c>
      <c r="C82" s="266">
        <f ca="1">1-C83</f>
        <v>0.55400000000000005</v>
      </c>
    </row>
    <row r="83" spans="2:3">
      <c r="B83" s="264" t="s">
        <v>803</v>
      </c>
      <c r="C83" s="265">
        <f ca="1">ROUND(C13/C40,3)</f>
        <v>0.44600000000000001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c r="D1" s="1268" t="s">
        <v>43</v>
      </c>
      <c r="E1" s="1269" t="s">
        <v>678</v>
      </c>
      <c r="F1" s="996">
        <f ca="1">J53</f>
        <v>0</v>
      </c>
      <c r="G1" s="1283">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378" t="s">
        <v>694</v>
      </c>
      <c r="C6" s="1008">
        <f ca="1">ROUND(F6*F8*F7*(1-F9),0)</f>
        <v>0</v>
      </c>
      <c r="D6" s="146" t="s">
        <v>2106</v>
      </c>
      <c r="E6" s="293" t="s">
        <v>696</v>
      </c>
      <c r="F6" s="294">
        <f ca="1">INDIRECT("'数据-取费表'!u"&amp;$G$1)</f>
        <v>0</v>
      </c>
      <c r="G6" s="1289"/>
      <c r="H6" s="1003" t="s">
        <v>398</v>
      </c>
      <c r="I6" s="3378" t="s">
        <v>694</v>
      </c>
      <c r="J6" s="292">
        <f ca="1">ROUND(M6*M8*M7*(1-M9),0)</f>
        <v>0</v>
      </c>
      <c r="K6" s="1281" t="s">
        <v>2107</v>
      </c>
      <c r="L6" s="293" t="s">
        <v>696</v>
      </c>
      <c r="M6" s="294">
        <f ca="1">INDIRECT("'数据-取费表'!z"&amp;$G$1)</f>
        <v>0</v>
      </c>
    </row>
    <row r="7" spans="1:37" ht="18" customHeight="1">
      <c r="A7" s="1007"/>
      <c r="B7" s="3379"/>
      <c r="C7" s="1009"/>
      <c r="D7" s="298"/>
      <c r="E7" s="1010" t="s">
        <v>697</v>
      </c>
      <c r="F7" s="294">
        <f ca="1">IF(INDIRECT("'数据-取费表'!ah"&amp;$G$1)="",INDIRECT("'数据-取费表'!k"&amp;$G$1),INDIRECT("'数据-取费表'!ah"&amp;$G$1))</f>
        <v>0</v>
      </c>
      <c r="G7" s="1289"/>
      <c r="H7" s="295"/>
      <c r="I7" s="3379"/>
      <c r="J7" s="297"/>
      <c r="K7" s="298"/>
      <c r="L7" s="293" t="s">
        <v>697</v>
      </c>
      <c r="M7" s="294">
        <f ca="1">F7</f>
        <v>0</v>
      </c>
    </row>
    <row r="8" spans="1:37" ht="18" customHeight="1">
      <c r="A8" s="295"/>
      <c r="B8" s="3379"/>
      <c r="C8" s="297"/>
      <c r="D8" s="298"/>
      <c r="E8" s="293" t="s">
        <v>698</v>
      </c>
      <c r="F8" s="294">
        <f ca="1">INDIRECT("'数据-取费表'!ai"&amp;$G$1)</f>
        <v>365</v>
      </c>
      <c r="G8" s="1289"/>
      <c r="H8" s="295"/>
      <c r="I8" s="3379"/>
      <c r="J8" s="297"/>
      <c r="K8" s="298"/>
      <c r="L8" s="293" t="s">
        <v>698</v>
      </c>
      <c r="M8" s="294">
        <f ca="1">INDIRECT("'数据-取费表'!ai"&amp;$G$1)</f>
        <v>365</v>
      </c>
    </row>
    <row r="9" spans="1:37" ht="18" customHeight="1">
      <c r="A9" s="295"/>
      <c r="B9" s="3380"/>
      <c r="C9" s="297"/>
      <c r="D9" s="298"/>
      <c r="E9" s="293" t="s">
        <v>699</v>
      </c>
      <c r="F9" s="303">
        <f ca="1">INDIRECT("'数据-取费表'!w"&amp;$G$1)</f>
        <v>0</v>
      </c>
      <c r="G9" s="1289"/>
      <c r="H9" s="295"/>
      <c r="I9" s="3380"/>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2116</v>
      </c>
      <c r="E10" s="304" t="s">
        <v>701</v>
      </c>
      <c r="F10" s="1050"/>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2"/>
      <c r="D11" s="298"/>
      <c r="E11" s="304" t="s">
        <v>702</v>
      </c>
      <c r="F11" s="305">
        <f ca="1">'数据-取费表'!B39</f>
        <v>1.4999999999999999E-2</v>
      </c>
      <c r="G11" s="1289"/>
      <c r="H11" s="1011"/>
      <c r="I11" s="1272" t="s">
        <v>891</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3" t="s">
        <v>707</v>
      </c>
      <c r="C14" s="309">
        <f ca="1">ROUND(INDIRECT("'数据-取费表'!l"&amp;$G$1)*F43+'数据-取费表'!L14*INDIRECT("'数据-取费表'!S"&amp;$G$1),0)</f>
        <v>0</v>
      </c>
      <c r="D14" s="1254" t="s">
        <v>708</v>
      </c>
      <c r="E14" s="1252"/>
      <c r="F14" s="310"/>
      <c r="G14" s="1289"/>
      <c r="H14" s="925" t="s">
        <v>398</v>
      </c>
      <c r="I14" s="293" t="s">
        <v>709</v>
      </c>
      <c r="J14" s="21">
        <f ca="1">C29</f>
        <v>0</v>
      </c>
      <c r="K14" s="12"/>
      <c r="L14" s="756"/>
      <c r="M14" s="757"/>
    </row>
    <row r="15" spans="1:37" s="1301" customFormat="1" ht="18" customHeight="1" thickBot="1">
      <c r="A15" s="925" t="s">
        <v>399</v>
      </c>
      <c r="B15" s="293" t="s">
        <v>710</v>
      </c>
      <c r="C15" s="21">
        <f ca="1">ROUND(C14*F15,0)</f>
        <v>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5" t="s">
        <v>681</v>
      </c>
      <c r="B17" s="293" t="s">
        <v>716</v>
      </c>
      <c r="C17" s="21">
        <f ca="1">ROUND(F17*(F43+INDIRECT("'数据-取费表'!S"&amp;$G$1)),0)</f>
        <v>0</v>
      </c>
      <c r="D17" s="293" t="s">
        <v>717</v>
      </c>
      <c r="E17" s="293" t="s">
        <v>718</v>
      </c>
      <c r="F17" s="23">
        <f>'数据-取费表'!B35</f>
        <v>200</v>
      </c>
      <c r="G17" s="1300"/>
      <c r="H17" s="925"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0</v>
      </c>
      <c r="D18" s="293" t="s">
        <v>711</v>
      </c>
      <c r="E18" s="293" t="s">
        <v>712</v>
      </c>
      <c r="F18" s="313">
        <f>'数据-取费表'!B36</f>
        <v>0.02</v>
      </c>
      <c r="G18" s="1300"/>
      <c r="H18" s="925"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0</v>
      </c>
      <c r="D19" s="122" t="s">
        <v>726</v>
      </c>
      <c r="E19" s="1266"/>
      <c r="F19" s="23"/>
      <c r="G19" s="1289"/>
      <c r="H19" s="925"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5" t="s">
        <v>402</v>
      </c>
      <c r="B20" s="293" t="s">
        <v>728</v>
      </c>
      <c r="C20" s="21">
        <f ca="1">ROUND(C19*F20,0)</f>
        <v>0</v>
      </c>
      <c r="D20" s="314" t="s">
        <v>729</v>
      </c>
      <c r="E20" s="293" t="s">
        <v>712</v>
      </c>
      <c r="F20" s="313">
        <f>'数据-取费表'!B37</f>
        <v>0.02</v>
      </c>
      <c r="G20" s="1300"/>
      <c r="H20" s="925" t="s">
        <v>680</v>
      </c>
      <c r="I20" s="146" t="s">
        <v>730</v>
      </c>
      <c r="J20" s="22">
        <f ca="1">ROUND(M20*M21,0)</f>
        <v>0</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ROUND(J14*M22,0)</f>
        <v>0</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5"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5"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IF(项目基本情况!B11="自然人","——",IF(D33="按租金收入计税",ROUND(C6*F33/(1+'数据-取费表'!C42),0),IF(D33="按房产原值计税",ROUND(C29*F33*0.7,0),INDIRECT("'数据-取费表'!Aj"&amp;$G$1))))</f>
        <v>0</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IF(项目基本情况!B11="自然人","——",ROUND(F34*F35,0))</f>
        <v>0</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
      <c r="K35" s="2472"/>
      <c r="L35" s="2471"/>
      <c r="M35" s="2471"/>
    </row>
    <row r="36" spans="1:18" ht="18" customHeight="1">
      <c r="A36" s="1036" t="s">
        <v>402</v>
      </c>
      <c r="B36" s="293" t="s">
        <v>738</v>
      </c>
      <c r="C36" s="21">
        <f ca="1">ROUND(C29*F36,0)</f>
        <v>0</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ROUND(C13*F37,0)</f>
        <v>0</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ROUND(C5*F38,0)</f>
        <v>0</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0</v>
      </c>
      <c r="D39" s="1029" t="s">
        <v>773</v>
      </c>
      <c r="E39" s="1030"/>
      <c r="F39" s="1031"/>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8"/>
      <c r="L41" s="120"/>
      <c r="M41" s="120"/>
    </row>
    <row r="42" spans="1:18" ht="18" customHeight="1">
      <c r="A42" s="299"/>
      <c r="B42" s="300"/>
      <c r="C42" s="301"/>
      <c r="D42" s="318"/>
      <c r="E42" s="293" t="s">
        <v>766</v>
      </c>
      <c r="F42" s="303">
        <f ca="1">INDIRECT("'数据-取费表'!v"&amp;$G$1)</f>
        <v>0</v>
      </c>
      <c r="G42" s="1289"/>
      <c r="H42" s="120"/>
      <c r="I42" s="1302"/>
      <c r="J42" s="1303"/>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3127" t="s">
        <v>3343</v>
      </c>
      <c r="B45" s="1304"/>
      <c r="C45" s="1373" t="e">
        <f ca="1">ROUND((C68-C40)/10000,4)</f>
        <v>#DIV/0!</v>
      </c>
      <c r="D45" s="3128" t="s">
        <v>3344</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1" t="s">
        <v>692</v>
      </c>
      <c r="C48" s="1265">
        <f ca="1">C49+C53+C55</f>
        <v>0</v>
      </c>
      <c r="D48" s="1046"/>
      <c r="E48" s="1047"/>
      <c r="F48" s="905"/>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1"/>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4">
        <f ca="1">F8</f>
        <v>365</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0</v>
      </c>
      <c r="K53" s="3376" t="s">
        <v>837</v>
      </c>
      <c r="L53" s="3377"/>
      <c r="O53" s="1322" t="s">
        <v>409</v>
      </c>
      <c r="P53" s="1323" t="s">
        <v>838</v>
      </c>
      <c r="Q53" s="1324" t="e">
        <f ca="1">Q47+Q48</f>
        <v>#DIV/0!</v>
      </c>
      <c r="R53" s="1324" t="s">
        <v>410</v>
      </c>
    </row>
    <row r="54" spans="1:18" s="1289" customFormat="1" ht="13.8" thickBot="1">
      <c r="A54" s="918"/>
      <c r="B54" s="1374" t="s">
        <v>891</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3"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6" t="s">
        <v>393</v>
      </c>
      <c r="B58" s="901" t="s">
        <v>714</v>
      </c>
      <c r="C58" s="307">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6">
        <f t="shared" si="0"/>
        <v>24</v>
      </c>
      <c r="I62" s="1364" t="s">
        <v>858</v>
      </c>
      <c r="J62" s="609" t="s">
        <v>859</v>
      </c>
      <c r="K62" s="609" t="s">
        <v>860</v>
      </c>
      <c r="L62" s="609" t="s">
        <v>861</v>
      </c>
      <c r="M62" s="1365" t="s">
        <v>862</v>
      </c>
      <c r="O62" s="1322" t="s">
        <v>409</v>
      </c>
      <c r="P62" s="1323" t="s">
        <v>863</v>
      </c>
      <c r="Q62" s="1324" t="e">
        <f ca="1">Q56+Q57</f>
        <v>#DIV/0!</v>
      </c>
      <c r="R62" s="1324" t="s">
        <v>410</v>
      </c>
    </row>
    <row r="63" spans="1:18" s="1289" customFormat="1" ht="13.8" thickBot="1">
      <c r="A63" s="317"/>
      <c r="B63" s="899"/>
      <c r="C63" s="26"/>
      <c r="D63" s="909"/>
      <c r="E63" s="893" t="s">
        <v>788</v>
      </c>
      <c r="F63" s="294">
        <f t="shared" ca="1" si="0"/>
        <v>0</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20">
        <f t="shared" ca="1" si="0"/>
        <v>1E-3</v>
      </c>
      <c r="I65" s="1364" t="s">
        <v>867</v>
      </c>
      <c r="J65" s="609">
        <v>40</v>
      </c>
      <c r="K65" s="609">
        <v>30</v>
      </c>
      <c r="L65" s="609">
        <v>50</v>
      </c>
      <c r="M65" s="1366">
        <v>0.02</v>
      </c>
      <c r="O65" s="1322" t="s">
        <v>403</v>
      </c>
      <c r="P65" s="1323" t="s">
        <v>868</v>
      </c>
      <c r="Q65" s="1324" t="e">
        <f ca="1">C40+J29</f>
        <v>#DIV/0!</v>
      </c>
      <c r="R65" s="1324" t="s">
        <v>818</v>
      </c>
    </row>
    <row r="66" spans="1:18" s="1289" customFormat="1" ht="16.2" thickBot="1">
      <c r="A66" s="925" t="s">
        <v>793</v>
      </c>
      <c r="B66" s="893" t="s">
        <v>728</v>
      </c>
      <c r="C66" s="21">
        <f ca="1">ROUND(C48*F66,0)</f>
        <v>0</v>
      </c>
      <c r="D66" s="907" t="s">
        <v>794</v>
      </c>
      <c r="E66" s="893" t="s">
        <v>712</v>
      </c>
      <c r="F66" s="303">
        <f t="shared" ca="1" si="0"/>
        <v>0.01</v>
      </c>
      <c r="O66" s="1322" t="s">
        <v>404</v>
      </c>
      <c r="P66" s="1323" t="s">
        <v>846</v>
      </c>
      <c r="Q66" s="1324" t="e">
        <f ca="1">L60</f>
        <v>#DIV/0!</v>
      </c>
      <c r="R66" s="1324" t="s">
        <v>869</v>
      </c>
    </row>
    <row r="67" spans="1:18" s="1289" customFormat="1" ht="24.6" thickBot="1">
      <c r="A67" s="900" t="s">
        <v>394</v>
      </c>
      <c r="B67" s="910" t="s">
        <v>752</v>
      </c>
      <c r="C67" s="307">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2" t="e">
        <f ca="1">ROUND(C67*(1-((1+F70)/(1+F68))^F69)/(F68-F70),0)</f>
        <v>#DIV/0!</v>
      </c>
      <c r="D68" s="908" t="s">
        <v>758</v>
      </c>
      <c r="E68" s="893" t="s">
        <v>759</v>
      </c>
      <c r="F68" s="303">
        <f ca="1">F40</f>
        <v>0</v>
      </c>
      <c r="O68" s="1331" t="s">
        <v>406</v>
      </c>
      <c r="P68" s="1368" t="s">
        <v>871</v>
      </c>
      <c r="Q68" s="1324">
        <f ca="1">ROUND(Q69-Q70*Q71,0)</f>
        <v>0</v>
      </c>
      <c r="R68" s="1324" t="s">
        <v>414</v>
      </c>
    </row>
    <row r="69" spans="1:18" s="1289" customFormat="1" ht="13.8" thickBot="1">
      <c r="A69" s="894"/>
      <c r="B69" s="895"/>
      <c r="C69" s="297"/>
      <c r="D69" s="913" t="s">
        <v>762</v>
      </c>
      <c r="E69" s="893" t="s">
        <v>763</v>
      </c>
      <c r="F69" s="323">
        <f ca="1">F41</f>
        <v>0</v>
      </c>
      <c r="O69" s="1331" t="s">
        <v>411</v>
      </c>
      <c r="P69" s="1368" t="s">
        <v>872</v>
      </c>
      <c r="Q69" s="1324">
        <f ca="1">C39</f>
        <v>0</v>
      </c>
      <c r="R69" s="1324" t="s">
        <v>818</v>
      </c>
    </row>
    <row r="70" spans="1:18" s="1289" customFormat="1" ht="13.8" thickBot="1">
      <c r="A70" s="897"/>
      <c r="B70" s="898"/>
      <c r="C70" s="301"/>
      <c r="D70" s="909"/>
      <c r="E70" s="893" t="s">
        <v>766</v>
      </c>
      <c r="F70" s="988"/>
      <c r="O70" s="1331" t="s">
        <v>412</v>
      </c>
      <c r="P70" s="1368" t="s">
        <v>873</v>
      </c>
      <c r="Q70" s="1324">
        <f ca="1">C13</f>
        <v>0</v>
      </c>
      <c r="R70" s="1324" t="s">
        <v>818</v>
      </c>
    </row>
    <row r="71" spans="1:18" s="1289" customFormat="1" ht="13.8" thickBot="1">
      <c r="A71" s="914" t="s">
        <v>396</v>
      </c>
      <c r="B71" s="915" t="s">
        <v>776</v>
      </c>
      <c r="C71" s="326" t="e">
        <f ca="1">ROUND(C68/F71,0)</f>
        <v>#DIV/0!</v>
      </c>
      <c r="D71" s="916" t="s">
        <v>777</v>
      </c>
      <c r="E71" s="917" t="s">
        <v>778</v>
      </c>
      <c r="F71" s="329">
        <f ca="1">F43</f>
        <v>0</v>
      </c>
      <c r="O71" s="1331" t="s">
        <v>413</v>
      </c>
      <c r="P71" s="1368" t="s">
        <v>874</v>
      </c>
      <c r="Q71" s="1334">
        <f ca="1">C76</f>
        <v>0</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2" customHeight="1">
      <c r="A2" s="1290" t="s">
        <v>2306</v>
      </c>
      <c r="B2" s="2592" t="e">
        <f>IF(D2="——",C40,C40+E2)</f>
        <v>#DIV/0!</v>
      </c>
      <c r="C2" s="2593" t="s">
        <v>2307</v>
      </c>
      <c r="D2" s="3136" t="s">
        <v>3350</v>
      </c>
      <c r="E2" s="3137"/>
      <c r="F2" s="2595"/>
      <c r="G2" s="2596"/>
      <c r="H2" s="2597"/>
      <c r="I2" s="2598"/>
      <c r="J2" s="3381" t="s">
        <v>2308</v>
      </c>
      <c r="K2" s="3382"/>
      <c r="L2" s="2599" t="s">
        <v>2309</v>
      </c>
      <c r="M2" s="2599" t="s">
        <v>2310</v>
      </c>
      <c r="N2" s="2599" t="s">
        <v>2311</v>
      </c>
      <c r="O2" s="2599" t="s">
        <v>2312</v>
      </c>
      <c r="P2" s="2599" t="s">
        <v>2313</v>
      </c>
      <c r="Q2" s="2600" t="s">
        <v>2314</v>
      </c>
      <c r="R2" s="2601" t="s">
        <v>2315</v>
      </c>
      <c r="S2" s="2590"/>
      <c r="T2" s="2590"/>
      <c r="U2" s="2590"/>
      <c r="V2" s="2598"/>
    </row>
    <row r="3" spans="1:22" s="2602" customFormat="1" ht="13.2" customHeight="1">
      <c r="A3" s="2603" t="s">
        <v>2316</v>
      </c>
      <c r="B3" s="2604" t="e">
        <f>ROUND(B2*10000/B4,0)</f>
        <v>#DIV/0!</v>
      </c>
      <c r="C3" s="2593" t="s">
        <v>2317</v>
      </c>
      <c r="D3" s="2593"/>
      <c r="E3" s="2594"/>
      <c r="F3" s="2595"/>
      <c r="G3" s="2596"/>
      <c r="H3" s="2597"/>
      <c r="I3" s="2598"/>
      <c r="J3" s="3383" t="s">
        <v>2318</v>
      </c>
      <c r="K3" s="3384"/>
      <c r="L3" s="2605"/>
      <c r="M3" s="2605"/>
      <c r="N3" s="2605"/>
      <c r="O3" s="2605"/>
      <c r="P3" s="2605"/>
      <c r="Q3" s="2606"/>
      <c r="R3" s="2607">
        <f>SUM(L3:Q3)</f>
        <v>0</v>
      </c>
      <c r="S3" s="2590"/>
      <c r="T3" s="2590"/>
      <c r="U3" s="2590"/>
      <c r="V3" s="2598"/>
    </row>
    <row r="4" spans="1:22" s="2602" customFormat="1" ht="13.2" customHeight="1">
      <c r="A4" s="2608" t="s">
        <v>2319</v>
      </c>
      <c r="B4" s="2609"/>
      <c r="C4" s="2593"/>
      <c r="D4" s="2593"/>
      <c r="E4" s="2594"/>
      <c r="F4" s="2595"/>
      <c r="G4" s="2596"/>
      <c r="H4" s="2597"/>
      <c r="I4" s="2598"/>
      <c r="J4" s="3383" t="s">
        <v>2320</v>
      </c>
      <c r="K4" s="3384"/>
      <c r="L4" s="2610"/>
      <c r="M4" s="2610"/>
      <c r="N4" s="2610"/>
      <c r="O4" s="2610"/>
      <c r="P4" s="2610"/>
      <c r="Q4" s="2611"/>
      <c r="R4" s="2612">
        <f>SUM(L4:Q4)</f>
        <v>0</v>
      </c>
      <c r="S4" s="2590"/>
      <c r="T4" s="2590"/>
      <c r="U4" s="2590"/>
      <c r="V4" s="2598"/>
    </row>
    <row r="5" spans="1:22" s="2602" customFormat="1" ht="13.2"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2" customHeight="1" thickBot="1">
      <c r="A6" s="3385" t="s">
        <v>2324</v>
      </c>
      <c r="B6" s="3386"/>
      <c r="C6" s="3387"/>
      <c r="D6" s="2619"/>
      <c r="E6" s="2620"/>
      <c r="F6" s="2621"/>
      <c r="G6" s="2622"/>
      <c r="H6" s="2597"/>
      <c r="I6" s="2598"/>
      <c r="J6" s="3388">
        <v>1</v>
      </c>
      <c r="K6" s="3389"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2" customHeight="1">
      <c r="A7" s="2625" t="s">
        <v>2334</v>
      </c>
      <c r="B7" s="2626"/>
      <c r="C7" s="2627"/>
      <c r="D7" s="2628">
        <f>SUM(D9,D10,D11,D17,0)</f>
        <v>0</v>
      </c>
      <c r="E7" s="2629" t="e">
        <f>E9+E10+E11+E17</f>
        <v>#DIV/0!</v>
      </c>
      <c r="F7" s="2630"/>
      <c r="G7" s="2631"/>
      <c r="H7" s="2597"/>
      <c r="I7" s="2598"/>
      <c r="J7" s="3388"/>
      <c r="K7" s="3390"/>
      <c r="L7" s="2632" t="s">
        <v>2335</v>
      </c>
      <c r="M7" s="2633"/>
      <c r="N7" s="2609"/>
      <c r="O7" s="2634"/>
      <c r="P7" s="2634"/>
      <c r="Q7" s="2635">
        <v>365</v>
      </c>
      <c r="R7" s="2636">
        <f>ROUND(M7*N7*O7*P7*Q7/10000,0)</f>
        <v>0</v>
      </c>
      <c r="S7" s="2590"/>
      <c r="T7" s="2590" t="s">
        <v>2336</v>
      </c>
      <c r="U7" s="2590"/>
      <c r="V7" s="2598"/>
    </row>
    <row r="8" spans="1:22" s="2602" customFormat="1" ht="13.2" customHeight="1">
      <c r="A8" s="2637" t="s">
        <v>2337</v>
      </c>
      <c r="B8" s="3392" t="s">
        <v>2338</v>
      </c>
      <c r="C8" s="3393"/>
      <c r="D8" s="2638" t="s">
        <v>2339</v>
      </c>
      <c r="E8" s="2639" t="s">
        <v>2340</v>
      </c>
      <c r="F8" s="2640" t="s">
        <v>2341</v>
      </c>
      <c r="G8" s="2641"/>
      <c r="H8" s="2597"/>
      <c r="I8" s="2598"/>
      <c r="J8" s="3388"/>
      <c r="K8" s="3390"/>
      <c r="L8" s="2632" t="s">
        <v>2342</v>
      </c>
      <c r="M8" s="2633"/>
      <c r="N8" s="2609"/>
      <c r="O8" s="2634"/>
      <c r="P8" s="2634"/>
      <c r="Q8" s="2635">
        <v>365</v>
      </c>
      <c r="R8" s="2636">
        <f t="shared" ref="R8:R13" si="0">ROUND(M8*N8*O8*P8*Q8/10000,0)</f>
        <v>0</v>
      </c>
      <c r="S8" s="2590"/>
      <c r="T8" s="2590" t="s">
        <v>2343</v>
      </c>
      <c r="U8" s="2590"/>
      <c r="V8" s="2598"/>
    </row>
    <row r="9" spans="1:22" s="2602" customFormat="1" ht="13.2" customHeight="1">
      <c r="A9" s="2637">
        <v>1</v>
      </c>
      <c r="B9" s="3392" t="s">
        <v>2344</v>
      </c>
      <c r="C9" s="3393"/>
      <c r="D9" s="2638">
        <f>ROUND(D6*E9,0)</f>
        <v>0</v>
      </c>
      <c r="E9" s="2642"/>
      <c r="F9" s="2643" t="s">
        <v>2345</v>
      </c>
      <c r="G9" s="2622"/>
      <c r="H9" s="2597"/>
      <c r="I9" s="2598"/>
      <c r="J9" s="3388"/>
      <c r="K9" s="3390"/>
      <c r="L9" s="2632" t="s">
        <v>2346</v>
      </c>
      <c r="M9" s="2633"/>
      <c r="N9" s="2609"/>
      <c r="O9" s="2634"/>
      <c r="P9" s="2634"/>
      <c r="Q9" s="2635">
        <v>365</v>
      </c>
      <c r="R9" s="2636">
        <f t="shared" si="0"/>
        <v>0</v>
      </c>
      <c r="S9" s="2590"/>
      <c r="T9" s="2590"/>
      <c r="U9" s="2590"/>
      <c r="V9" s="2598"/>
    </row>
    <row r="10" spans="1:22" s="2602" customFormat="1" ht="13.2" customHeight="1">
      <c r="A10" s="2637">
        <v>2</v>
      </c>
      <c r="B10" s="3392" t="s">
        <v>2347</v>
      </c>
      <c r="C10" s="3393"/>
      <c r="D10" s="2638">
        <f>ROUND(D6*E10,0)</f>
        <v>0</v>
      </c>
      <c r="E10" s="2642"/>
      <c r="F10" s="2643" t="s">
        <v>2348</v>
      </c>
      <c r="G10" s="2622"/>
      <c r="H10" s="2597"/>
      <c r="I10" s="2598"/>
      <c r="J10" s="3388"/>
      <c r="K10" s="3390"/>
      <c r="L10" s="2632" t="s">
        <v>2349</v>
      </c>
      <c r="M10" s="2633"/>
      <c r="N10" s="2609"/>
      <c r="O10" s="2634"/>
      <c r="P10" s="2634"/>
      <c r="Q10" s="2635">
        <v>365</v>
      </c>
      <c r="R10" s="2636">
        <f t="shared" si="0"/>
        <v>0</v>
      </c>
      <c r="S10" s="2590"/>
      <c r="T10" s="2590"/>
      <c r="U10" s="2590"/>
      <c r="V10" s="2598"/>
    </row>
    <row r="11" spans="1:22" s="2602" customFormat="1" ht="13.2" customHeight="1">
      <c r="A11" s="2637">
        <v>3</v>
      </c>
      <c r="B11" s="3392" t="s">
        <v>2350</v>
      </c>
      <c r="C11" s="3393"/>
      <c r="D11" s="2638">
        <f>D12+D14+D15+D16</f>
        <v>0</v>
      </c>
      <c r="E11" s="2644" t="e">
        <f>D11/D6</f>
        <v>#DIV/0!</v>
      </c>
      <c r="F11" s="2640"/>
      <c r="G11" s="2641"/>
      <c r="H11" s="2597"/>
      <c r="I11" s="2598"/>
      <c r="J11" s="3388"/>
      <c r="K11" s="3390"/>
      <c r="L11" s="2632" t="s">
        <v>2351</v>
      </c>
      <c r="M11" s="2633"/>
      <c r="N11" s="2609"/>
      <c r="O11" s="2634"/>
      <c r="P11" s="2634"/>
      <c r="Q11" s="2635">
        <v>365</v>
      </c>
      <c r="R11" s="2636">
        <f t="shared" si="0"/>
        <v>0</v>
      </c>
      <c r="S11" s="2590"/>
      <c r="T11" s="2590"/>
      <c r="U11" s="2590"/>
      <c r="V11" s="2598"/>
    </row>
    <row r="12" spans="1:22" s="2602" customFormat="1" ht="13.2" customHeight="1">
      <c r="A12" s="2645" t="s">
        <v>2352</v>
      </c>
      <c r="B12" s="3394" t="s">
        <v>2353</v>
      </c>
      <c r="C12" s="3395"/>
      <c r="D12" s="2646">
        <f>ROUND(D13*1.2%*(1-30%),0)</f>
        <v>0</v>
      </c>
      <c r="E12" s="2647">
        <v>1.2E-2</v>
      </c>
      <c r="F12" s="2640" t="s">
        <v>2354</v>
      </c>
      <c r="G12" s="2641"/>
      <c r="H12" s="2597"/>
      <c r="I12" s="2598"/>
      <c r="J12" s="3388"/>
      <c r="K12" s="3390"/>
      <c r="L12" s="2632" t="s">
        <v>2355</v>
      </c>
      <c r="M12" s="2633"/>
      <c r="N12" s="2609"/>
      <c r="O12" s="2634"/>
      <c r="P12" s="2634"/>
      <c r="Q12" s="2635">
        <v>365</v>
      </c>
      <c r="R12" s="2636">
        <f t="shared" si="0"/>
        <v>0</v>
      </c>
      <c r="S12" s="2590"/>
      <c r="T12" s="2590"/>
      <c r="U12" s="2590"/>
      <c r="V12" s="2598"/>
    </row>
    <row r="13" spans="1:22" s="2602" customFormat="1" ht="13.2" customHeight="1">
      <c r="A13" s="2645"/>
      <c r="B13" s="2648"/>
      <c r="C13" s="2649" t="s">
        <v>2356</v>
      </c>
      <c r="D13" s="2650"/>
      <c r="E13" s="2651"/>
      <c r="F13" s="2640"/>
      <c r="G13" s="2641"/>
      <c r="H13" s="2597"/>
      <c r="I13" s="2598"/>
      <c r="J13" s="3388"/>
      <c r="K13" s="3390"/>
      <c r="L13" s="2632" t="s">
        <v>2357</v>
      </c>
      <c r="M13" s="2633"/>
      <c r="N13" s="2609"/>
      <c r="O13" s="2634"/>
      <c r="P13" s="2634"/>
      <c r="Q13" s="2635">
        <v>365</v>
      </c>
      <c r="R13" s="2636">
        <f t="shared" si="0"/>
        <v>0</v>
      </c>
      <c r="S13" s="2590"/>
      <c r="T13" s="2590"/>
      <c r="U13" s="2590"/>
      <c r="V13" s="2598"/>
    </row>
    <row r="14" spans="1:22" s="2602" customFormat="1" ht="13.2" customHeight="1">
      <c r="A14" s="2645" t="s">
        <v>2358</v>
      </c>
      <c r="B14" s="3394" t="s">
        <v>2359</v>
      </c>
      <c r="C14" s="3395"/>
      <c r="D14" s="2646">
        <f>ROUND(E14*B5/10000,0)</f>
        <v>0</v>
      </c>
      <c r="E14" s="2635"/>
      <c r="F14" s="2640" t="s">
        <v>2360</v>
      </c>
      <c r="G14" s="2641"/>
      <c r="H14" s="2597"/>
      <c r="I14" s="2598"/>
      <c r="J14" s="3388"/>
      <c r="K14" s="3391"/>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2362</v>
      </c>
      <c r="B15" s="3394" t="s">
        <v>2363</v>
      </c>
      <c r="C15" s="3395"/>
      <c r="D15" s="2646">
        <f>ROUND(D6*E15,0)</f>
        <v>0</v>
      </c>
      <c r="E15" s="2647">
        <v>5.5E-2</v>
      </c>
      <c r="F15" s="2640" t="s">
        <v>2364</v>
      </c>
      <c r="G15" s="2622"/>
      <c r="H15" s="2597"/>
      <c r="I15" s="2598"/>
      <c r="J15" s="3388">
        <v>2</v>
      </c>
      <c r="K15" s="3389"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2" customHeight="1">
      <c r="A16" s="2645" t="s">
        <v>2371</v>
      </c>
      <c r="B16" s="3394" t="s">
        <v>2372</v>
      </c>
      <c r="C16" s="3395"/>
      <c r="D16" s="2657">
        <f>D6*E16</f>
        <v>0</v>
      </c>
      <c r="E16" s="2658"/>
      <c r="F16" s="2643" t="s">
        <v>2373</v>
      </c>
      <c r="G16" s="2622"/>
      <c r="H16" s="2597"/>
      <c r="I16" s="2598"/>
      <c r="J16" s="3388"/>
      <c r="K16" s="3390"/>
      <c r="L16" s="2632" t="s">
        <v>2374</v>
      </c>
      <c r="M16" s="2633"/>
      <c r="N16" s="2633"/>
      <c r="O16" s="2634"/>
      <c r="P16" s="2635">
        <v>365</v>
      </c>
      <c r="Q16" s="2609"/>
      <c r="R16" s="2656">
        <f>ROUND(M16*N16*O16*P16/10000,0)</f>
        <v>0</v>
      </c>
      <c r="S16" s="2590"/>
      <c r="T16" s="2590"/>
      <c r="U16" s="2590"/>
      <c r="V16" s="2598"/>
    </row>
    <row r="17" spans="1:22" s="2602" customFormat="1" ht="13.2" customHeight="1" thickBot="1">
      <c r="A17" s="2659">
        <v>4</v>
      </c>
      <c r="B17" s="3396" t="s">
        <v>2375</v>
      </c>
      <c r="C17" s="3397"/>
      <c r="D17" s="2660">
        <f>ROUND(D6*E17,0)</f>
        <v>0</v>
      </c>
      <c r="E17" s="2661"/>
      <c r="F17" s="2662" t="s">
        <v>2376</v>
      </c>
      <c r="G17" s="2622"/>
      <c r="H17" s="2597"/>
      <c r="I17" s="2598"/>
      <c r="J17" s="3388"/>
      <c r="K17" s="3390"/>
      <c r="L17" s="2632" t="s">
        <v>2377</v>
      </c>
      <c r="M17" s="2633"/>
      <c r="N17" s="2633"/>
      <c r="O17" s="2634"/>
      <c r="P17" s="2635">
        <v>365</v>
      </c>
      <c r="Q17" s="2609"/>
      <c r="R17" s="2656">
        <f>ROUND(M17*N17*O17*P17/10000,0)</f>
        <v>0</v>
      </c>
      <c r="S17" s="2590"/>
      <c r="T17" s="2590"/>
      <c r="U17" s="2590"/>
      <c r="V17" s="2598"/>
    </row>
    <row r="18" spans="1:22" s="2602" customFormat="1" ht="13.2" customHeight="1" thickBot="1">
      <c r="A18" s="2625" t="s">
        <v>2378</v>
      </c>
      <c r="B18" s="2626"/>
      <c r="C18" s="2626"/>
      <c r="D18" s="2663">
        <f>ROUND(D6*E18,0)</f>
        <v>0</v>
      </c>
      <c r="E18" s="2664"/>
      <c r="F18" s="2665" t="s">
        <v>2379</v>
      </c>
      <c r="G18" s="2622"/>
      <c r="H18" s="2597"/>
      <c r="I18" s="2598"/>
      <c r="J18" s="3388"/>
      <c r="K18" s="3390"/>
      <c r="L18" s="2632" t="s">
        <v>2380</v>
      </c>
      <c r="M18" s="2633"/>
      <c r="N18" s="2633"/>
      <c r="O18" s="2634"/>
      <c r="P18" s="2635">
        <v>365</v>
      </c>
      <c r="Q18" s="2609"/>
      <c r="R18" s="2656">
        <f>ROUND(M18*N18*O18*P18/10000,0)</f>
        <v>0</v>
      </c>
      <c r="S18" s="2590"/>
      <c r="T18" s="2590"/>
      <c r="U18" s="2590"/>
      <c r="V18" s="2598"/>
    </row>
    <row r="19" spans="1:22" s="2602" customFormat="1" ht="13.2" customHeight="1" thickBot="1">
      <c r="A19" s="2666" t="s">
        <v>2381</v>
      </c>
      <c r="B19" s="2620"/>
      <c r="C19" s="2620"/>
      <c r="D19" s="2620"/>
      <c r="E19" s="2620"/>
      <c r="F19" s="2621"/>
      <c r="G19" s="2641"/>
      <c r="H19" s="2597"/>
      <c r="I19" s="2598"/>
      <c r="J19" s="3388"/>
      <c r="K19" s="3391"/>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8">
        <v>3</v>
      </c>
      <c r="K20" s="3389"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2" customHeight="1">
      <c r="A21" s="2625"/>
      <c r="B21" s="2626"/>
      <c r="C21" s="2671" t="s">
        <v>2390</v>
      </c>
      <c r="D21" s="2672" t="s">
        <v>2391</v>
      </c>
      <c r="E21" s="2673" t="s">
        <v>2392</v>
      </c>
      <c r="F21" s="2669"/>
      <c r="G21" s="2641"/>
      <c r="H21" s="2597"/>
      <c r="I21" s="2598"/>
      <c r="J21" s="3388"/>
      <c r="K21" s="3390"/>
      <c r="L21" s="2632" t="s">
        <v>2393</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2394</v>
      </c>
      <c r="D22" s="2676" t="s">
        <v>2395</v>
      </c>
      <c r="E22" s="2677" t="s">
        <v>2396</v>
      </c>
      <c r="F22" s="2669"/>
      <c r="G22" s="2590"/>
      <c r="H22" s="2597"/>
      <c r="I22" s="2598"/>
      <c r="J22" s="3388"/>
      <c r="K22" s="3390"/>
      <c r="L22" s="2632" t="s">
        <v>2397</v>
      </c>
      <c r="M22" s="2633"/>
      <c r="N22" s="2633"/>
      <c r="O22" s="2634"/>
      <c r="P22" s="2635">
        <v>365</v>
      </c>
      <c r="Q22" s="2609"/>
      <c r="R22" s="2674">
        <f>ROUND(M22*N22*O22*P22/10000,0)</f>
        <v>0</v>
      </c>
      <c r="S22" s="2590"/>
      <c r="T22" s="2590"/>
      <c r="U22" s="2590"/>
      <c r="V22" s="2598"/>
    </row>
    <row r="23" spans="1:22" s="2602" customFormat="1" ht="13.2" customHeight="1">
      <c r="A23" s="2678">
        <v>1</v>
      </c>
      <c r="B23" s="2679" t="s">
        <v>2398</v>
      </c>
      <c r="C23" s="2680">
        <f>D6</f>
        <v>0</v>
      </c>
      <c r="D23" s="2681">
        <f>C23*(1+D24)</f>
        <v>0</v>
      </c>
      <c r="E23" s="2682">
        <f>D23*(1+E24)</f>
        <v>0</v>
      </c>
      <c r="F23" s="2683"/>
      <c r="G23" s="2684"/>
      <c r="H23" s="2597"/>
      <c r="I23" s="2598"/>
      <c r="J23" s="3388"/>
      <c r="K23" s="3390"/>
      <c r="L23" s="2632" t="s">
        <v>2399</v>
      </c>
      <c r="M23" s="2633"/>
      <c r="N23" s="2633"/>
      <c r="O23" s="2634"/>
      <c r="P23" s="2635">
        <v>365</v>
      </c>
      <c r="Q23" s="2609"/>
      <c r="R23" s="2674">
        <f>ROUND(M23*N23*O23*P23/10000,0)</f>
        <v>0</v>
      </c>
      <c r="S23" s="2590"/>
      <c r="T23" s="2590"/>
      <c r="U23" s="2590"/>
      <c r="V23" s="2598"/>
    </row>
    <row r="24" spans="1:22" s="2602" customFormat="1" ht="13.2" customHeight="1">
      <c r="A24" s="2685"/>
      <c r="B24" s="2686" t="s">
        <v>2400</v>
      </c>
      <c r="C24" s="2687"/>
      <c r="D24" s="2688"/>
      <c r="E24" s="2689"/>
      <c r="F24" s="2690"/>
      <c r="G24" s="2684"/>
      <c r="H24" s="2597"/>
      <c r="I24" s="2598"/>
      <c r="J24" s="3388"/>
      <c r="K24" s="3391"/>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2" customHeight="1">
      <c r="A26" s="2678">
        <v>2</v>
      </c>
      <c r="B26" s="2679" t="s">
        <v>2402</v>
      </c>
      <c r="C26" s="2680">
        <f>D7</f>
        <v>0</v>
      </c>
      <c r="D26" s="2681">
        <f>D23*D27</f>
        <v>0</v>
      </c>
      <c r="E26" s="2682">
        <f>E23*E27</f>
        <v>0</v>
      </c>
      <c r="F26" s="2683"/>
      <c r="G26" s="2684"/>
      <c r="H26" s="2597"/>
      <c r="I26" s="2598"/>
      <c r="J26" s="3398">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2" customHeight="1">
      <c r="A27" s="2685"/>
      <c r="B27" s="2686" t="s">
        <v>2408</v>
      </c>
      <c r="C27" s="2703" t="e">
        <f>E7</f>
        <v>#DIV/0!</v>
      </c>
      <c r="D27" s="2688"/>
      <c r="E27" s="2689"/>
      <c r="F27" s="2690"/>
      <c r="G27" s="2684"/>
      <c r="H27" s="2704"/>
      <c r="I27" s="2696"/>
      <c r="J27" s="3399"/>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2"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2" customHeight="1">
      <c r="A32" s="2678">
        <v>4</v>
      </c>
      <c r="B32" s="2679" t="s">
        <v>2416</v>
      </c>
      <c r="C32" s="2680">
        <f>C23-C26-C29</f>
        <v>0</v>
      </c>
      <c r="D32" s="2681">
        <f>D23-D26-D29</f>
        <v>0</v>
      </c>
      <c r="E32" s="2682">
        <f>E23-E26-E29</f>
        <v>0</v>
      </c>
      <c r="F32" s="2683"/>
      <c r="G32" s="2590"/>
      <c r="H32" s="2597"/>
      <c r="I32" s="2598"/>
      <c r="J32" s="3381" t="s">
        <v>2308</v>
      </c>
      <c r="K32" s="3382"/>
      <c r="L32" s="2599" t="s">
        <v>2309</v>
      </c>
      <c r="M32" s="2599" t="s">
        <v>2310</v>
      </c>
      <c r="N32" s="2599" t="s">
        <v>2311</v>
      </c>
      <c r="O32" s="2599" t="s">
        <v>2312</v>
      </c>
      <c r="P32" s="2599" t="s">
        <v>2313</v>
      </c>
      <c r="Q32" s="2600" t="s">
        <v>2314</v>
      </c>
      <c r="R32" s="2719" t="s">
        <v>2315</v>
      </c>
      <c r="S32" s="2590"/>
      <c r="T32" s="2590"/>
      <c r="U32" s="2590"/>
      <c r="V32" s="2696"/>
    </row>
    <row r="33" spans="1:23" s="2602" customFormat="1" ht="13.2" customHeight="1">
      <c r="A33" s="2678"/>
      <c r="B33" s="2679"/>
      <c r="C33" s="2680"/>
      <c r="D33" s="2720"/>
      <c r="E33" s="2721"/>
      <c r="F33" s="2683"/>
      <c r="G33" s="2590"/>
      <c r="H33" s="2704"/>
      <c r="I33" s="2696"/>
      <c r="J33" s="3383" t="s">
        <v>2318</v>
      </c>
      <c r="K33" s="3384"/>
      <c r="L33" s="2605"/>
      <c r="M33" s="2605"/>
      <c r="N33" s="2605"/>
      <c r="O33" s="2605"/>
      <c r="P33" s="2605"/>
      <c r="Q33" s="2606"/>
      <c r="R33" s="2722">
        <f>SUM(L33:Q33)</f>
        <v>0</v>
      </c>
      <c r="S33" s="2590"/>
      <c r="T33" s="2590"/>
      <c r="U33" s="2590"/>
      <c r="V33" s="2598"/>
    </row>
    <row r="34" spans="1:23" s="2602" customFormat="1" ht="13.2" customHeight="1">
      <c r="A34" s="2678">
        <v>5</v>
      </c>
      <c r="B34" s="2679" t="s">
        <v>2417</v>
      </c>
      <c r="C34" s="2723"/>
      <c r="D34" s="2724"/>
      <c r="E34" s="2725"/>
      <c r="F34" s="2683"/>
      <c r="G34" s="2590"/>
      <c r="H34" s="2704"/>
      <c r="I34" s="2696"/>
      <c r="J34" s="3383" t="s">
        <v>2320</v>
      </c>
      <c r="K34" s="3384"/>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2" customHeight="1" thickBot="1">
      <c r="A36" s="2678">
        <v>7</v>
      </c>
      <c r="B36" s="2732" t="s">
        <v>2419</v>
      </c>
      <c r="C36" s="2733"/>
      <c r="D36" s="2734"/>
      <c r="E36" s="2735"/>
      <c r="F36" s="2736">
        <f>C36+D36+E36</f>
        <v>0</v>
      </c>
      <c r="G36" s="2590"/>
      <c r="H36" s="2597"/>
      <c r="I36" s="2598"/>
      <c r="J36" s="3388">
        <v>1</v>
      </c>
      <c r="K36" s="3389" t="s">
        <v>2420</v>
      </c>
      <c r="L36" s="2623"/>
      <c r="M36" s="2624"/>
      <c r="N36" s="2624"/>
      <c r="O36" s="2624"/>
      <c r="P36" s="2624"/>
      <c r="Q36" s="2624"/>
      <c r="R36" s="2607" t="s">
        <v>2332</v>
      </c>
      <c r="S36" s="2590"/>
      <c r="T36" s="2590" t="s">
        <v>2333</v>
      </c>
      <c r="U36" s="2590"/>
      <c r="V36" s="2598"/>
    </row>
    <row r="37" spans="1:23" s="2602" customFormat="1" ht="13.2" customHeight="1">
      <c r="A37" s="2678"/>
      <c r="B37" s="2679"/>
      <c r="C37" s="2679"/>
      <c r="D37" s="2679"/>
      <c r="E37" s="2679"/>
      <c r="F37" s="2683"/>
      <c r="G37" s="2590"/>
      <c r="H37" s="2597"/>
      <c r="I37" s="2598"/>
      <c r="J37" s="3388"/>
      <c r="K37" s="3390"/>
      <c r="L37" s="2632"/>
      <c r="M37" s="2633"/>
      <c r="N37" s="2609"/>
      <c r="O37" s="2634"/>
      <c r="P37" s="2634"/>
      <c r="Q37" s="2635"/>
      <c r="R37" s="2636"/>
      <c r="S37" s="2590"/>
      <c r="T37" s="2590" t="s">
        <v>2336</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8"/>
      <c r="K38" s="3390"/>
      <c r="L38" s="2632"/>
      <c r="M38" s="2633"/>
      <c r="N38" s="2609"/>
      <c r="O38" s="2634"/>
      <c r="P38" s="2634"/>
      <c r="Q38" s="2635"/>
      <c r="R38" s="2636"/>
      <c r="S38" s="2590"/>
      <c r="T38" s="2590" t="s">
        <v>2343</v>
      </c>
      <c r="U38" s="2590"/>
      <c r="V38" s="2598"/>
    </row>
    <row r="39" spans="1:23" s="2602" customFormat="1" ht="13.2" customHeight="1">
      <c r="A39" s="2678">
        <v>9</v>
      </c>
      <c r="B39" s="2679" t="s">
        <v>2421</v>
      </c>
      <c r="C39" s="2646" t="e">
        <f>C38</f>
        <v>#DIV/0!</v>
      </c>
      <c r="D39" s="2679">
        <f>D38/(1+D34)^C36</f>
        <v>0</v>
      </c>
      <c r="E39" s="2679">
        <f>E38/(1+E34)^(C36+D36)</f>
        <v>0</v>
      </c>
      <c r="F39" s="2683"/>
      <c r="G39" s="2598"/>
      <c r="H39" s="2597"/>
      <c r="I39" s="2598"/>
      <c r="J39" s="3388"/>
      <c r="K39" s="3390"/>
      <c r="L39" s="2632"/>
      <c r="M39" s="2633"/>
      <c r="N39" s="2609"/>
      <c r="O39" s="2634"/>
      <c r="P39" s="2634"/>
      <c r="Q39" s="2635"/>
      <c r="R39" s="2636"/>
      <c r="S39" s="2590"/>
      <c r="T39" s="2590"/>
      <c r="U39" s="2590"/>
      <c r="V39" s="2598"/>
    </row>
    <row r="40" spans="1:23" s="2602" customFormat="1" ht="13.2" customHeight="1">
      <c r="A40" s="2737">
        <v>10</v>
      </c>
      <c r="B40" s="2679" t="s">
        <v>2422</v>
      </c>
      <c r="C40" s="2738" t="e">
        <f>C39+D39+E39</f>
        <v>#DIV/0!</v>
      </c>
      <c r="D40" s="2739"/>
      <c r="E40" s="2739"/>
      <c r="F40" s="2740"/>
      <c r="G40" s="2590"/>
      <c r="H40" s="2597"/>
      <c r="I40" s="2598"/>
      <c r="J40" s="3388"/>
      <c r="K40" s="3391"/>
      <c r="L40" s="2652" t="s">
        <v>2361</v>
      </c>
      <c r="M40" s="2653"/>
      <c r="N40" s="2653"/>
      <c r="O40" s="2654"/>
      <c r="P40" s="2654"/>
      <c r="Q40" s="2655"/>
      <c r="R40" s="2601">
        <f>SUM(R37:R39)</f>
        <v>0</v>
      </c>
      <c r="S40" s="2590"/>
      <c r="T40" s="2590"/>
      <c r="U40" s="2590"/>
      <c r="V40" s="2598"/>
    </row>
    <row r="41" spans="1:23" s="2602" customFormat="1" ht="13.2"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2" customHeight="1">
      <c r="G42" s="2597"/>
      <c r="H42" s="2597"/>
      <c r="I42" s="2598"/>
      <c r="J42" s="3398">
        <v>3</v>
      </c>
      <c r="K42" s="2698" t="s">
        <v>2403</v>
      </c>
      <c r="L42" s="2699"/>
      <c r="M42" s="2700"/>
      <c r="N42" s="2701" t="s">
        <v>2404</v>
      </c>
      <c r="O42" s="2701" t="s">
        <v>2405</v>
      </c>
      <c r="P42" s="2702" t="s">
        <v>2406</v>
      </c>
      <c r="Q42" s="2702" t="s">
        <v>2407</v>
      </c>
      <c r="R42" s="2607" t="s">
        <v>2332</v>
      </c>
      <c r="S42" s="2641"/>
      <c r="T42" s="2641"/>
      <c r="U42" s="2590"/>
      <c r="V42" s="2598"/>
    </row>
    <row r="43" spans="1:23" ht="13.2" customHeight="1">
      <c r="A43" s="2602"/>
      <c r="B43" s="2602"/>
      <c r="C43" s="2602"/>
      <c r="D43" s="2602"/>
      <c r="E43" s="2602"/>
      <c r="F43" s="2602"/>
      <c r="I43" s="2585"/>
      <c r="J43" s="3399"/>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68A-5FED-4CD8-92EA-E3FE7E8AEEF8}">
  <sheetPr>
    <tabColor rgb="FF92D050"/>
  </sheetPr>
  <dimension ref="A1:AK83"/>
  <sheetViews>
    <sheetView view="pageBreakPreview" topLeftCell="A25" zoomScale="70" zoomScaleNormal="70" zoomScaleSheetLayoutView="70" workbookViewId="0">
      <selection activeCell="L56" sqref="L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3618</v>
      </c>
      <c r="D1" s="1268" t="s">
        <v>43</v>
      </c>
      <c r="E1" s="1269" t="s">
        <v>678</v>
      </c>
      <c r="F1" s="996">
        <f ca="1">J53</f>
        <v>24.79</v>
      </c>
      <c r="G1" s="1283">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87702</v>
      </c>
      <c r="C2" s="1286" t="s">
        <v>805</v>
      </c>
      <c r="D2" s="1286"/>
      <c r="E2" s="1292"/>
      <c r="F2" s="1293"/>
      <c r="G2" s="2476"/>
      <c r="H2" s="2466"/>
      <c r="I2" s="2466"/>
      <c r="J2" s="2466"/>
      <c r="K2" s="2467"/>
      <c r="L2" s="2466"/>
      <c r="M2" s="2466"/>
    </row>
    <row r="3" spans="1:37" ht="18" customHeight="1" thickBot="1">
      <c r="A3" s="1294" t="s">
        <v>806</v>
      </c>
      <c r="B3" s="1295">
        <f ca="1">IF(ISERROR(B2*10000/F43),0,ROUND(B2*10000/F43,0))</f>
        <v>26482</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6644</v>
      </c>
      <c r="D5" s="1270" t="s">
        <v>693</v>
      </c>
      <c r="E5" s="1005"/>
      <c r="F5" s="1006"/>
      <c r="G5" s="1289"/>
      <c r="H5" s="290">
        <v>1</v>
      </c>
      <c r="I5" s="291" t="s">
        <v>692</v>
      </c>
      <c r="J5" s="1004">
        <f ca="1">J6+J10+J12</f>
        <v>0</v>
      </c>
      <c r="K5" s="1270" t="s">
        <v>693</v>
      </c>
      <c r="L5" s="1005"/>
      <c r="M5" s="1006"/>
    </row>
    <row r="6" spans="1:37" ht="18" customHeight="1">
      <c r="A6" s="1003" t="s">
        <v>398</v>
      </c>
      <c r="B6" s="3378" t="s">
        <v>694</v>
      </c>
      <c r="C6" s="1008">
        <f ca="1">ROUND(F6*F8*F7*(1-F9)/10000,0)</f>
        <v>6636</v>
      </c>
      <c r="D6" s="146" t="s">
        <v>2109</v>
      </c>
      <c r="E6" s="293" t="s">
        <v>696</v>
      </c>
      <c r="F6" s="294">
        <f ca="1">INDIRECT("'数据-取费表'!u"&amp;$G$1)</f>
        <v>6.1</v>
      </c>
      <c r="G6" s="1289"/>
      <c r="H6" s="1003" t="s">
        <v>398</v>
      </c>
      <c r="I6" s="3378" t="s">
        <v>694</v>
      </c>
      <c r="J6" s="292">
        <f ca="1">ROUND(M6*M8*M7*(1-M9)/10000,0)</f>
        <v>0</v>
      </c>
      <c r="K6" s="146" t="s">
        <v>2108</v>
      </c>
      <c r="L6" s="293" t="s">
        <v>696</v>
      </c>
      <c r="M6" s="294">
        <f ca="1">INDIRECT("'数据-取费表'!z"&amp;$G$1)</f>
        <v>0</v>
      </c>
    </row>
    <row r="7" spans="1:37" ht="18" customHeight="1">
      <c r="A7" s="1007"/>
      <c r="B7" s="3379"/>
      <c r="C7" s="1009"/>
      <c r="D7" s="298"/>
      <c r="E7" s="1010" t="s">
        <v>697</v>
      </c>
      <c r="F7" s="294">
        <f ca="1">IF(INDIRECT("'数据-取费表'!ah"&amp;$G$1)="",INDIRECT("'数据-取费表'!k"&amp;$G$1),INDIRECT("'数据-取费表'!ah"&amp;$G$1))</f>
        <v>33118.07</v>
      </c>
      <c r="G7" s="1289"/>
      <c r="H7" s="295"/>
      <c r="I7" s="3379"/>
      <c r="J7" s="297"/>
      <c r="K7" s="298"/>
      <c r="L7" s="293" t="s">
        <v>697</v>
      </c>
      <c r="M7" s="294">
        <f ca="1">F7</f>
        <v>33118.07</v>
      </c>
    </row>
    <row r="8" spans="1:37" ht="18" customHeight="1">
      <c r="A8" s="295"/>
      <c r="B8" s="3379"/>
      <c r="C8" s="297"/>
      <c r="D8" s="298"/>
      <c r="E8" s="293" t="s">
        <v>698</v>
      </c>
      <c r="F8" s="294">
        <f ca="1">INDIRECT("'数据-取费表'!ai"&amp;$G$1)</f>
        <v>365</v>
      </c>
      <c r="G8" s="1289"/>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89"/>
      <c r="H9" s="295"/>
      <c r="I9" s="3380"/>
      <c r="J9" s="297"/>
      <c r="K9" s="298"/>
      <c r="L9" s="304" t="s">
        <v>699</v>
      </c>
      <c r="M9" s="305">
        <f ca="1">INDIRECT("'数据-取费表'!ab"&amp;$G$1)</f>
        <v>0</v>
      </c>
    </row>
    <row r="10" spans="1:37" ht="18" customHeight="1">
      <c r="A10" s="1003" t="s">
        <v>402</v>
      </c>
      <c r="B10" s="1271" t="s">
        <v>700</v>
      </c>
      <c r="C10" s="307">
        <f ca="1">ROUND(IF(F10="押一",C6/12*F11,IF(F10="押二",C6/12*2*F11,IF(F10="押三",C6/12*3*F11,C11*F11))),0)</f>
        <v>8</v>
      </c>
      <c r="D10" s="149" t="s">
        <v>2116</v>
      </c>
      <c r="E10" s="304" t="s">
        <v>701</v>
      </c>
      <c r="F10" s="1050" t="s">
        <v>3614</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23175</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18215</v>
      </c>
      <c r="D14" s="1254" t="s">
        <v>708</v>
      </c>
      <c r="E14" s="1252"/>
      <c r="F14" s="310"/>
      <c r="G14" s="1289"/>
      <c r="H14" s="925" t="s">
        <v>398</v>
      </c>
      <c r="I14" s="293" t="s">
        <v>709</v>
      </c>
      <c r="J14" s="21">
        <f ca="1">C29</f>
        <v>26638</v>
      </c>
      <c r="K14" s="12"/>
      <c r="L14" s="756"/>
      <c r="M14" s="757"/>
    </row>
    <row r="15" spans="1:37" s="1301" customFormat="1" ht="18" customHeight="1" thickBot="1">
      <c r="A15" s="925" t="s">
        <v>399</v>
      </c>
      <c r="B15" s="293" t="s">
        <v>710</v>
      </c>
      <c r="C15" s="21">
        <f ca="1">ROUND(C14*F15,0)</f>
        <v>911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150</v>
      </c>
      <c r="K16" s="1021" t="s">
        <v>715</v>
      </c>
      <c r="L16" s="1022"/>
      <c r="M16" s="1006"/>
    </row>
    <row r="17" spans="1:37" s="1301" customFormat="1" ht="18" customHeight="1">
      <c r="A17" s="925" t="s">
        <v>681</v>
      </c>
      <c r="B17" s="293" t="s">
        <v>716</v>
      </c>
      <c r="C17" s="21">
        <f ca="1">ROUND(F17*(F43+INDIRECT("'数据-取费表'!S"&amp;$G$1))/10000,0)</f>
        <v>662</v>
      </c>
      <c r="D17" s="293" t="s">
        <v>717</v>
      </c>
      <c r="E17" s="293" t="s">
        <v>718</v>
      </c>
      <c r="F17" s="23">
        <f>'数据-取费表'!B35</f>
        <v>200</v>
      </c>
      <c r="G17" s="1300"/>
      <c r="H17" s="925" t="s">
        <v>398</v>
      </c>
      <c r="I17" s="293" t="s">
        <v>719</v>
      </c>
      <c r="J17" s="2137">
        <f ca="1">ROUND(IF(AND(项目基本情况!B11="自然人",项目基本情况!B10="北京市"),J6*M17/(1+'数据-取费表'!C42),J18+J19+J20),2)</f>
        <v>16.420000000000002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364</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20152</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403</v>
      </c>
      <c r="D20" s="314" t="s">
        <v>729</v>
      </c>
      <c r="E20" s="293" t="s">
        <v>712</v>
      </c>
      <c r="F20" s="313">
        <f>'数据-取费表'!B37</f>
        <v>0.02</v>
      </c>
      <c r="G20" s="1300"/>
      <c r="H20" s="925" t="s">
        <v>680</v>
      </c>
      <c r="I20" s="146" t="s">
        <v>730</v>
      </c>
      <c r="J20" s="22">
        <f ca="1">ROUND(M20*M21/10000,2)</f>
        <v>16.420000000000002</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6843.2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133.19</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637</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-150</v>
      </c>
      <c r="K25" s="1029" t="s">
        <v>753</v>
      </c>
      <c r="L25" s="1030"/>
      <c r="M25" s="1031"/>
    </row>
    <row r="26" spans="1:37">
      <c r="A26" s="925" t="s">
        <v>397</v>
      </c>
      <c r="B26" s="293" t="s">
        <v>754</v>
      </c>
      <c r="C26" s="21">
        <f ca="1">ROUND((C19+C20)*F26,0)</f>
        <v>3083</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26638</v>
      </c>
      <c r="D29" s="1026"/>
      <c r="E29" s="1024"/>
      <c r="F29" s="1027"/>
      <c r="G29" s="1300"/>
      <c r="H29" s="324" t="s">
        <v>396</v>
      </c>
      <c r="I29" s="325" t="s">
        <v>768</v>
      </c>
      <c r="J29" s="326">
        <f ca="1">ROUND(J26/(1+F40)^F41,0)</f>
        <v>0</v>
      </c>
      <c r="K29" s="327" t="s">
        <v>769</v>
      </c>
      <c r="L29" s="328"/>
      <c r="M29" s="329">
        <f ca="1">INDIRECT("'数据-取费表'!k"&amp;$G$1)</f>
        <v>33118.07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1352</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1128.74</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353.92</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758.4</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16.420000000000002</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6843.2</v>
      </c>
      <c r="G35" s="1289"/>
      <c r="H35" s="2468"/>
      <c r="I35" s="1302"/>
      <c r="J35" s="1303"/>
      <c r="K35" s="2472"/>
      <c r="L35" s="2471"/>
      <c r="M35" s="2471"/>
    </row>
    <row r="36" spans="1:18" ht="18" customHeight="1">
      <c r="A36" s="1036" t="s">
        <v>402</v>
      </c>
      <c r="B36" s="293" t="s">
        <v>738</v>
      </c>
      <c r="C36" s="21">
        <f ca="1">ROUND(C29*F36,2)</f>
        <v>133.19</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23.18</v>
      </c>
      <c r="D37" s="1253" t="s">
        <v>743</v>
      </c>
      <c r="E37" s="293" t="s">
        <v>712</v>
      </c>
      <c r="F37" s="320">
        <f ca="1">INDIRECT("'数据-取费表'!Al"&amp;$G$1)</f>
        <v>1E-3</v>
      </c>
      <c r="G37" s="1289"/>
      <c r="H37" s="2471"/>
      <c r="I37" s="1302"/>
      <c r="J37" s="1303"/>
      <c r="K37" s="2328"/>
      <c r="L37" s="2471"/>
      <c r="M37" s="2471"/>
    </row>
    <row r="38" spans="1:18" ht="18" customHeight="1" thickBot="1">
      <c r="A38" s="1023" t="s">
        <v>683</v>
      </c>
      <c r="B38" s="1024" t="s">
        <v>728</v>
      </c>
      <c r="C38" s="1025">
        <f ca="1">ROUND(C5*F38,2)</f>
        <v>66.44</v>
      </c>
      <c r="D38" s="1026" t="s">
        <v>748</v>
      </c>
      <c r="E38" s="1024" t="s">
        <v>712</v>
      </c>
      <c r="F38" s="1020">
        <f ca="1">INDIRECT("'数据-取费表'!Am"&amp;$G$1)</f>
        <v>0.01</v>
      </c>
      <c r="G38" s="1289"/>
      <c r="H38" s="2471"/>
      <c r="I38" s="1302"/>
      <c r="J38" s="1303"/>
      <c r="K38" s="2469"/>
      <c r="L38" s="2471"/>
      <c r="M38" s="2471"/>
    </row>
    <row r="39" spans="1:18" ht="24.6" customHeight="1" thickTop="1">
      <c r="A39" s="1013" t="s">
        <v>394</v>
      </c>
      <c r="B39" s="1028" t="s">
        <v>752</v>
      </c>
      <c r="C39" s="301">
        <f ca="1">C5-C30</f>
        <v>5292</v>
      </c>
      <c r="D39" s="1029" t="s">
        <v>753</v>
      </c>
      <c r="E39" s="1030"/>
      <c r="F39" s="1031"/>
      <c r="G39" s="1289"/>
      <c r="H39" s="2471"/>
      <c r="I39" s="1302"/>
      <c r="J39" s="1303"/>
      <c r="K39" s="2469"/>
      <c r="L39" s="2471"/>
      <c r="M39" s="2471"/>
    </row>
    <row r="40" spans="1:18" ht="18" customHeight="1">
      <c r="A40" s="290" t="s">
        <v>395</v>
      </c>
      <c r="B40" s="291" t="s">
        <v>774</v>
      </c>
      <c r="C40" s="292">
        <f ca="1">ROUND(C39*(1-((1+F42)/(1+F40))^F41)/(F40-F42),0)</f>
        <v>85688</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24.79</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25873</v>
      </c>
      <c r="D43" s="327" t="s">
        <v>777</v>
      </c>
      <c r="E43" s="328" t="s">
        <v>778</v>
      </c>
      <c r="F43" s="329">
        <f ca="1">INDIRECT("'数据-取费表'!k"&amp;$G$1)</f>
        <v>33118.07</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8" thickBot="1">
      <c r="A46" s="1308" t="s">
        <v>809</v>
      </c>
      <c r="C46" s="1309">
        <f ca="1">C68-C40</f>
        <v>-87986</v>
      </c>
      <c r="D46" s="1310" t="str">
        <f>C2</f>
        <v>万元</v>
      </c>
      <c r="E46" s="1304"/>
      <c r="F46" s="1304"/>
      <c r="I46" s="1311" t="s">
        <v>810</v>
      </c>
      <c r="J46" s="1312"/>
      <c r="K46" s="1313"/>
      <c r="L46" s="1314">
        <f ca="1">IF(M47="住宅",0,IF(L48&gt;J51,L60,J60))</f>
        <v>2014</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3420</v>
      </c>
      <c r="K47" s="1320" t="s">
        <v>816</v>
      </c>
      <c r="L47" s="1321">
        <f ca="1">INDIRECT("'数据-取费表'!d"&amp;$G$1)</f>
        <v>50</v>
      </c>
      <c r="M47" s="1285" t="str">
        <f>IF(ISNUMBER(FIND("住宅",C1)),"住宅","非住宅")</f>
        <v>非住宅</v>
      </c>
      <c r="O47" s="1322" t="s">
        <v>403</v>
      </c>
      <c r="P47" s="1323" t="s">
        <v>817</v>
      </c>
      <c r="Q47" s="1324">
        <f ca="1">C40+J29</f>
        <v>85688</v>
      </c>
      <c r="R47" s="1324" t="s">
        <v>818</v>
      </c>
    </row>
    <row r="48" spans="1:18" s="1289" customFormat="1" ht="40.200000000000003" thickBot="1">
      <c r="A48" s="1044" t="s">
        <v>438</v>
      </c>
      <c r="B48" s="291" t="s">
        <v>692</v>
      </c>
      <c r="C48" s="1265">
        <f ca="1">C49+C53+C55</f>
        <v>0</v>
      </c>
      <c r="D48" s="1046"/>
      <c r="E48" s="1047"/>
      <c r="F48" s="905"/>
      <c r="G48" s="680"/>
      <c r="H48" s="681"/>
      <c r="I48" s="1325" t="s">
        <v>819</v>
      </c>
      <c r="J48" s="1326" t="s">
        <v>3616</v>
      </c>
      <c r="K48" s="1327" t="s">
        <v>820</v>
      </c>
      <c r="L48" s="1328">
        <f ca="1">INDIRECT("'数据-取费表'!f"&amp;$G$1)</f>
        <v>24.79</v>
      </c>
      <c r="O48" s="1322" t="s">
        <v>404</v>
      </c>
      <c r="P48" s="1323" t="s">
        <v>821</v>
      </c>
      <c r="Q48" s="1324">
        <f ca="1">J60</f>
        <v>2014</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v>2017</v>
      </c>
      <c r="K49" s="1327" t="s">
        <v>824</v>
      </c>
      <c r="L49" s="1330"/>
      <c r="O49" s="1331" t="s">
        <v>405</v>
      </c>
      <c r="P49" s="1323" t="s">
        <v>825</v>
      </c>
      <c r="Q49" s="1324">
        <f ca="1">C29</f>
        <v>26638</v>
      </c>
      <c r="R49" s="1324" t="s">
        <v>818</v>
      </c>
    </row>
    <row r="50" spans="1:18" s="1289" customFormat="1" ht="13.8" thickBot="1">
      <c r="A50" s="919"/>
      <c r="B50" s="922"/>
      <c r="C50" s="1052"/>
      <c r="D50" s="896"/>
      <c r="E50" s="990" t="s">
        <v>697</v>
      </c>
      <c r="F50" s="991">
        <f ca="1">F7</f>
        <v>33118.07</v>
      </c>
      <c r="H50" s="681"/>
      <c r="I50" s="1325" t="s">
        <v>826</v>
      </c>
      <c r="J50" s="1332">
        <f>SUMPRODUCT((I63:I65=J47)*(J62:L62=J48)*(J63:L65))</f>
        <v>60</v>
      </c>
      <c r="K50" s="1327" t="s">
        <v>827</v>
      </c>
      <c r="L50" s="1330"/>
      <c r="M50" s="1333"/>
      <c r="O50" s="1331" t="s">
        <v>406</v>
      </c>
      <c r="P50" s="1323" t="s">
        <v>828</v>
      </c>
      <c r="Q50" s="1334">
        <f ca="1">J58</f>
        <v>0.45400000000000001</v>
      </c>
      <c r="R50" s="1324"/>
    </row>
    <row r="51" spans="1:18" s="1289" customFormat="1" ht="13.8"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67590</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24.79</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24.79</v>
      </c>
      <c r="K53" s="3376" t="s">
        <v>837</v>
      </c>
      <c r="L53" s="3377"/>
      <c r="O53" s="1322" t="s">
        <v>409</v>
      </c>
      <c r="P53" s="1323" t="s">
        <v>838</v>
      </c>
      <c r="Q53" s="1324">
        <f ca="1">Q47+Q48</f>
        <v>87702</v>
      </c>
      <c r="R53" s="1324" t="s">
        <v>410</v>
      </c>
    </row>
    <row r="54" spans="1:18" s="1289" customFormat="1" ht="24.6"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0.45400000000000001</v>
      </c>
      <c r="K55" s="1347" t="s">
        <v>841</v>
      </c>
      <c r="L55" s="1348"/>
      <c r="O55" s="1315" t="s">
        <v>811</v>
      </c>
      <c r="P55" s="1316" t="s">
        <v>812</v>
      </c>
      <c r="Q55" s="1317" t="s">
        <v>813</v>
      </c>
      <c r="R55" s="1317" t="s">
        <v>814</v>
      </c>
    </row>
    <row r="56" spans="1:18" s="1289" customFormat="1" ht="37.200000000000003" thickTop="1" thickBot="1">
      <c r="A56" s="900">
        <v>2</v>
      </c>
      <c r="B56" s="901" t="s">
        <v>704</v>
      </c>
      <c r="C56" s="223">
        <f ca="1">C13</f>
        <v>23175</v>
      </c>
      <c r="D56" s="1349"/>
      <c r="E56" s="1350"/>
      <c r="F56" s="1342"/>
      <c r="I56" s="1351" t="s">
        <v>842</v>
      </c>
      <c r="J56" s="1352" t="s">
        <v>3617</v>
      </c>
      <c r="K56" s="1325" t="s">
        <v>843</v>
      </c>
      <c r="L56" s="1328" t="str">
        <f ca="1">IF(L48&lt;J51,"——",L48-J53)</f>
        <v>——</v>
      </c>
      <c r="O56" s="1322" t="s">
        <v>403</v>
      </c>
      <c r="P56" s="1323" t="s">
        <v>817</v>
      </c>
      <c r="Q56" s="1324">
        <f ca="1">C40+J29</f>
        <v>85688</v>
      </c>
      <c r="R56" s="1324" t="s">
        <v>818</v>
      </c>
    </row>
    <row r="57" spans="1:18" s="1289" customFormat="1" ht="24.6" thickBot="1">
      <c r="A57" s="1353"/>
      <c r="B57" s="893" t="s">
        <v>767</v>
      </c>
      <c r="C57" s="229">
        <f ca="1">C29</f>
        <v>26638</v>
      </c>
      <c r="D57" s="1354"/>
      <c r="E57" s="1355"/>
      <c r="F57" s="1356"/>
      <c r="I57" s="1357" t="s">
        <v>844</v>
      </c>
      <c r="J57" s="1358">
        <f ca="1">IF(OR(M47="住宅",J51&lt;L48,J56="是"),"——",J51-L48)</f>
        <v>27.21</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1" t="s">
        <v>714</v>
      </c>
      <c r="C58" s="307">
        <f ca="1">ROUND(C59+C64+C65+C66,0)</f>
        <v>172</v>
      </c>
      <c r="D58" s="903" t="s">
        <v>715</v>
      </c>
      <c r="E58" s="904"/>
      <c r="F58" s="905"/>
      <c r="I58" s="1357" t="s">
        <v>848</v>
      </c>
      <c r="J58" s="1359">
        <f ca="1">IF(J55&lt;0.4,0.4,J55)</f>
        <v>0.45400000000000001</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16</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12094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2014</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3327</v>
      </c>
      <c r="E61" s="893"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16.420000000000002</v>
      </c>
      <c r="D62" s="908" t="s">
        <v>731</v>
      </c>
      <c r="E62" s="893" t="s">
        <v>732</v>
      </c>
      <c r="F62" s="316">
        <f t="shared" si="0"/>
        <v>24</v>
      </c>
      <c r="I62" s="1364" t="s">
        <v>858</v>
      </c>
      <c r="J62" s="609" t="s">
        <v>859</v>
      </c>
      <c r="K62" s="609" t="s">
        <v>860</v>
      </c>
      <c r="L62" s="609" t="s">
        <v>861</v>
      </c>
      <c r="M62" s="1365" t="s">
        <v>862</v>
      </c>
      <c r="O62" s="1322" t="s">
        <v>409</v>
      </c>
      <c r="P62" s="1323" t="s">
        <v>838</v>
      </c>
      <c r="Q62" s="1324">
        <f ca="1">Q56+Q57</f>
        <v>85688</v>
      </c>
      <c r="R62" s="1324" t="s">
        <v>410</v>
      </c>
    </row>
    <row r="63" spans="1:18" s="1289" customFormat="1" ht="13.8" thickBot="1">
      <c r="A63" s="317"/>
      <c r="B63" s="899"/>
      <c r="C63" s="26"/>
      <c r="D63" s="909"/>
      <c r="E63" s="893" t="s">
        <v>736</v>
      </c>
      <c r="F63" s="294">
        <f t="shared" ca="1" si="0"/>
        <v>6843.2</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133.19</v>
      </c>
      <c r="D64" s="907" t="s">
        <v>771</v>
      </c>
      <c r="E64" s="893"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23.18</v>
      </c>
      <c r="D65" s="907" t="s">
        <v>743</v>
      </c>
      <c r="E65" s="893" t="s">
        <v>712</v>
      </c>
      <c r="F65" s="320">
        <f t="shared" ca="1" si="0"/>
        <v>1E-3</v>
      </c>
      <c r="I65" s="1364" t="s">
        <v>867</v>
      </c>
      <c r="J65" s="609">
        <v>40</v>
      </c>
      <c r="K65" s="609">
        <v>30</v>
      </c>
      <c r="L65" s="609">
        <v>50</v>
      </c>
      <c r="M65" s="1366">
        <v>0.02</v>
      </c>
      <c r="O65" s="1322" t="s">
        <v>403</v>
      </c>
      <c r="P65" s="1323" t="s">
        <v>817</v>
      </c>
      <c r="Q65" s="1324">
        <f ca="1">C40+J29</f>
        <v>85688</v>
      </c>
      <c r="R65" s="1324" t="s">
        <v>818</v>
      </c>
    </row>
    <row r="66" spans="1:18" s="1289" customFormat="1" ht="16.2" thickBot="1">
      <c r="A66" s="925" t="s">
        <v>793</v>
      </c>
      <c r="B66" s="893" t="s">
        <v>728</v>
      </c>
      <c r="C66" s="21">
        <f ca="1">ROUND(C48*F66,2)</f>
        <v>0</v>
      </c>
      <c r="D66" s="907" t="s">
        <v>748</v>
      </c>
      <c r="E66" s="893" t="s">
        <v>712</v>
      </c>
      <c r="F66" s="303">
        <f t="shared" ca="1" si="0"/>
        <v>0.01</v>
      </c>
      <c r="O66" s="1322" t="s">
        <v>404</v>
      </c>
      <c r="P66" s="1323" t="s">
        <v>846</v>
      </c>
      <c r="Q66" s="1324">
        <f ca="1">L60</f>
        <v>0</v>
      </c>
      <c r="R66" s="1324" t="s">
        <v>869</v>
      </c>
    </row>
    <row r="67" spans="1:18" s="1289" customFormat="1" ht="24.6" thickBot="1">
      <c r="A67" s="900" t="s">
        <v>394</v>
      </c>
      <c r="B67" s="910" t="s">
        <v>752</v>
      </c>
      <c r="C67" s="307">
        <f ca="1">C48-C58</f>
        <v>-172</v>
      </c>
      <c r="D67" s="906" t="s">
        <v>753</v>
      </c>
      <c r="E67" s="911"/>
      <c r="F67" s="912"/>
      <c r="O67" s="1331" t="s">
        <v>405</v>
      </c>
      <c r="P67" s="1323" t="s">
        <v>850</v>
      </c>
      <c r="Q67" s="1367">
        <f ca="1">L51</f>
        <v>67590</v>
      </c>
      <c r="R67" s="1324" t="s">
        <v>870</v>
      </c>
    </row>
    <row r="68" spans="1:18" s="1289" customFormat="1" ht="16.2" thickBot="1">
      <c r="A68" s="890" t="s">
        <v>395</v>
      </c>
      <c r="B68" s="891" t="s">
        <v>774</v>
      </c>
      <c r="C68" s="292">
        <f ca="1">ROUND(C67*(1-((1+F70)/(1+F68))^F69)/(F68-F70),0)</f>
        <v>-2298</v>
      </c>
      <c r="D68" s="908" t="s">
        <v>758</v>
      </c>
      <c r="E68" s="893" t="s">
        <v>759</v>
      </c>
      <c r="F68" s="303">
        <f ca="1">F40</f>
        <v>5.5E-2</v>
      </c>
      <c r="O68" s="1331" t="s">
        <v>406</v>
      </c>
      <c r="P68" s="1368" t="s">
        <v>871</v>
      </c>
      <c r="Q68" s="1324">
        <f ca="1">ROUND(Q69-Q70*Q71,0)</f>
        <v>3670</v>
      </c>
      <c r="R68" s="1324" t="s">
        <v>414</v>
      </c>
    </row>
    <row r="69" spans="1:18" s="1289" customFormat="1" ht="13.8" thickBot="1">
      <c r="A69" s="894"/>
      <c r="B69" s="895"/>
      <c r="C69" s="297"/>
      <c r="D69" s="913" t="s">
        <v>762</v>
      </c>
      <c r="E69" s="893" t="s">
        <v>763</v>
      </c>
      <c r="F69" s="323">
        <f ca="1">F41</f>
        <v>24.79</v>
      </c>
      <c r="O69" s="1331" t="s">
        <v>411</v>
      </c>
      <c r="P69" s="1368" t="s">
        <v>872</v>
      </c>
      <c r="Q69" s="1324">
        <f ca="1">C39</f>
        <v>5292</v>
      </c>
      <c r="R69" s="1324" t="s">
        <v>818</v>
      </c>
    </row>
    <row r="70" spans="1:18" s="1289" customFormat="1" ht="13.8" thickBot="1">
      <c r="A70" s="897"/>
      <c r="B70" s="898"/>
      <c r="C70" s="301"/>
      <c r="D70" s="909"/>
      <c r="E70" s="893" t="s">
        <v>766</v>
      </c>
      <c r="F70" s="988"/>
      <c r="O70" s="1331" t="s">
        <v>412</v>
      </c>
      <c r="P70" s="1368" t="s">
        <v>873</v>
      </c>
      <c r="Q70" s="1324">
        <f ca="1">C13</f>
        <v>23175</v>
      </c>
      <c r="R70" s="1324" t="s">
        <v>818</v>
      </c>
    </row>
    <row r="71" spans="1:18" s="1289" customFormat="1" ht="13.8" thickBot="1">
      <c r="A71" s="914" t="s">
        <v>396</v>
      </c>
      <c r="B71" s="915" t="s">
        <v>776</v>
      </c>
      <c r="C71" s="326">
        <f ca="1">ROUND(C68*10000/F71,0)</f>
        <v>-694</v>
      </c>
      <c r="D71" s="916" t="s">
        <v>777</v>
      </c>
      <c r="E71" s="917" t="s">
        <v>778</v>
      </c>
      <c r="F71" s="329">
        <f ca="1">F43</f>
        <v>33118.07</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1622</v>
      </c>
      <c r="D75" s="1289"/>
      <c r="E75" s="1289"/>
      <c r="F75" s="1289"/>
      <c r="K75" s="1306"/>
      <c r="L75" s="1289"/>
      <c r="O75" s="1322" t="s">
        <v>409</v>
      </c>
      <c r="P75" s="1323" t="s">
        <v>838</v>
      </c>
      <c r="Q75" s="1324">
        <f ca="1">Q65+Q66</f>
        <v>85688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0.69300000000000006</v>
      </c>
    </row>
    <row r="80" spans="1:18">
      <c r="B80" s="330" t="s">
        <v>800</v>
      </c>
      <c r="C80" s="265">
        <f ca="1">ROUND(C75/C39,3)</f>
        <v>0.307</v>
      </c>
    </row>
    <row r="81" spans="2:3">
      <c r="B81" s="261" t="s">
        <v>801</v>
      </c>
      <c r="C81" s="229"/>
    </row>
    <row r="82" spans="2:3">
      <c r="B82" s="264" t="s">
        <v>802</v>
      </c>
      <c r="C82" s="266">
        <f ca="1">1-C83</f>
        <v>0.73</v>
      </c>
    </row>
    <row r="83" spans="2:3">
      <c r="B83" s="264" t="s">
        <v>803</v>
      </c>
      <c r="C83" s="265">
        <f ca="1">ROUND(C13/C40,3)</f>
        <v>0.27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7A46300-8031-4A63-9C9B-1DD5BDDBF0B5}">
      <formula1>"在建（套用方法）,土地（套用方法）,——"</formula1>
    </dataValidation>
    <dataValidation type="list" allowBlank="1" showInputMessage="1" showErrorMessage="1" sqref="M10 F10 F53" xr:uid="{19AC77D7-58F9-48E9-9D00-4F30129A5EDD}">
      <formula1>"押一,押二,押三,自定义"</formula1>
    </dataValidation>
    <dataValidation type="list" allowBlank="1" showInputMessage="1" showErrorMessage="1" sqref="L55" xr:uid="{68453D85-19DD-4A27-83BD-FB46753845AE}">
      <formula1>"比较法,基准地价,收益还原"</formula1>
    </dataValidation>
    <dataValidation type="list" allowBlank="1" showInputMessage="1" showErrorMessage="1" sqref="J56" xr:uid="{B5D45328-1B37-41D5-A81E-FFA0CE85EB18}">
      <formula1>估价范围判定</formula1>
    </dataValidation>
    <dataValidation type="list" allowBlank="1" showInputMessage="1" showErrorMessage="1" sqref="J48" xr:uid="{277478CD-766D-4C3B-A9F6-C4F4AD27DD07}">
      <formula1>"非生产用房,生产用房,受腐蚀的生产用房"</formula1>
    </dataValidation>
    <dataValidation type="list" allowBlank="1" showInputMessage="1" showErrorMessage="1" sqref="J47" xr:uid="{AA749FBE-FCA5-403D-AAE5-62B40A503127}">
      <formula1>"钢,钢混,砖混"</formula1>
    </dataValidation>
    <dataValidation type="list" allowBlank="1" showInputMessage="1" showErrorMessage="1" sqref="C1" xr:uid="{CE8E8B44-6226-4BBF-9ADF-C87F6C7CC29C}">
      <formula1>项目类型</formula1>
    </dataValidation>
    <dataValidation type="list" allowBlank="1" showInputMessage="1" showErrorMessage="1" sqref="D33 D61" xr:uid="{E68847C5-04CD-4EE2-9856-4D3F21BCA807}">
      <formula1>"按租金收入计税,按房产原值计税,按票据"</formula1>
    </dataValidation>
    <dataValidation type="list" allowBlank="1" showInputMessage="1" showErrorMessage="1" sqref="K19" xr:uid="{48B4B938-79A6-4273-B381-EA9E75EB09F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29" sqref="L2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7"/>
      <c r="G1" s="458"/>
      <c r="H1" s="458"/>
      <c r="I1" s="458"/>
      <c r="J1" s="458"/>
      <c r="K1" s="458"/>
      <c r="L1" s="458"/>
      <c r="M1" s="458"/>
      <c r="N1" s="458"/>
      <c r="O1" s="458"/>
      <c r="P1" s="458"/>
      <c r="Q1" s="458"/>
      <c r="R1" s="458"/>
      <c r="S1" s="458"/>
    </row>
    <row r="2" spans="1:22" ht="15.6">
      <c r="A2" s="1725" t="s">
        <v>1462</v>
      </c>
      <c r="B2" s="808">
        <f ca="1">SUMIF(B6:B13,"&lt;&gt;#ref!",B6:B13)</f>
        <v>100294</v>
      </c>
      <c r="C2" s="1726" t="s">
        <v>1651</v>
      </c>
      <c r="D2" s="1727" t="s">
        <v>1652</v>
      </c>
      <c r="E2" s="2390">
        <f>SUM(E6:E13)</f>
        <v>40045.229999999996</v>
      </c>
      <c r="F2" s="2477"/>
      <c r="G2" s="458"/>
      <c r="H2" s="458"/>
      <c r="I2" s="458"/>
      <c r="J2" s="458"/>
      <c r="K2" s="458"/>
      <c r="L2" s="458"/>
      <c r="M2" s="458"/>
      <c r="N2" s="458"/>
      <c r="O2" s="458"/>
      <c r="P2" s="458"/>
      <c r="Q2" s="458"/>
      <c r="R2" s="458"/>
      <c r="S2" s="458"/>
    </row>
    <row r="3" spans="1:22" ht="15.6">
      <c r="A3" s="1725" t="s">
        <v>686</v>
      </c>
      <c r="B3" s="2384">
        <f ca="1">ROUND(B2*10000/E2,0)</f>
        <v>25045</v>
      </c>
      <c r="C3" s="1726"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1653</v>
      </c>
      <c r="B5" s="3400" t="s">
        <v>1654</v>
      </c>
      <c r="C5" s="3401"/>
      <c r="D5" s="2478"/>
      <c r="E5" s="1728" t="s">
        <v>1655</v>
      </c>
      <c r="F5" s="128" t="s">
        <v>1656</v>
      </c>
      <c r="G5" s="458"/>
      <c r="H5" s="458"/>
      <c r="I5" s="458"/>
      <c r="J5" s="458"/>
      <c r="K5" s="458"/>
      <c r="L5" s="458"/>
      <c r="M5" s="458"/>
      <c r="N5" s="458"/>
      <c r="O5" s="458"/>
      <c r="P5" s="458"/>
      <c r="Q5" s="458"/>
      <c r="R5" s="458"/>
      <c r="S5" s="458"/>
    </row>
    <row r="6" spans="1:22" ht="14.4">
      <c r="A6" s="2387" t="str">
        <f>'数据-取费表'!AN6</f>
        <v>收益法-商业</v>
      </c>
      <c r="B6" s="2385">
        <f ca="1">IF(F6="是",'数据-取费表'!AO6,0)</f>
        <v>12592</v>
      </c>
      <c r="C6" s="1726" t="s">
        <v>1651</v>
      </c>
      <c r="D6" s="2477"/>
      <c r="E6" s="2389">
        <f>IF(OR(A6=0,F6="否"),0,'数据-取费表'!K6+'数据-取费表'!S6)</f>
        <v>6927.16</v>
      </c>
      <c r="F6" s="1729" t="s">
        <v>1657</v>
      </c>
      <c r="G6" s="458"/>
      <c r="H6" s="458"/>
      <c r="I6" s="458"/>
      <c r="J6" s="458"/>
      <c r="K6" s="458"/>
      <c r="L6" s="458"/>
      <c r="M6" s="458"/>
      <c r="N6" s="458"/>
      <c r="O6" s="458"/>
      <c r="P6" s="458"/>
      <c r="Q6" s="458"/>
      <c r="R6" s="458"/>
      <c r="S6" s="458"/>
    </row>
    <row r="7" spans="1:22" ht="14.4">
      <c r="A7" s="2387" t="str">
        <f>'数据-取费表'!AN7</f>
        <v>收益法-办公车库</v>
      </c>
      <c r="B7" s="2385">
        <f ca="1">IF(F7="是",'数据-取费表'!AO7,0)</f>
        <v>87702</v>
      </c>
      <c r="C7" s="1726" t="s">
        <v>1651</v>
      </c>
      <c r="D7" s="2477"/>
      <c r="E7" s="2389">
        <f>IF(OR(A7=0,F7="否"),0,'数据-取费表'!K7+'数据-取费表'!S7)</f>
        <v>33118.07</v>
      </c>
      <c r="F7" s="1729"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估价对象为北京市房地产，为所有。根据《国有土地使用证》[]，估价对象（分摊）出让国有建设用地使用权面积为8274.56平方米，建筑面积为40045.23平方米。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估价对象为北京市房地产,为开发建设的，该项目尚在开发建设中。根据《国有土地使用证》[]，估价对象（分摊）出让国有建设用地使用权面积为8274.56平方米，规划建筑面积为40045.23平方米。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2025年3月21日（评估专业人员实地查勘之日）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29D9-19B6-42FF-9C04-7EB05E313D31}">
  <dimension ref="A1:N53"/>
  <sheetViews>
    <sheetView topLeftCell="A34" zoomScale="85" zoomScaleNormal="85" workbookViewId="0">
      <selection activeCell="H48" sqref="H48"/>
    </sheetView>
  </sheetViews>
  <sheetFormatPr defaultColWidth="9" defaultRowHeight="14.4"/>
  <cols>
    <col min="1" max="1" width="9" style="3161"/>
    <col min="2" max="2" width="30.21875" style="3161" customWidth="1"/>
    <col min="3" max="4" width="15.6640625" style="3161" customWidth="1"/>
    <col min="5" max="5" width="20.6640625" style="3161" customWidth="1"/>
    <col min="6" max="6" width="22.33203125" style="3161" customWidth="1"/>
    <col min="7" max="9" width="15.6640625" style="3161" customWidth="1"/>
    <col min="10" max="10" width="17.33203125" style="3161" customWidth="1"/>
    <col min="11" max="11" width="15.6640625" style="3161" customWidth="1"/>
    <col min="12" max="12" width="16.33203125" style="3161" customWidth="1"/>
    <col min="13" max="14" width="15.6640625" style="3161" customWidth="1"/>
    <col min="15" max="16384" width="9" style="3161"/>
  </cols>
  <sheetData>
    <row r="1" spans="1:14" ht="30" customHeight="1">
      <c r="A1" s="3159"/>
      <c r="B1" s="3159" t="s">
        <v>3454</v>
      </c>
      <c r="C1" s="3159" t="s">
        <v>3455</v>
      </c>
      <c r="D1" s="3159" t="s">
        <v>3456</v>
      </c>
      <c r="E1" s="3159" t="s">
        <v>2534</v>
      </c>
      <c r="F1" s="3159" t="s">
        <v>3457</v>
      </c>
      <c r="G1" s="3159" t="s">
        <v>3458</v>
      </c>
      <c r="H1" s="3159" t="s">
        <v>3459</v>
      </c>
      <c r="I1" s="3159" t="s">
        <v>3460</v>
      </c>
      <c r="J1" s="3159" t="s">
        <v>3461</v>
      </c>
      <c r="K1" s="3159" t="s">
        <v>3462</v>
      </c>
      <c r="L1" s="3159" t="s">
        <v>3463</v>
      </c>
      <c r="M1" s="3160" t="s">
        <v>3464</v>
      </c>
      <c r="N1" s="3159"/>
    </row>
    <row r="2" spans="1:14" ht="30" customHeight="1">
      <c r="A2" s="3159">
        <v>1</v>
      </c>
      <c r="B2" s="3160" t="s">
        <v>3465</v>
      </c>
      <c r="C2" s="3160" t="s">
        <v>3466</v>
      </c>
      <c r="D2" s="3160" t="s">
        <v>3467</v>
      </c>
      <c r="E2" s="3160" t="s">
        <v>3468</v>
      </c>
      <c r="F2" s="3160">
        <v>1726.96</v>
      </c>
      <c r="G2" s="3160" t="s">
        <v>3469</v>
      </c>
      <c r="H2" s="3160" t="s">
        <v>3470</v>
      </c>
      <c r="I2" s="3160" t="s">
        <v>3471</v>
      </c>
      <c r="J2" s="3160" t="s">
        <v>3472</v>
      </c>
      <c r="K2" s="3160" t="s">
        <v>3473</v>
      </c>
      <c r="L2" s="3160" t="s">
        <v>3474</v>
      </c>
      <c r="M2" s="3160">
        <v>7280431</v>
      </c>
      <c r="N2" s="3160" t="s">
        <v>3475</v>
      </c>
    </row>
    <row r="3" spans="1:14" ht="30" customHeight="1">
      <c r="A3" s="3159">
        <v>2</v>
      </c>
      <c r="B3" s="3160" t="s">
        <v>3476</v>
      </c>
      <c r="C3" s="3160" t="s">
        <v>3477</v>
      </c>
      <c r="D3" s="3160" t="s">
        <v>3478</v>
      </c>
      <c r="E3" s="3160" t="s">
        <v>3479</v>
      </c>
      <c r="F3" s="3160">
        <v>767.7</v>
      </c>
      <c r="G3" s="3160" t="s">
        <v>3480</v>
      </c>
      <c r="H3" s="3160" t="s">
        <v>3481</v>
      </c>
      <c r="I3" s="3160" t="s">
        <v>3482</v>
      </c>
      <c r="J3" s="3160" t="s">
        <v>3483</v>
      </c>
      <c r="K3" s="3160" t="s">
        <v>3473</v>
      </c>
      <c r="L3" s="3160" t="s">
        <v>3484</v>
      </c>
      <c r="M3" s="3160">
        <v>4721546.93</v>
      </c>
      <c r="N3" s="3160" t="s">
        <v>3475</v>
      </c>
    </row>
    <row r="4" spans="1:14" ht="30" customHeight="1">
      <c r="A4" s="3159">
        <v>3</v>
      </c>
      <c r="B4" s="3160" t="s">
        <v>3485</v>
      </c>
      <c r="C4" s="3160" t="s">
        <v>3477</v>
      </c>
      <c r="D4" s="3160" t="s">
        <v>3486</v>
      </c>
      <c r="E4" s="3160" t="s">
        <v>3479</v>
      </c>
      <c r="F4" s="3160">
        <v>775.68</v>
      </c>
      <c r="G4" s="3160" t="s">
        <v>3487</v>
      </c>
      <c r="H4" s="3160" t="s">
        <v>3470</v>
      </c>
      <c r="I4" s="3160" t="s">
        <v>3488</v>
      </c>
      <c r="J4" s="3160" t="s">
        <v>3489</v>
      </c>
      <c r="K4" s="3160" t="s">
        <v>3473</v>
      </c>
      <c r="L4" s="3160" t="s">
        <v>3490</v>
      </c>
      <c r="M4" s="3160">
        <v>3907100.16</v>
      </c>
      <c r="N4" s="3160" t="s">
        <v>3475</v>
      </c>
    </row>
    <row r="5" spans="1:14" ht="30" customHeight="1">
      <c r="A5" s="3159">
        <v>4</v>
      </c>
      <c r="B5" s="3160" t="s">
        <v>3491</v>
      </c>
      <c r="C5" s="3160" t="s">
        <v>3477</v>
      </c>
      <c r="D5" s="3160" t="s">
        <v>3492</v>
      </c>
      <c r="E5" s="3160" t="s">
        <v>3479</v>
      </c>
      <c r="F5" s="3160">
        <v>161.69999999999999</v>
      </c>
      <c r="G5" s="3160" t="s">
        <v>3493</v>
      </c>
      <c r="H5" s="3160" t="s">
        <v>3481</v>
      </c>
      <c r="I5" s="3160" t="s">
        <v>3494</v>
      </c>
      <c r="J5" s="3160" t="s">
        <v>3495</v>
      </c>
      <c r="K5" s="3160" t="s">
        <v>3496</v>
      </c>
      <c r="L5" s="3160"/>
      <c r="M5" s="3160">
        <v>79175.399999999994</v>
      </c>
      <c r="N5" s="3160" t="s">
        <v>3475</v>
      </c>
    </row>
    <row r="6" spans="1:14" ht="30" customHeight="1">
      <c r="A6" s="3159"/>
      <c r="B6" s="3160" t="s">
        <v>3497</v>
      </c>
      <c r="C6" s="3160" t="s">
        <v>3498</v>
      </c>
      <c r="D6" s="3160" t="s">
        <v>3499</v>
      </c>
      <c r="E6" s="3160" t="s">
        <v>2803</v>
      </c>
      <c r="F6" s="3160">
        <v>331</v>
      </c>
      <c r="G6" s="3160" t="s">
        <v>3500</v>
      </c>
      <c r="H6" s="3160" t="s">
        <v>3470</v>
      </c>
      <c r="I6" s="3160" t="s">
        <v>3501</v>
      </c>
      <c r="J6" s="3160" t="s">
        <v>3502</v>
      </c>
      <c r="K6" s="3160" t="s">
        <v>3503</v>
      </c>
      <c r="L6" s="3160" t="s">
        <v>3473</v>
      </c>
      <c r="M6" s="3160">
        <v>579912</v>
      </c>
      <c r="N6" s="3160" t="s">
        <v>3475</v>
      </c>
    </row>
    <row r="7" spans="1:14" ht="30" customHeight="1">
      <c r="A7" s="3159"/>
      <c r="B7" s="3160" t="s">
        <v>3497</v>
      </c>
      <c r="C7" s="3160" t="s">
        <v>3498</v>
      </c>
      <c r="D7" s="3160">
        <v>5009</v>
      </c>
      <c r="E7" s="3160" t="s">
        <v>2803</v>
      </c>
      <c r="F7" s="3160">
        <v>215</v>
      </c>
      <c r="G7" s="3160" t="s">
        <v>3504</v>
      </c>
      <c r="H7" s="3160" t="s">
        <v>3470</v>
      </c>
      <c r="I7" s="3160" t="s">
        <v>3505</v>
      </c>
      <c r="J7" s="3160" t="s">
        <v>3506</v>
      </c>
      <c r="K7" s="3160" t="s">
        <v>3507</v>
      </c>
      <c r="L7" s="3160" t="s">
        <v>3473</v>
      </c>
      <c r="M7" s="3160">
        <v>489555</v>
      </c>
      <c r="N7" s="3160" t="s">
        <v>3475</v>
      </c>
    </row>
    <row r="8" spans="1:14" ht="30" customHeight="1">
      <c r="A8" s="3159">
        <v>5</v>
      </c>
      <c r="B8" s="3160" t="s">
        <v>3508</v>
      </c>
      <c r="C8" s="3160" t="s">
        <v>3509</v>
      </c>
      <c r="D8" s="3160" t="s">
        <v>3510</v>
      </c>
      <c r="E8" s="3160" t="s">
        <v>2803</v>
      </c>
      <c r="F8" s="3160">
        <v>9827.11</v>
      </c>
      <c r="G8" s="3160" t="s">
        <v>3511</v>
      </c>
      <c r="H8" s="3160" t="s">
        <v>3470</v>
      </c>
      <c r="I8" s="3160" t="s">
        <v>3512</v>
      </c>
      <c r="J8" s="3160" t="s">
        <v>3513</v>
      </c>
      <c r="K8" s="3160" t="s">
        <v>3514</v>
      </c>
      <c r="L8" s="3160" t="s">
        <v>3473</v>
      </c>
      <c r="M8" s="3160">
        <v>41347966.689999998</v>
      </c>
      <c r="N8" s="3160" t="s">
        <v>3475</v>
      </c>
    </row>
    <row r="9" spans="1:14" ht="30" customHeight="1">
      <c r="A9" s="3159">
        <v>6</v>
      </c>
      <c r="B9" s="3160" t="s">
        <v>3515</v>
      </c>
      <c r="C9" s="3160" t="s">
        <v>3516</v>
      </c>
      <c r="D9" s="3160" t="s">
        <v>3517</v>
      </c>
      <c r="E9" s="3160" t="s">
        <v>2803</v>
      </c>
      <c r="F9" s="3160">
        <v>130</v>
      </c>
      <c r="G9" s="3160" t="s">
        <v>3518</v>
      </c>
      <c r="H9" s="3160" t="s">
        <v>3470</v>
      </c>
      <c r="I9" s="3160" t="s">
        <v>3519</v>
      </c>
      <c r="J9" s="3160" t="s">
        <v>3520</v>
      </c>
      <c r="K9" s="3160" t="s">
        <v>3473</v>
      </c>
      <c r="L9" s="3160" t="s">
        <v>3473</v>
      </c>
      <c r="M9" s="3160">
        <v>370263.3</v>
      </c>
      <c r="N9" s="3160" t="s">
        <v>3475</v>
      </c>
    </row>
    <row r="10" spans="1:14" ht="30" customHeight="1">
      <c r="A10" s="3159">
        <v>7</v>
      </c>
      <c r="B10" s="3160" t="s">
        <v>3521</v>
      </c>
      <c r="C10" s="3160" t="s">
        <v>3516</v>
      </c>
      <c r="D10" s="3160" t="s">
        <v>3522</v>
      </c>
      <c r="E10" s="3160" t="s">
        <v>2803</v>
      </c>
      <c r="F10" s="3160">
        <v>201.24</v>
      </c>
      <c r="G10" s="3160" t="s">
        <v>3523</v>
      </c>
      <c r="H10" s="3160" t="s">
        <v>3470</v>
      </c>
      <c r="I10" s="3160" t="s">
        <v>3519</v>
      </c>
      <c r="J10" s="3160" t="s">
        <v>3520</v>
      </c>
      <c r="K10" s="3160" t="s">
        <v>3473</v>
      </c>
      <c r="L10" s="3160" t="s">
        <v>3473</v>
      </c>
      <c r="M10" s="3160">
        <v>440715.6</v>
      </c>
      <c r="N10" s="3160" t="s">
        <v>3475</v>
      </c>
    </row>
    <row r="11" spans="1:14" ht="30" customHeight="1">
      <c r="A11" s="3159">
        <v>8</v>
      </c>
      <c r="B11" s="3160" t="s">
        <v>3524</v>
      </c>
      <c r="C11" s="3160" t="s">
        <v>3516</v>
      </c>
      <c r="D11" s="3160" t="s">
        <v>3525</v>
      </c>
      <c r="E11" s="3160" t="s">
        <v>2803</v>
      </c>
      <c r="F11" s="3160">
        <v>48.38</v>
      </c>
      <c r="G11" s="3160" t="s">
        <v>3526</v>
      </c>
      <c r="H11" s="3160" t="s">
        <v>3470</v>
      </c>
      <c r="I11" s="3160" t="s">
        <v>3519</v>
      </c>
      <c r="J11" s="3160" t="s">
        <v>3520</v>
      </c>
      <c r="K11" s="3160" t="s">
        <v>3473</v>
      </c>
      <c r="L11" s="3160" t="s">
        <v>3473</v>
      </c>
      <c r="M11" s="3160">
        <v>105952.2</v>
      </c>
      <c r="N11" s="3160" t="s">
        <v>3475</v>
      </c>
    </row>
    <row r="12" spans="1:14" ht="30" customHeight="1">
      <c r="A12" s="3159">
        <v>9</v>
      </c>
      <c r="B12" s="3160" t="s">
        <v>3527</v>
      </c>
      <c r="C12" s="3160" t="s">
        <v>3516</v>
      </c>
      <c r="D12" s="3160" t="s">
        <v>3528</v>
      </c>
      <c r="E12" s="3160" t="s">
        <v>2803</v>
      </c>
      <c r="F12" s="3160">
        <v>40.65</v>
      </c>
      <c r="G12" s="3160" t="s">
        <v>3529</v>
      </c>
      <c r="H12" s="3160" t="s">
        <v>3470</v>
      </c>
      <c r="I12" s="3160" t="s">
        <v>3519</v>
      </c>
      <c r="J12" s="3160" t="s">
        <v>3520</v>
      </c>
      <c r="K12" s="3160" t="s">
        <v>3473</v>
      </c>
      <c r="L12" s="3160" t="s">
        <v>3473</v>
      </c>
      <c r="M12" s="3160">
        <v>89023.5</v>
      </c>
      <c r="N12" s="3160" t="s">
        <v>3475</v>
      </c>
    </row>
    <row r="13" spans="1:14" ht="30" customHeight="1">
      <c r="A13" s="3159">
        <v>10</v>
      </c>
      <c r="B13" s="3160" t="s">
        <v>3530</v>
      </c>
      <c r="C13" s="3160" t="s">
        <v>3516</v>
      </c>
      <c r="D13" s="3160" t="s">
        <v>3531</v>
      </c>
      <c r="E13" s="3160" t="s">
        <v>2803</v>
      </c>
      <c r="F13" s="3160">
        <v>43.6</v>
      </c>
      <c r="G13" s="3160" t="s">
        <v>3532</v>
      </c>
      <c r="H13" s="3160" t="s">
        <v>3470</v>
      </c>
      <c r="I13" s="3160" t="s">
        <v>3519</v>
      </c>
      <c r="J13" s="3160" t="s">
        <v>3520</v>
      </c>
      <c r="K13" s="3160" t="s">
        <v>3473</v>
      </c>
      <c r="L13" s="3160" t="s">
        <v>3473</v>
      </c>
      <c r="M13" s="3160">
        <v>95484</v>
      </c>
      <c r="N13" s="3160" t="s">
        <v>3475</v>
      </c>
    </row>
    <row r="14" spans="1:14" ht="30" customHeight="1">
      <c r="A14" s="3159">
        <v>11</v>
      </c>
      <c r="B14" s="3160" t="s">
        <v>3533</v>
      </c>
      <c r="C14" s="3160" t="s">
        <v>3516</v>
      </c>
      <c r="D14" s="3160" t="s">
        <v>3534</v>
      </c>
      <c r="E14" s="3160" t="s">
        <v>2803</v>
      </c>
      <c r="F14" s="3160">
        <v>40.08</v>
      </c>
      <c r="G14" s="3160" t="s">
        <v>3535</v>
      </c>
      <c r="H14" s="3160" t="s">
        <v>3470</v>
      </c>
      <c r="I14" s="3160" t="s">
        <v>3519</v>
      </c>
      <c r="J14" s="3160" t="s">
        <v>3520</v>
      </c>
      <c r="K14" s="3160" t="s">
        <v>3473</v>
      </c>
      <c r="L14" s="3160" t="s">
        <v>3473</v>
      </c>
      <c r="M14" s="3160">
        <v>87775.2</v>
      </c>
      <c r="N14" s="3160" t="s">
        <v>3475</v>
      </c>
    </row>
    <row r="15" spans="1:14" ht="30" customHeight="1">
      <c r="A15" s="3159">
        <v>12</v>
      </c>
      <c r="B15" s="3160" t="s">
        <v>3536</v>
      </c>
      <c r="C15" s="3160" t="s">
        <v>3516</v>
      </c>
      <c r="D15" s="3160" t="s">
        <v>3537</v>
      </c>
      <c r="E15" s="3160" t="s">
        <v>2803</v>
      </c>
      <c r="F15" s="3160">
        <v>119.9</v>
      </c>
      <c r="G15" s="3160" t="s">
        <v>3538</v>
      </c>
      <c r="H15" s="3160" t="s">
        <v>3470</v>
      </c>
      <c r="I15" s="3160" t="s">
        <v>3519</v>
      </c>
      <c r="J15" s="3160" t="s">
        <v>3520</v>
      </c>
      <c r="K15" s="3160" t="s">
        <v>3473</v>
      </c>
      <c r="L15" s="3160" t="s">
        <v>3473</v>
      </c>
      <c r="M15" s="3160">
        <v>262581</v>
      </c>
      <c r="N15" s="3160" t="s">
        <v>3475</v>
      </c>
    </row>
    <row r="16" spans="1:14" ht="30" customHeight="1">
      <c r="A16" s="3159">
        <v>13</v>
      </c>
      <c r="B16" s="3160" t="s">
        <v>3539</v>
      </c>
      <c r="C16" s="3160" t="s">
        <v>3516</v>
      </c>
      <c r="D16" s="3160" t="s">
        <v>3540</v>
      </c>
      <c r="E16" s="3160" t="s">
        <v>2803</v>
      </c>
      <c r="F16" s="3160">
        <v>320.83999999999997</v>
      </c>
      <c r="G16" s="3160" t="s">
        <v>3541</v>
      </c>
      <c r="H16" s="3160" t="s">
        <v>3470</v>
      </c>
      <c r="I16" s="3160" t="s">
        <v>3519</v>
      </c>
      <c r="J16" s="3160" t="s">
        <v>3542</v>
      </c>
      <c r="K16" s="3160" t="s">
        <v>3473</v>
      </c>
      <c r="L16" s="3160" t="s">
        <v>3473</v>
      </c>
      <c r="M16" s="3160">
        <v>702639.6</v>
      </c>
      <c r="N16" s="3160" t="s">
        <v>3475</v>
      </c>
    </row>
    <row r="17" spans="1:14" ht="30" customHeight="1">
      <c r="A17" s="3159">
        <v>14</v>
      </c>
      <c r="B17" s="3160" t="s">
        <v>3543</v>
      </c>
      <c r="C17" s="3160" t="s">
        <v>3544</v>
      </c>
      <c r="D17" s="3160" t="s">
        <v>3545</v>
      </c>
      <c r="E17" s="3160" t="s">
        <v>2803</v>
      </c>
      <c r="F17" s="3160">
        <v>300</v>
      </c>
      <c r="G17" s="3160" t="s">
        <v>3546</v>
      </c>
      <c r="H17" s="3160" t="s">
        <v>3470</v>
      </c>
      <c r="I17" s="3160" t="s">
        <v>3519</v>
      </c>
      <c r="J17" s="3160" t="s">
        <v>3547</v>
      </c>
      <c r="K17" s="3160" t="s">
        <v>3473</v>
      </c>
      <c r="L17" s="3160" t="s">
        <v>3473</v>
      </c>
      <c r="M17" s="3160">
        <v>651600</v>
      </c>
      <c r="N17" s="3160" t="s">
        <v>3475</v>
      </c>
    </row>
    <row r="18" spans="1:14" ht="30" customHeight="1">
      <c r="A18" s="3159">
        <v>15</v>
      </c>
      <c r="B18" s="3160" t="s">
        <v>3548</v>
      </c>
      <c r="C18" s="3160" t="s">
        <v>3549</v>
      </c>
      <c r="D18" s="3160">
        <v>-102</v>
      </c>
      <c r="E18" s="3160" t="s">
        <v>3550</v>
      </c>
      <c r="F18" s="3160">
        <v>2200</v>
      </c>
      <c r="G18" s="3160" t="s">
        <v>3551</v>
      </c>
      <c r="H18" s="3160" t="s">
        <v>3552</v>
      </c>
      <c r="I18" s="3160" t="s">
        <v>3553</v>
      </c>
      <c r="J18" s="3160" t="s">
        <v>3520</v>
      </c>
      <c r="K18" s="3160" t="s">
        <v>3554</v>
      </c>
      <c r="L18" s="3160" t="s">
        <v>3473</v>
      </c>
      <c r="M18" s="3160">
        <v>1686300</v>
      </c>
      <c r="N18" s="3160" t="s">
        <v>3475</v>
      </c>
    </row>
    <row r="19" spans="1:14" ht="30" customHeight="1">
      <c r="A19" s="3159">
        <v>16</v>
      </c>
      <c r="B19" s="3160" t="s">
        <v>3555</v>
      </c>
      <c r="C19" s="3160" t="s">
        <v>3498</v>
      </c>
      <c r="D19" s="3160">
        <v>5001</v>
      </c>
      <c r="E19" s="3160" t="s">
        <v>2803</v>
      </c>
      <c r="F19" s="3160">
        <v>9</v>
      </c>
      <c r="G19" s="3160" t="s">
        <v>3556</v>
      </c>
      <c r="H19" s="3160" t="s">
        <v>3470</v>
      </c>
      <c r="I19" s="3161" t="s">
        <v>3557</v>
      </c>
      <c r="J19" s="3160" t="s">
        <v>3558</v>
      </c>
      <c r="K19" s="3160" t="s">
        <v>3559</v>
      </c>
      <c r="L19" s="3160" t="s">
        <v>3473</v>
      </c>
      <c r="M19" s="3160">
        <v>39584.25</v>
      </c>
      <c r="N19" s="3160" t="s">
        <v>3475</v>
      </c>
    </row>
    <row r="20" spans="1:14" ht="30" customHeight="1">
      <c r="A20" s="3159">
        <v>17</v>
      </c>
      <c r="B20" s="3160" t="s">
        <v>3560</v>
      </c>
      <c r="C20" s="3160" t="s">
        <v>3498</v>
      </c>
      <c r="D20" s="3160" t="s">
        <v>3561</v>
      </c>
      <c r="E20" s="3160" t="s">
        <v>2803</v>
      </c>
      <c r="F20" s="3160">
        <v>41</v>
      </c>
      <c r="G20" s="3160" t="s">
        <v>3562</v>
      </c>
      <c r="H20" s="3160" t="s">
        <v>3470</v>
      </c>
      <c r="I20" s="3160" t="s">
        <v>3563</v>
      </c>
      <c r="J20" s="3160" t="s">
        <v>3564</v>
      </c>
      <c r="K20" s="3160" t="s">
        <v>3565</v>
      </c>
      <c r="L20" s="3160" t="s">
        <v>3473</v>
      </c>
      <c r="M20" s="3160">
        <v>120000</v>
      </c>
      <c r="N20" s="3160" t="s">
        <v>3475</v>
      </c>
    </row>
    <row r="21" spans="1:14" ht="30" customHeight="1">
      <c r="A21" s="3159">
        <v>18</v>
      </c>
      <c r="B21" s="3160" t="s">
        <v>3566</v>
      </c>
      <c r="C21" s="3160" t="s">
        <v>3498</v>
      </c>
      <c r="D21" s="3160">
        <v>5003</v>
      </c>
      <c r="E21" s="3160" t="s">
        <v>2803</v>
      </c>
      <c r="F21" s="3160">
        <v>30</v>
      </c>
      <c r="G21" s="3160" t="s">
        <v>3567</v>
      </c>
      <c r="H21" s="3160" t="s">
        <v>3470</v>
      </c>
      <c r="I21" s="3160" t="s">
        <v>3568</v>
      </c>
      <c r="J21" s="3160" t="s">
        <v>3569</v>
      </c>
      <c r="K21" s="3160" t="s">
        <v>3570</v>
      </c>
      <c r="L21" s="3160" t="s">
        <v>3473</v>
      </c>
      <c r="M21" s="3160">
        <v>69313.5</v>
      </c>
      <c r="N21" s="3160" t="s">
        <v>3475</v>
      </c>
    </row>
    <row r="22" spans="1:14" ht="28.8">
      <c r="A22" s="3162">
        <v>19</v>
      </c>
      <c r="B22" s="3163" t="s">
        <v>3571</v>
      </c>
      <c r="C22" s="3163" t="s">
        <v>3498</v>
      </c>
      <c r="D22" s="3163">
        <v>5005</v>
      </c>
      <c r="E22" s="3163" t="s">
        <v>2803</v>
      </c>
      <c r="F22" s="3163">
        <v>35</v>
      </c>
      <c r="G22" s="3163" t="s">
        <v>3572</v>
      </c>
      <c r="H22" s="3163" t="s">
        <v>3470</v>
      </c>
      <c r="I22" s="3163" t="s">
        <v>3568</v>
      </c>
      <c r="J22" s="3163" t="s">
        <v>3569</v>
      </c>
      <c r="K22" s="3163" t="s">
        <v>3573</v>
      </c>
      <c r="L22" s="3163" t="s">
        <v>3473</v>
      </c>
      <c r="M22" s="3163">
        <v>80865.75</v>
      </c>
      <c r="N22" s="3163" t="s">
        <v>3475</v>
      </c>
    </row>
    <row r="23" spans="1:14" s="3162" customFormat="1" ht="28.8">
      <c r="A23" s="3162">
        <v>20</v>
      </c>
      <c r="B23" s="3162" t="s">
        <v>3574</v>
      </c>
      <c r="C23" s="3162" t="s">
        <v>3544</v>
      </c>
      <c r="D23" s="3162">
        <v>1401</v>
      </c>
      <c r="E23" s="3162" t="s">
        <v>2803</v>
      </c>
      <c r="F23" s="3162">
        <v>523.74</v>
      </c>
      <c r="G23" s="3162" t="s">
        <v>3575</v>
      </c>
      <c r="H23" s="3163" t="s">
        <v>3470</v>
      </c>
      <c r="I23" s="3163" t="s">
        <v>3576</v>
      </c>
      <c r="J23" s="3163" t="s">
        <v>3577</v>
      </c>
      <c r="K23" s="3162" t="s">
        <v>3578</v>
      </c>
      <c r="L23" s="3162" t="s">
        <v>3473</v>
      </c>
      <c r="M23" s="3163">
        <v>1051408.05</v>
      </c>
      <c r="N23" s="3163" t="s">
        <v>3475</v>
      </c>
    </row>
    <row r="24" spans="1:14" s="3159" customFormat="1" ht="28.8">
      <c r="A24" s="3159">
        <v>21</v>
      </c>
      <c r="B24" s="3159" t="s">
        <v>3579</v>
      </c>
      <c r="C24" s="3159" t="s">
        <v>3498</v>
      </c>
      <c r="D24" s="3159">
        <v>5008</v>
      </c>
      <c r="E24" s="3159" t="s">
        <v>2803</v>
      </c>
      <c r="F24" s="3159">
        <v>76</v>
      </c>
      <c r="G24" s="3159" t="s">
        <v>3580</v>
      </c>
      <c r="H24" s="3160" t="s">
        <v>3470</v>
      </c>
      <c r="I24" s="3160" t="s">
        <v>3581</v>
      </c>
      <c r="J24" s="3160" t="s">
        <v>3582</v>
      </c>
      <c r="K24" s="3159" t="s">
        <v>3583</v>
      </c>
      <c r="L24" s="3159" t="s">
        <v>3473</v>
      </c>
      <c r="M24" s="3160">
        <v>192660</v>
      </c>
      <c r="N24" s="3160" t="s">
        <v>3475</v>
      </c>
    </row>
    <row r="25" spans="1:14" s="3159" customFormat="1" ht="28.8">
      <c r="A25" s="3159">
        <v>22</v>
      </c>
      <c r="B25" s="3159" t="s">
        <v>3584</v>
      </c>
      <c r="C25" s="3159" t="s">
        <v>3498</v>
      </c>
      <c r="D25" s="3160" t="s">
        <v>3585</v>
      </c>
      <c r="E25" s="3159" t="s">
        <v>2803</v>
      </c>
      <c r="F25" s="3159">
        <v>208.89</v>
      </c>
      <c r="G25" s="3159" t="s">
        <v>3586</v>
      </c>
      <c r="H25" s="3160" t="s">
        <v>3470</v>
      </c>
      <c r="I25" s="3160" t="s">
        <v>3587</v>
      </c>
      <c r="J25" s="3160" t="s">
        <v>3588</v>
      </c>
      <c r="K25" s="3159" t="s">
        <v>3589</v>
      </c>
      <c r="L25" s="3159" t="s">
        <v>3473</v>
      </c>
      <c r="M25" s="3160">
        <v>369108.63</v>
      </c>
      <c r="N25" s="3160" t="s">
        <v>3475</v>
      </c>
    </row>
    <row r="26" spans="1:14" s="3159" customFormat="1" ht="28.8">
      <c r="A26" s="3159">
        <v>23</v>
      </c>
      <c r="B26" s="3159" t="s">
        <v>3560</v>
      </c>
      <c r="C26" s="3159" t="s">
        <v>3477</v>
      </c>
      <c r="D26" s="3159">
        <v>12</v>
      </c>
      <c r="E26" s="3159" t="s">
        <v>3479</v>
      </c>
      <c r="F26" s="3159">
        <v>60</v>
      </c>
      <c r="G26" s="3159" t="s">
        <v>3590</v>
      </c>
      <c r="H26" s="3160" t="s">
        <v>3591</v>
      </c>
      <c r="I26" s="3160" t="s">
        <v>3592</v>
      </c>
      <c r="J26" s="3160" t="s">
        <v>3593</v>
      </c>
      <c r="K26" s="3159" t="s">
        <v>3594</v>
      </c>
      <c r="L26" s="3159" t="s">
        <v>3473</v>
      </c>
      <c r="M26" s="3160">
        <v>10800</v>
      </c>
      <c r="N26" s="3160" t="s">
        <v>3475</v>
      </c>
    </row>
    <row r="27" spans="1:14" s="3159" customFormat="1" ht="28.8">
      <c r="A27" s="3159">
        <v>24</v>
      </c>
      <c r="B27" s="3159" t="s">
        <v>3595</v>
      </c>
      <c r="C27" s="3159" t="s">
        <v>3596</v>
      </c>
      <c r="D27" s="3159">
        <v>3002</v>
      </c>
      <c r="E27" s="3159" t="s">
        <v>2803</v>
      </c>
      <c r="F27" s="3159">
        <v>59.6</v>
      </c>
      <c r="G27" s="3159" t="s">
        <v>3597</v>
      </c>
      <c r="H27" s="3159" t="s">
        <v>3598</v>
      </c>
      <c r="I27" s="3160" t="s">
        <v>3599</v>
      </c>
      <c r="J27" s="3160" t="s">
        <v>3600</v>
      </c>
      <c r="K27" s="3159" t="s">
        <v>3601</v>
      </c>
      <c r="L27" s="3159" t="s">
        <v>3473</v>
      </c>
      <c r="M27" s="3160">
        <v>178500</v>
      </c>
      <c r="N27" s="3160" t="s">
        <v>3475</v>
      </c>
    </row>
    <row r="28" spans="1:14" s="3159" customFormat="1" ht="28.8">
      <c r="A28" s="3159">
        <v>25</v>
      </c>
      <c r="B28" s="3159" t="s">
        <v>3602</v>
      </c>
      <c r="C28" s="3159" t="s">
        <v>3596</v>
      </c>
      <c r="D28" s="3159">
        <v>3005</v>
      </c>
      <c r="E28" s="3159" t="s">
        <v>2803</v>
      </c>
      <c r="F28" s="3159">
        <v>59.6</v>
      </c>
      <c r="G28" s="3159" t="s">
        <v>3597</v>
      </c>
      <c r="H28" s="3159" t="s">
        <v>3470</v>
      </c>
      <c r="I28" s="3160" t="s">
        <v>3599</v>
      </c>
      <c r="J28" s="3160" t="s">
        <v>3600</v>
      </c>
      <c r="K28" s="3159" t="s">
        <v>3601</v>
      </c>
      <c r="L28" s="3159" t="s">
        <v>3473</v>
      </c>
      <c r="M28" s="3160">
        <v>178500</v>
      </c>
      <c r="N28" s="3160" t="s">
        <v>3475</v>
      </c>
    </row>
    <row r="29" spans="1:14" s="3159" customFormat="1" ht="28.8">
      <c r="A29" s="3159">
        <v>26</v>
      </c>
      <c r="B29" s="3159" t="s">
        <v>3603</v>
      </c>
      <c r="C29" s="3159" t="s">
        <v>3604</v>
      </c>
      <c r="D29" s="3159">
        <v>5002</v>
      </c>
      <c r="E29" s="3159" t="s">
        <v>2803</v>
      </c>
      <c r="F29" s="3159">
        <v>36</v>
      </c>
      <c r="G29" s="3159" t="s">
        <v>3605</v>
      </c>
      <c r="H29" s="3159" t="s">
        <v>3470</v>
      </c>
      <c r="I29" s="3160" t="s">
        <v>3606</v>
      </c>
      <c r="J29" s="3160" t="s">
        <v>3607</v>
      </c>
      <c r="K29" s="3159" t="s">
        <v>3608</v>
      </c>
      <c r="L29" s="3159" t="s">
        <v>3473</v>
      </c>
      <c r="M29" s="3160">
        <v>151200</v>
      </c>
      <c r="N29" s="3160" t="s">
        <v>3475</v>
      </c>
    </row>
    <row r="30" spans="1:14" s="3159" customFormat="1">
      <c r="A30" s="3159" t="s">
        <v>3609</v>
      </c>
      <c r="F30" s="3159">
        <f>SUM(F2:F29)</f>
        <v>18388.669999999995</v>
      </c>
      <c r="M30" s="3159">
        <f>SUM(M2:M29)</f>
        <v>65339961.760000005</v>
      </c>
    </row>
    <row r="32" spans="1:14">
      <c r="F32" s="3161" t="s">
        <v>3610</v>
      </c>
      <c r="G32" s="3161">
        <f>'数据-汇总表'!F19+'数据-汇总表'!F20+'数据-汇总表'!G19-台账!F30-台账!G33</f>
        <v>12694.52</v>
      </c>
      <c r="H32" s="3161">
        <v>7.5</v>
      </c>
      <c r="I32" s="3161">
        <f>H32*G32*365</f>
        <v>34751248.5</v>
      </c>
    </row>
    <row r="33" spans="6:9">
      <c r="F33" s="3161" t="s">
        <v>3611</v>
      </c>
      <c r="G33" s="3161">
        <f>'数据-汇总表'!G19-台账!F18</f>
        <v>2397.0699999999997</v>
      </c>
      <c r="H33" s="3161">
        <v>2.4</v>
      </c>
      <c r="I33" s="3161">
        <f>H33*G33*365</f>
        <v>2099833.3199999998</v>
      </c>
    </row>
    <row r="34" spans="6:9">
      <c r="I34" s="3161">
        <f>M30</f>
        <v>65339961.760000005</v>
      </c>
    </row>
    <row r="35" spans="6:9">
      <c r="G35" s="3165">
        <f>'数据-汇总表'!E3</f>
        <v>40045.229999999996</v>
      </c>
      <c r="H35" s="3161">
        <f>I35/G35/365</f>
        <v>6.9914809295142959</v>
      </c>
      <c r="I35" s="3161">
        <f>SUM(I32:I34)</f>
        <v>102191043.58000001</v>
      </c>
    </row>
    <row r="39" spans="6:9">
      <c r="G39" s="3161" t="s">
        <v>3383</v>
      </c>
      <c r="H39" s="3161" t="s">
        <v>654</v>
      </c>
    </row>
    <row r="40" spans="6:9">
      <c r="F40" s="3161" t="s">
        <v>3612</v>
      </c>
      <c r="G40" s="3161">
        <f>'数据-汇总表'!F19</f>
        <v>2330.09</v>
      </c>
      <c r="H40" s="3161">
        <v>12</v>
      </c>
      <c r="I40" s="3161">
        <f>H40*G40*365</f>
        <v>10205794.200000001</v>
      </c>
    </row>
    <row r="41" spans="6:9">
      <c r="F41" s="3161" t="s">
        <v>3550</v>
      </c>
      <c r="G41" s="3161">
        <f>'数据-汇总表'!G19</f>
        <v>4597.07</v>
      </c>
      <c r="H41" s="3161">
        <f>H40*0.2</f>
        <v>2.4000000000000004</v>
      </c>
      <c r="I41" s="3161">
        <f t="shared" ref="I41:I43" si="0">H41*G41*365</f>
        <v>4027033.3200000003</v>
      </c>
    </row>
    <row r="42" spans="6:9">
      <c r="F42" s="3161" t="s">
        <v>2803</v>
      </c>
      <c r="G42" s="3161">
        <f>'数据-汇总表'!F20</f>
        <v>26553.1</v>
      </c>
      <c r="H42" s="3161">
        <v>7.5</v>
      </c>
      <c r="I42" s="3161">
        <f t="shared" si="0"/>
        <v>72689111.25</v>
      </c>
    </row>
    <row r="43" spans="6:9">
      <c r="F43" s="3161" t="s">
        <v>3613</v>
      </c>
      <c r="G43" s="3161">
        <f>'数据-汇总表'!G20</f>
        <v>6564.97</v>
      </c>
      <c r="H43" s="3161">
        <v>0.5</v>
      </c>
      <c r="I43" s="3161">
        <f t="shared" si="0"/>
        <v>1198107.0250000001</v>
      </c>
    </row>
    <row r="44" spans="6:9">
      <c r="G44" s="3161">
        <f>SUM(G40:G43)</f>
        <v>40045.229999999996</v>
      </c>
      <c r="H44" s="3161">
        <f>I44/G44/365</f>
        <v>6.028802506565702</v>
      </c>
      <c r="I44" s="3161">
        <f>SUM(I40:I43)</f>
        <v>88120045.795000002</v>
      </c>
    </row>
    <row r="47" spans="6:9">
      <c r="F47" s="3161" t="s">
        <v>2803</v>
      </c>
      <c r="G47" s="3161">
        <f>G42</f>
        <v>26553.1</v>
      </c>
      <c r="H47" s="3161">
        <f>H42</f>
        <v>7.5</v>
      </c>
      <c r="I47" s="3161">
        <f t="shared" ref="I47:I48" si="1">H47*G47*365</f>
        <v>72689111.25</v>
      </c>
    </row>
    <row r="48" spans="6:9">
      <c r="F48" s="3161" t="s">
        <v>3613</v>
      </c>
      <c r="G48" s="3161">
        <f>G43</f>
        <v>6564.97</v>
      </c>
      <c r="H48" s="3161">
        <v>0.5</v>
      </c>
      <c r="I48" s="3161">
        <f t="shared" si="1"/>
        <v>1198107.0250000001</v>
      </c>
    </row>
    <row r="49" spans="6:9">
      <c r="G49" s="3161">
        <f>SUM(G47:G48)</f>
        <v>33118.07</v>
      </c>
      <c r="H49" s="3161">
        <f>I49/G49/365</f>
        <v>6.112395287527324</v>
      </c>
      <c r="I49" s="3161">
        <f>SUM(I47:I48)</f>
        <v>73887218.275000006</v>
      </c>
    </row>
    <row r="51" spans="6:9">
      <c r="F51" s="3161" t="s">
        <v>3612</v>
      </c>
      <c r="G51" s="3161">
        <f>G40</f>
        <v>2330.09</v>
      </c>
      <c r="H51" s="3161">
        <v>12</v>
      </c>
      <c r="I51" s="3161">
        <f>H51*G51*365</f>
        <v>10205794.200000001</v>
      </c>
    </row>
    <row r="52" spans="6:9">
      <c r="F52" s="3161" t="s">
        <v>3550</v>
      </c>
      <c r="G52" s="3161">
        <f>G41</f>
        <v>4597.07</v>
      </c>
      <c r="H52" s="3161">
        <f>H51*0.2</f>
        <v>2.4000000000000004</v>
      </c>
      <c r="I52" s="3161">
        <f t="shared" ref="I52" si="2">H52*G52*365</f>
        <v>4027033.3200000003</v>
      </c>
    </row>
    <row r="53" spans="6:9">
      <c r="G53" s="3161">
        <f>SUM(G51:G52)</f>
        <v>6927.16</v>
      </c>
      <c r="H53" s="3161">
        <f>I53/G53/365</f>
        <v>5.6291536502693758</v>
      </c>
      <c r="I53" s="3161">
        <f>SUM(I51:I52)</f>
        <v>14232827.520000001</v>
      </c>
    </row>
  </sheetData>
  <phoneticPr fontId="13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8A7D-99AC-40DF-A1EE-B97014DF6FCE}">
  <dimension ref="A68:D98"/>
  <sheetViews>
    <sheetView topLeftCell="A76" zoomScale="70" zoomScaleNormal="70" workbookViewId="0">
      <selection activeCell="D98" sqref="D98"/>
    </sheetView>
  </sheetViews>
  <sheetFormatPr defaultRowHeight="14.4"/>
  <sheetData>
    <row r="68" spans="1:1" ht="25.8">
      <c r="A68" s="3164" t="s">
        <v>3479</v>
      </c>
    </row>
    <row r="98" spans="4:4">
      <c r="D98" s="1402" t="s">
        <v>3477</v>
      </c>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40045.229999999996</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4.4">
      <c r="A4" s="344" t="s">
        <v>1666</v>
      </c>
      <c r="B4" s="345"/>
      <c r="C4" s="3420" t="s">
        <v>1667</v>
      </c>
      <c r="D4" s="3421"/>
      <c r="E4" s="3422" t="s">
        <v>1668</v>
      </c>
      <c r="F4" s="3423"/>
      <c r="G4" s="3420" t="s">
        <v>1669</v>
      </c>
      <c r="H4" s="3421"/>
      <c r="I4" s="3420" t="s">
        <v>1670</v>
      </c>
      <c r="J4" s="3421"/>
      <c r="K4" s="1741" t="s">
        <v>1671</v>
      </c>
      <c r="L4" s="2484"/>
      <c r="M4" s="2485"/>
      <c r="N4" s="2485"/>
      <c r="O4" s="2485"/>
      <c r="P4" s="3424" t="s">
        <v>1672</v>
      </c>
      <c r="Q4" s="3425"/>
      <c r="R4" s="3407" t="s">
        <v>1668</v>
      </c>
      <c r="S4" s="3408"/>
      <c r="T4" s="3407" t="s">
        <v>1669</v>
      </c>
      <c r="U4" s="3408"/>
      <c r="V4" s="3432" t="s">
        <v>1670</v>
      </c>
      <c r="W4" s="3432"/>
      <c r="X4" s="1262"/>
      <c r="Y4" s="3407" t="s">
        <v>1672</v>
      </c>
      <c r="Z4" s="3408"/>
      <c r="AA4" s="3402" t="s">
        <v>1668</v>
      </c>
      <c r="AB4" s="3402" t="s">
        <v>1669</v>
      </c>
      <c r="AC4" s="3402" t="s">
        <v>1670</v>
      </c>
    </row>
    <row r="5" spans="1:29">
      <c r="A5" s="347"/>
      <c r="B5" s="348"/>
      <c r="C5" s="3413" t="s">
        <v>1673</v>
      </c>
      <c r="D5" s="3414"/>
      <c r="E5" s="3411" t="s">
        <v>1674</v>
      </c>
      <c r="F5" s="3412"/>
      <c r="G5" s="3413" t="s">
        <v>1675</v>
      </c>
      <c r="H5" s="3414"/>
      <c r="I5" s="3413" t="s">
        <v>1676</v>
      </c>
      <c r="J5" s="3414"/>
      <c r="K5" s="1742"/>
      <c r="L5" s="2484"/>
      <c r="M5" s="2485"/>
      <c r="N5" s="2485"/>
      <c r="O5" s="2485"/>
      <c r="P5" s="3426"/>
      <c r="Q5" s="3427"/>
      <c r="R5" s="3409"/>
      <c r="S5" s="3410"/>
      <c r="T5" s="3409"/>
      <c r="U5" s="3410"/>
      <c r="V5" s="3432"/>
      <c r="W5" s="3432"/>
      <c r="X5" s="1262"/>
      <c r="Y5" s="3409"/>
      <c r="Z5" s="3410"/>
      <c r="AA5" s="3403"/>
      <c r="AB5" s="3403"/>
      <c r="AC5" s="3403"/>
    </row>
    <row r="6" spans="1:29" ht="15" thickBot="1">
      <c r="A6" s="349"/>
      <c r="B6" s="350"/>
      <c r="C6" s="3415" t="s">
        <v>1677</v>
      </c>
      <c r="D6" s="3416"/>
      <c r="E6" s="3417" t="s">
        <v>1677</v>
      </c>
      <c r="F6" s="3418"/>
      <c r="G6" s="3415" t="s">
        <v>1677</v>
      </c>
      <c r="H6" s="3416"/>
      <c r="I6" s="3415" t="s">
        <v>1677</v>
      </c>
      <c r="J6" s="3416"/>
      <c r="K6" s="1742" t="s">
        <v>1678</v>
      </c>
      <c r="L6" s="2484"/>
      <c r="M6" s="2485"/>
      <c r="N6" s="2485"/>
      <c r="O6" s="2485"/>
      <c r="P6" s="3428"/>
      <c r="Q6" s="3429"/>
      <c r="R6" s="3409"/>
      <c r="S6" s="3410"/>
      <c r="T6" s="3430"/>
      <c r="U6" s="3431"/>
      <c r="V6" s="3432"/>
      <c r="W6" s="3432"/>
      <c r="X6" s="1262"/>
      <c r="Y6" s="3430"/>
      <c r="Z6" s="3431"/>
      <c r="AA6" s="3404"/>
      <c r="AB6" s="3404"/>
      <c r="AC6" s="3404"/>
    </row>
    <row r="7" spans="1:29" s="101" customFormat="1" ht="1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05" t="s">
        <v>1680</v>
      </c>
      <c r="Q7" s="3433"/>
      <c r="R7" s="663" t="s">
        <v>20</v>
      </c>
      <c r="S7" s="664">
        <f t="shared" ref="S7:S15" si="0">F7</f>
        <v>0</v>
      </c>
      <c r="T7" s="663" t="s">
        <v>20</v>
      </c>
      <c r="U7" s="664">
        <f t="shared" ref="U7:U15" si="1">H7</f>
        <v>0</v>
      </c>
      <c r="V7" s="663" t="s">
        <v>20</v>
      </c>
      <c r="W7" s="664">
        <f t="shared" ref="W7:W15" si="2">J7</f>
        <v>0</v>
      </c>
      <c r="X7" s="665"/>
      <c r="Y7" s="3405" t="s">
        <v>1680</v>
      </c>
      <c r="Z7" s="3406"/>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19" t="s">
        <v>1686</v>
      </c>
      <c r="Q9" s="529"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3"/>
      <c r="L10" s="2487"/>
      <c r="M10" s="2488"/>
      <c r="N10" s="2488"/>
      <c r="O10" s="2488"/>
      <c r="P10" s="3419"/>
      <c r="Q10" s="529"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19"/>
      <c r="Q11" s="529" t="str">
        <f t="shared" si="6"/>
        <v>容积率</v>
      </c>
      <c r="R11" s="663" t="s">
        <v>18</v>
      </c>
      <c r="S11" s="664" t="e">
        <f t="shared" si="0"/>
        <v>#N/A</v>
      </c>
      <c r="T11" s="663" t="s">
        <v>18</v>
      </c>
      <c r="U11" s="664" t="e">
        <f t="shared" si="1"/>
        <v>#N/A</v>
      </c>
      <c r="V11" s="663" t="s">
        <v>18</v>
      </c>
      <c r="W11" s="664" t="e">
        <f t="shared" si="2"/>
        <v>#N/A</v>
      </c>
      <c r="X11" s="665"/>
      <c r="Y11" s="333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6"/>
      <c r="M12" s="2437"/>
      <c r="N12" s="2437"/>
      <c r="O12" s="2437"/>
      <c r="P12" s="3419"/>
      <c r="Q12" s="529">
        <f t="shared" si="6"/>
        <v>111</v>
      </c>
      <c r="R12" s="663" t="s">
        <v>18</v>
      </c>
      <c r="S12" s="664">
        <f t="shared" si="0"/>
        <v>100</v>
      </c>
      <c r="T12" s="663" t="s">
        <v>18</v>
      </c>
      <c r="U12" s="664">
        <f t="shared" si="1"/>
        <v>100</v>
      </c>
      <c r="V12" s="663" t="s">
        <v>18</v>
      </c>
      <c r="W12" s="664">
        <f t="shared" si="2"/>
        <v>100</v>
      </c>
      <c r="X12" s="665"/>
      <c r="Y12" s="333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19"/>
      <c r="Q13" s="529">
        <f t="shared" si="6"/>
        <v>111</v>
      </c>
      <c r="R13" s="663" t="s">
        <v>18</v>
      </c>
      <c r="S13" s="664">
        <f t="shared" si="0"/>
        <v>100</v>
      </c>
      <c r="T13" s="663" t="s">
        <v>18</v>
      </c>
      <c r="U13" s="664">
        <f t="shared" si="1"/>
        <v>100</v>
      </c>
      <c r="V13" s="663" t="s">
        <v>18</v>
      </c>
      <c r="W13" s="664">
        <f t="shared" si="2"/>
        <v>100</v>
      </c>
      <c r="X13" s="665"/>
      <c r="Y13" s="3330"/>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19"/>
      <c r="Q14" s="529">
        <f t="shared" si="6"/>
        <v>111</v>
      </c>
      <c r="R14" s="663" t="s">
        <v>18</v>
      </c>
      <c r="S14" s="664">
        <f t="shared" si="0"/>
        <v>100</v>
      </c>
      <c r="T14" s="663" t="s">
        <v>18</v>
      </c>
      <c r="U14" s="664">
        <f t="shared" si="1"/>
        <v>100</v>
      </c>
      <c r="V14" s="663" t="s">
        <v>18</v>
      </c>
      <c r="W14" s="664">
        <f t="shared" si="2"/>
        <v>100</v>
      </c>
      <c r="X14" s="665"/>
      <c r="Y14" s="3330"/>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45" t="s">
        <v>1691</v>
      </c>
      <c r="Q15" s="1260" t="str">
        <f t="shared" si="6"/>
        <v>居住社区成熟度</v>
      </c>
      <c r="R15" s="666" t="s">
        <v>18</v>
      </c>
      <c r="S15" s="667">
        <f t="shared" si="0"/>
        <v>100</v>
      </c>
      <c r="T15" s="666" t="s">
        <v>18</v>
      </c>
      <c r="U15" s="667">
        <f t="shared" si="1"/>
        <v>100</v>
      </c>
      <c r="V15" s="666" t="s">
        <v>18</v>
      </c>
      <c r="W15" s="667">
        <f t="shared" si="2"/>
        <v>100</v>
      </c>
      <c r="X15" s="1262"/>
      <c r="Y15" s="3438"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46"/>
      <c r="Q16" s="1260"/>
      <c r="R16" s="666"/>
      <c r="S16" s="667"/>
      <c r="T16" s="666"/>
      <c r="U16" s="667"/>
      <c r="V16" s="666"/>
      <c r="W16" s="667"/>
      <c r="X16" s="1262"/>
      <c r="Y16" s="3439"/>
      <c r="Z16" s="1261"/>
      <c r="AA16" s="1261">
        <v>1</v>
      </c>
      <c r="AB16" s="1261">
        <v>1</v>
      </c>
      <c r="AC16" s="1261">
        <v>1</v>
      </c>
    </row>
    <row r="17" spans="1:29" ht="15">
      <c r="A17" s="366"/>
      <c r="B17" s="389" t="s">
        <v>1259</v>
      </c>
      <c r="C17" s="1751">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46"/>
      <c r="Q17" s="1260" t="str">
        <f>B17</f>
        <v>交通便捷度</v>
      </c>
      <c r="R17" s="666" t="s">
        <v>18</v>
      </c>
      <c r="S17" s="667">
        <f>F17</f>
        <v>100</v>
      </c>
      <c r="T17" s="666" t="s">
        <v>18</v>
      </c>
      <c r="U17" s="667">
        <f>H17</f>
        <v>100</v>
      </c>
      <c r="V17" s="666" t="s">
        <v>18</v>
      </c>
      <c r="W17" s="667">
        <f>J17</f>
        <v>100</v>
      </c>
      <c r="X17" s="1262"/>
      <c r="Y17" s="3439"/>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46"/>
      <c r="Q18" s="1260"/>
      <c r="R18" s="666"/>
      <c r="S18" s="667"/>
      <c r="T18" s="666"/>
      <c r="U18" s="667"/>
      <c r="V18" s="666"/>
      <c r="W18" s="667"/>
      <c r="X18" s="1262"/>
      <c r="Y18" s="3439"/>
      <c r="Z18" s="1261"/>
      <c r="AA18" s="1261">
        <v>1</v>
      </c>
      <c r="AB18" s="1261">
        <v>1</v>
      </c>
      <c r="AC18" s="1261">
        <v>1</v>
      </c>
    </row>
    <row r="19" spans="1:29" ht="15">
      <c r="A19" s="366"/>
      <c r="B19" s="389" t="s">
        <v>1258</v>
      </c>
      <c r="C19" s="1751">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46"/>
      <c r="Q19" s="1260" t="str">
        <f>B19</f>
        <v>公共配套设施</v>
      </c>
      <c r="R19" s="666" t="s">
        <v>18</v>
      </c>
      <c r="S19" s="667">
        <f>F19</f>
        <v>100</v>
      </c>
      <c r="T19" s="666" t="s">
        <v>18</v>
      </c>
      <c r="U19" s="667">
        <f>H19</f>
        <v>100</v>
      </c>
      <c r="V19" s="666" t="s">
        <v>18</v>
      </c>
      <c r="W19" s="667">
        <f>J19</f>
        <v>100</v>
      </c>
      <c r="X19" s="1262"/>
      <c r="Y19" s="3439"/>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46"/>
      <c r="Q20" s="1260"/>
      <c r="R20" s="666"/>
      <c r="S20" s="667"/>
      <c r="T20" s="666"/>
      <c r="U20" s="667"/>
      <c r="V20" s="666"/>
      <c r="W20" s="667"/>
      <c r="X20" s="1262"/>
      <c r="Y20" s="3439"/>
      <c r="Z20" s="1261"/>
      <c r="AA20" s="1261">
        <v>1</v>
      </c>
      <c r="AB20" s="1261">
        <v>1</v>
      </c>
      <c r="AC20" s="1261">
        <v>1</v>
      </c>
    </row>
    <row r="21" spans="1:29" ht="15">
      <c r="A21" s="366"/>
      <c r="B21" s="585" t="s">
        <v>1260</v>
      </c>
      <c r="C21" s="1751">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46"/>
      <c r="Q21" s="1260" t="str">
        <f>B21</f>
        <v>基础设施水平</v>
      </c>
      <c r="R21" s="666" t="s">
        <v>14</v>
      </c>
      <c r="S21" s="667">
        <f>F21</f>
        <v>100</v>
      </c>
      <c r="T21" s="666" t="s">
        <v>14</v>
      </c>
      <c r="U21" s="667">
        <f>H21</f>
        <v>100</v>
      </c>
      <c r="V21" s="666" t="s">
        <v>14</v>
      </c>
      <c r="W21" s="667">
        <f>J21</f>
        <v>100</v>
      </c>
      <c r="X21" s="1262"/>
      <c r="Y21" s="3439"/>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46"/>
      <c r="Q22" s="1260"/>
      <c r="R22" s="666"/>
      <c r="S22" s="667"/>
      <c r="T22" s="666"/>
      <c r="U22" s="667"/>
      <c r="V22" s="666"/>
      <c r="W22" s="667"/>
      <c r="X22" s="1262"/>
      <c r="Y22" s="3439"/>
      <c r="Z22" s="1261"/>
      <c r="AA22" s="1261">
        <v>1</v>
      </c>
      <c r="AB22" s="1261">
        <v>1</v>
      </c>
      <c r="AC22" s="1261">
        <v>1</v>
      </c>
    </row>
    <row r="23" spans="1:29" ht="15">
      <c r="A23" s="366"/>
      <c r="B23" s="389" t="s">
        <v>1261</v>
      </c>
      <c r="C23" s="1751">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46"/>
      <c r="Q23" s="1260" t="str">
        <f>B23</f>
        <v>自然及人文环境</v>
      </c>
      <c r="R23" s="666" t="s">
        <v>18</v>
      </c>
      <c r="S23" s="667">
        <f>F23</f>
        <v>100</v>
      </c>
      <c r="T23" s="666" t="s">
        <v>18</v>
      </c>
      <c r="U23" s="667">
        <f>H23</f>
        <v>100</v>
      </c>
      <c r="V23" s="666" t="s">
        <v>18</v>
      </c>
      <c r="W23" s="667">
        <f>J23</f>
        <v>100</v>
      </c>
      <c r="X23" s="1262"/>
      <c r="Y23" s="3439"/>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46"/>
      <c r="Q24" s="1260"/>
      <c r="R24" s="666"/>
      <c r="S24" s="667"/>
      <c r="T24" s="666"/>
      <c r="U24" s="667"/>
      <c r="V24" s="666"/>
      <c r="W24" s="667"/>
      <c r="X24" s="1262"/>
      <c r="Y24" s="3439"/>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46"/>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39"/>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46"/>
      <c r="Q26" s="1260" t="str">
        <f t="shared" si="11"/>
        <v>朝向</v>
      </c>
      <c r="R26" s="666" t="s">
        <v>18</v>
      </c>
      <c r="S26" s="667">
        <f t="shared" si="12"/>
        <v>100</v>
      </c>
      <c r="T26" s="666" t="s">
        <v>18</v>
      </c>
      <c r="U26" s="667">
        <f t="shared" si="13"/>
        <v>100</v>
      </c>
      <c r="V26" s="666" t="s">
        <v>18</v>
      </c>
      <c r="W26" s="667">
        <f t="shared" si="14"/>
        <v>100</v>
      </c>
      <c r="X26" s="1262"/>
      <c r="Y26" s="3439"/>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46"/>
      <c r="Q27" s="529">
        <f t="shared" si="11"/>
        <v>111</v>
      </c>
      <c r="R27" s="663" t="s">
        <v>18</v>
      </c>
      <c r="S27" s="664">
        <f t="shared" si="12"/>
        <v>100</v>
      </c>
      <c r="T27" s="663" t="s">
        <v>18</v>
      </c>
      <c r="U27" s="664">
        <f t="shared" si="13"/>
        <v>100</v>
      </c>
      <c r="V27" s="663" t="s">
        <v>18</v>
      </c>
      <c r="W27" s="664">
        <f t="shared" si="14"/>
        <v>100</v>
      </c>
      <c r="X27" s="665"/>
      <c r="Y27" s="3439"/>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46"/>
      <c r="Q28" s="1260">
        <f t="shared" si="11"/>
        <v>111</v>
      </c>
      <c r="R28" s="666" t="s">
        <v>18</v>
      </c>
      <c r="S28" s="667">
        <f t="shared" si="12"/>
        <v>100</v>
      </c>
      <c r="T28" s="666" t="s">
        <v>18</v>
      </c>
      <c r="U28" s="667">
        <f t="shared" si="13"/>
        <v>100</v>
      </c>
      <c r="V28" s="666" t="s">
        <v>18</v>
      </c>
      <c r="W28" s="667">
        <f t="shared" si="14"/>
        <v>100</v>
      </c>
      <c r="X28" s="1262"/>
      <c r="Y28" s="3439"/>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46"/>
      <c r="Q29" s="1260">
        <f t="shared" si="11"/>
        <v>111</v>
      </c>
      <c r="R29" s="666" t="s">
        <v>18</v>
      </c>
      <c r="S29" s="667">
        <f t="shared" si="12"/>
        <v>100</v>
      </c>
      <c r="T29" s="666" t="s">
        <v>18</v>
      </c>
      <c r="U29" s="667">
        <f t="shared" si="13"/>
        <v>100</v>
      </c>
      <c r="V29" s="666" t="s">
        <v>18</v>
      </c>
      <c r="W29" s="667">
        <f t="shared" si="14"/>
        <v>100</v>
      </c>
      <c r="X29" s="1262"/>
      <c r="Y29" s="3439"/>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46"/>
      <c r="Q30" s="1260">
        <f t="shared" si="11"/>
        <v>111</v>
      </c>
      <c r="R30" s="666" t="s">
        <v>18</v>
      </c>
      <c r="S30" s="667">
        <f t="shared" si="12"/>
        <v>100</v>
      </c>
      <c r="T30" s="666" t="s">
        <v>18</v>
      </c>
      <c r="U30" s="667">
        <f t="shared" si="13"/>
        <v>100</v>
      </c>
      <c r="V30" s="666" t="s">
        <v>18</v>
      </c>
      <c r="W30" s="667">
        <f t="shared" si="14"/>
        <v>100</v>
      </c>
      <c r="X30" s="1262"/>
      <c r="Y30" s="3439"/>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46"/>
      <c r="Q31" s="1260">
        <f t="shared" si="11"/>
        <v>111</v>
      </c>
      <c r="R31" s="666" t="s">
        <v>18</v>
      </c>
      <c r="S31" s="667">
        <f t="shared" si="12"/>
        <v>100</v>
      </c>
      <c r="T31" s="666" t="s">
        <v>18</v>
      </c>
      <c r="U31" s="667">
        <f t="shared" si="13"/>
        <v>100</v>
      </c>
      <c r="V31" s="666" t="s">
        <v>18</v>
      </c>
      <c r="W31" s="667">
        <f t="shared" si="14"/>
        <v>100</v>
      </c>
      <c r="X31" s="1262"/>
      <c r="Y31" s="3439"/>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40" t="s">
        <v>1696</v>
      </c>
      <c r="Q32" s="1260" t="str">
        <f t="shared" si="11"/>
        <v>建筑类型</v>
      </c>
      <c r="R32" s="666" t="s">
        <v>18</v>
      </c>
      <c r="S32" s="667">
        <f t="shared" si="12"/>
        <v>100</v>
      </c>
      <c r="T32" s="666" t="s">
        <v>18</v>
      </c>
      <c r="U32" s="667">
        <f t="shared" si="13"/>
        <v>100</v>
      </c>
      <c r="V32" s="666" t="s">
        <v>18</v>
      </c>
      <c r="W32" s="667">
        <f t="shared" si="14"/>
        <v>100</v>
      </c>
      <c r="X32" s="1262"/>
      <c r="Y32" s="3443"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9"/>
      <c r="M33" s="2491"/>
      <c r="N33" s="2491"/>
      <c r="O33" s="2491"/>
      <c r="P33" s="3441"/>
      <c r="Q33" s="530" t="str">
        <f t="shared" si="11"/>
        <v>项目建筑规模</v>
      </c>
      <c r="R33" s="668" t="s">
        <v>18</v>
      </c>
      <c r="S33" s="669" t="e">
        <f t="shared" si="12"/>
        <v>#N/A</v>
      </c>
      <c r="T33" s="668" t="s">
        <v>18</v>
      </c>
      <c r="U33" s="669" t="e">
        <f t="shared" si="13"/>
        <v>#N/A</v>
      </c>
      <c r="V33" s="668" t="s">
        <v>18</v>
      </c>
      <c r="W33" s="669" t="e">
        <f t="shared" si="14"/>
        <v>#N/A</v>
      </c>
      <c r="X33" s="670"/>
      <c r="Y33" s="3443"/>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41"/>
      <c r="Q34" s="1260" t="str">
        <f t="shared" si="11"/>
        <v>建筑结构</v>
      </c>
      <c r="R34" s="666" t="s">
        <v>18</v>
      </c>
      <c r="S34" s="667">
        <f t="shared" si="12"/>
        <v>100</v>
      </c>
      <c r="T34" s="666" t="s">
        <v>18</v>
      </c>
      <c r="U34" s="667">
        <f t="shared" si="13"/>
        <v>100</v>
      </c>
      <c r="V34" s="666" t="s">
        <v>18</v>
      </c>
      <c r="W34" s="667">
        <f t="shared" si="14"/>
        <v>100</v>
      </c>
      <c r="X34" s="1262"/>
      <c r="Y34" s="3443"/>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41"/>
      <c r="Q35" s="1260" t="str">
        <f t="shared" si="11"/>
        <v>建筑品质</v>
      </c>
      <c r="R35" s="666" t="s">
        <v>18</v>
      </c>
      <c r="S35" s="667">
        <f t="shared" si="12"/>
        <v>100</v>
      </c>
      <c r="T35" s="666" t="s">
        <v>18</v>
      </c>
      <c r="U35" s="667">
        <f t="shared" si="13"/>
        <v>100</v>
      </c>
      <c r="V35" s="666" t="s">
        <v>18</v>
      </c>
      <c r="W35" s="667">
        <f t="shared" si="14"/>
        <v>100</v>
      </c>
      <c r="X35" s="1262"/>
      <c r="Y35" s="3443"/>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41"/>
      <c r="Q36" s="1260" t="str">
        <f t="shared" si="11"/>
        <v>公共部分装修</v>
      </c>
      <c r="R36" s="666" t="s">
        <v>18</v>
      </c>
      <c r="S36" s="667">
        <f t="shared" si="12"/>
        <v>100</v>
      </c>
      <c r="T36" s="666" t="s">
        <v>18</v>
      </c>
      <c r="U36" s="667">
        <f t="shared" si="13"/>
        <v>100</v>
      </c>
      <c r="V36" s="666" t="s">
        <v>18</v>
      </c>
      <c r="W36" s="667">
        <f t="shared" si="14"/>
        <v>100</v>
      </c>
      <c r="X36" s="1262"/>
      <c r="Y36" s="3443"/>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441"/>
      <c r="Q37" s="529" t="str">
        <f t="shared" si="11"/>
        <v>成新度</v>
      </c>
      <c r="R37" s="663" t="s">
        <v>18</v>
      </c>
      <c r="S37" s="664" t="e">
        <f t="shared" si="12"/>
        <v>#N/A</v>
      </c>
      <c r="T37" s="663" t="s">
        <v>18</v>
      </c>
      <c r="U37" s="664" t="e">
        <f t="shared" si="13"/>
        <v>#N/A</v>
      </c>
      <c r="V37" s="663" t="s">
        <v>18</v>
      </c>
      <c r="W37" s="664" t="e">
        <f t="shared" si="14"/>
        <v>#N/A</v>
      </c>
      <c r="X37" s="665"/>
      <c r="Y37" s="3443"/>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41" t="s">
        <v>1696</v>
      </c>
      <c r="Q38" s="1260" t="str">
        <f t="shared" si="11"/>
        <v>物业管理</v>
      </c>
      <c r="R38" s="666" t="s">
        <v>18</v>
      </c>
      <c r="S38" s="667">
        <f t="shared" si="12"/>
        <v>100</v>
      </c>
      <c r="T38" s="666" t="s">
        <v>18</v>
      </c>
      <c r="U38" s="667">
        <f t="shared" si="13"/>
        <v>100</v>
      </c>
      <c r="V38" s="666" t="s">
        <v>18</v>
      </c>
      <c r="W38" s="667">
        <f t="shared" si="14"/>
        <v>100</v>
      </c>
      <c r="X38" s="1262"/>
      <c r="Y38" s="3443"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41"/>
      <c r="Q39" s="1260" t="str">
        <f t="shared" si="11"/>
        <v>市政基础设施</v>
      </c>
      <c r="R39" s="666" t="s">
        <v>18</v>
      </c>
      <c r="S39" s="667">
        <f t="shared" si="12"/>
        <v>100</v>
      </c>
      <c r="T39" s="666" t="s">
        <v>18</v>
      </c>
      <c r="U39" s="667">
        <f t="shared" si="13"/>
        <v>100</v>
      </c>
      <c r="V39" s="666" t="s">
        <v>18</v>
      </c>
      <c r="W39" s="667">
        <f t="shared" si="14"/>
        <v>100</v>
      </c>
      <c r="X39" s="1262"/>
      <c r="Y39" s="3443"/>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41"/>
      <c r="Q40" s="1260" t="str">
        <f t="shared" si="11"/>
        <v>房型</v>
      </c>
      <c r="R40" s="666" t="s">
        <v>18</v>
      </c>
      <c r="S40" s="667">
        <f t="shared" si="12"/>
        <v>100</v>
      </c>
      <c r="T40" s="666" t="s">
        <v>18</v>
      </c>
      <c r="U40" s="667">
        <f t="shared" si="13"/>
        <v>100</v>
      </c>
      <c r="V40" s="666" t="s">
        <v>18</v>
      </c>
      <c r="W40" s="667">
        <f t="shared" si="14"/>
        <v>100</v>
      </c>
      <c r="X40" s="1262"/>
      <c r="Y40" s="3443"/>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9"/>
      <c r="M41" s="2491"/>
      <c r="N41" s="2491"/>
      <c r="O41" s="2491"/>
      <c r="P41" s="3441"/>
      <c r="Q41" s="530" t="str">
        <f t="shared" si="11"/>
        <v>单套/主力户型建筑面积</v>
      </c>
      <c r="R41" s="668" t="s">
        <v>18</v>
      </c>
      <c r="S41" s="669">
        <f t="shared" si="12"/>
        <v>100</v>
      </c>
      <c r="T41" s="668" t="s">
        <v>18</v>
      </c>
      <c r="U41" s="669">
        <f t="shared" si="13"/>
        <v>100</v>
      </c>
      <c r="V41" s="668" t="s">
        <v>18</v>
      </c>
      <c r="W41" s="669">
        <f t="shared" si="14"/>
        <v>100</v>
      </c>
      <c r="X41" s="670"/>
      <c r="Y41" s="3443"/>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41"/>
      <c r="Q42" s="1260" t="str">
        <f t="shared" si="11"/>
        <v>内部装修</v>
      </c>
      <c r="R42" s="666" t="s">
        <v>18</v>
      </c>
      <c r="S42" s="667">
        <f t="shared" si="12"/>
        <v>100</v>
      </c>
      <c r="T42" s="666" t="s">
        <v>18</v>
      </c>
      <c r="U42" s="667">
        <f t="shared" si="13"/>
        <v>100</v>
      </c>
      <c r="V42" s="666" t="s">
        <v>18</v>
      </c>
      <c r="W42" s="667">
        <f t="shared" si="14"/>
        <v>100</v>
      </c>
      <c r="X42" s="1262"/>
      <c r="Y42" s="3443"/>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41"/>
      <c r="Q43" s="1260" t="str">
        <f t="shared" si="11"/>
        <v>内部装修维护情况</v>
      </c>
      <c r="R43" s="666" t="s">
        <v>18</v>
      </c>
      <c r="S43" s="667">
        <f t="shared" si="12"/>
        <v>100</v>
      </c>
      <c r="T43" s="666" t="s">
        <v>18</v>
      </c>
      <c r="U43" s="667">
        <f t="shared" si="13"/>
        <v>100</v>
      </c>
      <c r="V43" s="666" t="s">
        <v>18</v>
      </c>
      <c r="W43" s="667">
        <f t="shared" si="14"/>
        <v>100</v>
      </c>
      <c r="X43" s="1262"/>
      <c r="Y43" s="3443"/>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6"/>
      <c r="M44" s="2437"/>
      <c r="N44" s="2437"/>
      <c r="O44" s="2437"/>
      <c r="P44" s="3441"/>
      <c r="Q44" s="529">
        <f t="shared" si="11"/>
        <v>111</v>
      </c>
      <c r="R44" s="663" t="s">
        <v>18</v>
      </c>
      <c r="S44" s="664">
        <f t="shared" si="12"/>
        <v>100</v>
      </c>
      <c r="T44" s="663" t="s">
        <v>18</v>
      </c>
      <c r="U44" s="664">
        <f t="shared" si="13"/>
        <v>100</v>
      </c>
      <c r="V44" s="663" t="s">
        <v>18</v>
      </c>
      <c r="W44" s="664">
        <f t="shared" si="14"/>
        <v>100</v>
      </c>
      <c r="X44" s="665"/>
      <c r="Y44" s="3443"/>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41"/>
      <c r="Q45" s="1260">
        <f t="shared" si="11"/>
        <v>111</v>
      </c>
      <c r="R45" s="666" t="s">
        <v>18</v>
      </c>
      <c r="S45" s="667">
        <f t="shared" si="12"/>
        <v>100</v>
      </c>
      <c r="T45" s="666" t="s">
        <v>18</v>
      </c>
      <c r="U45" s="667">
        <f t="shared" si="13"/>
        <v>100</v>
      </c>
      <c r="V45" s="666" t="s">
        <v>18</v>
      </c>
      <c r="W45" s="667">
        <f t="shared" si="14"/>
        <v>100</v>
      </c>
      <c r="X45" s="1262"/>
      <c r="Y45" s="3443"/>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42"/>
      <c r="Q46" s="1260">
        <f t="shared" si="11"/>
        <v>111</v>
      </c>
      <c r="R46" s="666" t="s">
        <v>17</v>
      </c>
      <c r="S46" s="667">
        <f t="shared" si="12"/>
        <v>100</v>
      </c>
      <c r="T46" s="666" t="s">
        <v>17</v>
      </c>
      <c r="U46" s="667">
        <f t="shared" si="13"/>
        <v>100</v>
      </c>
      <c r="V46" s="666" t="s">
        <v>17</v>
      </c>
      <c r="W46" s="667">
        <f t="shared" si="14"/>
        <v>100</v>
      </c>
      <c r="X46" s="1262"/>
      <c r="Y46" s="3444"/>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92"/>
      <c r="M47" s="2485"/>
      <c r="N47" s="2485"/>
      <c r="O47" s="2485"/>
      <c r="P47" s="3437" t="str">
        <f>A47</f>
        <v>成交单价（元/平方米）</v>
      </c>
      <c r="Q47" s="3437"/>
      <c r="R47" s="3432">
        <f>E47</f>
        <v>0</v>
      </c>
      <c r="S47" s="3432"/>
      <c r="T47" s="3432">
        <f>G47</f>
        <v>0</v>
      </c>
      <c r="U47" s="3432"/>
      <c r="V47" s="3432">
        <f>I47</f>
        <v>0</v>
      </c>
      <c r="W47" s="3432"/>
      <c r="X47" s="384"/>
      <c r="Y47" s="672"/>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92"/>
      <c r="M49" s="2485"/>
      <c r="N49" s="2485"/>
      <c r="O49" s="2485"/>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4"/>
      <c r="L57" s="885"/>
      <c r="M57" s="883"/>
      <c r="N57" s="883"/>
      <c r="O57" s="883"/>
      <c r="P57" s="1768"/>
      <c r="Q57" s="438"/>
    </row>
    <row r="58" spans="1:29" s="441" customFormat="1" ht="14.4">
      <c r="A58" s="439" t="s">
        <v>1715</v>
      </c>
      <c r="B58" s="440"/>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5"/>
      <c r="O61" s="875"/>
      <c r="P61" s="1771"/>
      <c r="Q61" s="438"/>
    </row>
    <row r="62" spans="1:29" s="101" customFormat="1" ht="14.4" thickBot="1">
      <c r="A62" s="454"/>
      <c r="B62" s="443"/>
      <c r="C62" s="444">
        <v>100</v>
      </c>
      <c r="D62" s="445"/>
      <c r="E62" s="445"/>
      <c r="F62" s="445"/>
      <c r="G62" s="445"/>
      <c r="H62" s="445"/>
      <c r="I62" s="445"/>
      <c r="J62" s="445"/>
      <c r="K62" s="445"/>
      <c r="L62" s="445"/>
      <c r="M62" s="447"/>
      <c r="N62" s="875"/>
      <c r="O62" s="875"/>
      <c r="P62" s="1770"/>
      <c r="Q62" s="438"/>
    </row>
    <row r="63" spans="1:29" ht="14.4">
      <c r="A63" s="378" t="s">
        <v>1719</v>
      </c>
      <c r="B63" s="459" t="s">
        <v>1685</v>
      </c>
      <c r="C63" s="460">
        <f>C9</f>
        <v>0</v>
      </c>
      <c r="D63" s="461"/>
      <c r="E63" s="461"/>
      <c r="F63" s="461"/>
      <c r="G63" s="461"/>
      <c r="H63" s="461"/>
      <c r="I63" s="461"/>
      <c r="J63" s="461"/>
      <c r="K63" s="462"/>
      <c r="L63" s="463"/>
      <c r="M63" s="464"/>
      <c r="N63" s="876"/>
      <c r="O63" s="876"/>
      <c r="P63" s="1772"/>
      <c r="Q63" s="438"/>
    </row>
    <row r="64" spans="1:29" ht="14.4" thickBot="1">
      <c r="A64" s="366"/>
      <c r="B64" s="465"/>
      <c r="C64" s="466">
        <v>100</v>
      </c>
      <c r="D64" s="466"/>
      <c r="E64" s="466"/>
      <c r="F64" s="466"/>
      <c r="G64" s="466"/>
      <c r="H64" s="466"/>
      <c r="I64" s="466"/>
      <c r="J64" s="466"/>
      <c r="K64" s="466"/>
      <c r="L64" s="466"/>
      <c r="M64" s="467"/>
      <c r="N64" s="877"/>
      <c r="O64" s="877"/>
      <c r="P64" s="1772"/>
      <c r="Q64" s="438"/>
    </row>
    <row r="65" spans="1:17" ht="29.4" thickTop="1">
      <c r="A65" s="366"/>
      <c r="B65" s="468" t="s">
        <v>1688</v>
      </c>
      <c r="C65" s="512"/>
      <c r="D65" s="512"/>
      <c r="E65" s="512"/>
      <c r="F65" s="512"/>
      <c r="G65" s="512"/>
      <c r="H65" s="512"/>
      <c r="I65" s="512"/>
      <c r="J65" s="512"/>
      <c r="K65" s="512"/>
      <c r="L65" s="512"/>
      <c r="M65" s="512"/>
      <c r="N65" s="877"/>
      <c r="O65" s="877"/>
      <c r="P65" s="1772"/>
      <c r="Q65" s="438"/>
    </row>
    <row r="66" spans="1:17" ht="14.4" thickBot="1">
      <c r="A66" s="366"/>
      <c r="B66" s="473"/>
      <c r="C66" s="466"/>
      <c r="D66" s="466"/>
      <c r="E66" s="466"/>
      <c r="F66" s="466"/>
      <c r="G66" s="466"/>
      <c r="H66" s="466"/>
      <c r="I66" s="466"/>
      <c r="J66" s="466"/>
      <c r="K66" s="466"/>
      <c r="L66" s="466"/>
      <c r="M66" s="467"/>
      <c r="N66" s="877"/>
      <c r="O66" s="877"/>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2"/>
      <c r="Q67" s="438"/>
    </row>
    <row r="68" spans="1:17">
      <c r="A68" s="366"/>
      <c r="B68" s="478"/>
      <c r="C68" s="479"/>
      <c r="D68" s="479"/>
      <c r="E68" s="479"/>
      <c r="F68" s="479"/>
      <c r="G68" s="479"/>
      <c r="H68" s="479"/>
      <c r="I68" s="479"/>
      <c r="J68" s="479"/>
      <c r="K68" s="480"/>
      <c r="L68" s="481"/>
      <c r="M68" s="482"/>
      <c r="N68" s="876"/>
      <c r="O68" s="876"/>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7"/>
      <c r="O69" s="877"/>
      <c r="P69" s="1772"/>
      <c r="Q69" s="438"/>
    </row>
    <row r="70" spans="1:17" s="407" customFormat="1" ht="14.4" thickTop="1">
      <c r="A70" s="483"/>
      <c r="B70" s="468">
        <f>B12</f>
        <v>111</v>
      </c>
      <c r="C70" s="484"/>
      <c r="D70" s="484"/>
      <c r="E70" s="484"/>
      <c r="F70" s="484"/>
      <c r="G70" s="484"/>
      <c r="H70" s="485"/>
      <c r="I70" s="485"/>
      <c r="J70" s="485"/>
      <c r="K70" s="485"/>
      <c r="L70" s="486"/>
      <c r="M70" s="487"/>
      <c r="N70" s="878"/>
      <c r="O70" s="878"/>
      <c r="P70" s="1773"/>
      <c r="Q70" s="489"/>
    </row>
    <row r="71" spans="1:17" s="407" customFormat="1" ht="14.4" thickBot="1">
      <c r="A71" s="483"/>
      <c r="B71" s="473"/>
      <c r="C71" s="490"/>
      <c r="D71" s="466"/>
      <c r="E71" s="466"/>
      <c r="F71" s="466"/>
      <c r="G71" s="466"/>
      <c r="H71" s="466"/>
      <c r="I71" s="466"/>
      <c r="J71" s="466"/>
      <c r="K71" s="466"/>
      <c r="L71" s="466"/>
      <c r="M71" s="467"/>
      <c r="N71" s="877"/>
      <c r="O71" s="877"/>
      <c r="P71" s="1773"/>
      <c r="Q71" s="489"/>
    </row>
    <row r="72" spans="1:17" s="407" customFormat="1" ht="14.4" thickTop="1">
      <c r="A72" s="483"/>
      <c r="B72" s="468">
        <f>B13</f>
        <v>111</v>
      </c>
      <c r="C72" s="484"/>
      <c r="D72" s="484"/>
      <c r="E72" s="484"/>
      <c r="F72" s="484"/>
      <c r="G72" s="484"/>
      <c r="H72" s="485"/>
      <c r="I72" s="485"/>
      <c r="J72" s="485"/>
      <c r="K72" s="485"/>
      <c r="L72" s="486"/>
      <c r="M72" s="487"/>
      <c r="N72" s="878"/>
      <c r="O72" s="878"/>
      <c r="P72" s="1774"/>
      <c r="Q72" s="491"/>
    </row>
    <row r="73" spans="1:17" s="407" customFormat="1" ht="14.4" thickBot="1">
      <c r="A73" s="483"/>
      <c r="B73" s="473"/>
      <c r="C73" s="490"/>
      <c r="D73" s="490"/>
      <c r="E73" s="490"/>
      <c r="F73" s="490"/>
      <c r="G73" s="490"/>
      <c r="H73" s="492"/>
      <c r="I73" s="492"/>
      <c r="J73" s="492"/>
      <c r="K73" s="492"/>
      <c r="L73" s="492"/>
      <c r="M73" s="493"/>
      <c r="N73" s="878"/>
      <c r="O73" s="878"/>
      <c r="P73" s="1773"/>
      <c r="Q73" s="489"/>
    </row>
    <row r="74" spans="1:17" s="407" customFormat="1" ht="14.4" thickTop="1">
      <c r="A74" s="483"/>
      <c r="B74" s="476">
        <f>B14</f>
        <v>111</v>
      </c>
      <c r="C74" s="484"/>
      <c r="D74" s="484"/>
      <c r="E74" s="484"/>
      <c r="F74" s="484"/>
      <c r="G74" s="31"/>
      <c r="H74" s="494"/>
      <c r="I74" s="494"/>
      <c r="J74" s="494"/>
      <c r="K74" s="494"/>
      <c r="L74" s="495"/>
      <c r="M74" s="496"/>
      <c r="N74" s="878"/>
      <c r="O74" s="878"/>
      <c r="P74" s="1775"/>
      <c r="Q74" s="489"/>
    </row>
    <row r="75" spans="1:17" s="407" customFormat="1" ht="14.4" thickBot="1">
      <c r="A75" s="498"/>
      <c r="B75" s="499"/>
      <c r="C75" s="500"/>
      <c r="D75" s="500"/>
      <c r="E75" s="500"/>
      <c r="F75" s="500"/>
      <c r="G75" s="500"/>
      <c r="H75" s="501"/>
      <c r="I75" s="501"/>
      <c r="J75" s="501"/>
      <c r="K75" s="501"/>
      <c r="L75" s="501"/>
      <c r="M75" s="502"/>
      <c r="N75" s="878"/>
      <c r="O75" s="878"/>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6"/>
      <c r="O76" s="876"/>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7"/>
      <c r="O77" s="877"/>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6"/>
      <c r="O78" s="876"/>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7"/>
      <c r="O79" s="877"/>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6"/>
      <c r="O80" s="876"/>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7"/>
      <c r="O81" s="877"/>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7"/>
      <c r="O82" s="877"/>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7"/>
      <c r="O83" s="877"/>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6"/>
      <c r="O84" s="876"/>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7"/>
      <c r="O85" s="877"/>
      <c r="P85" s="1772"/>
      <c r="Q85" s="438"/>
    </row>
    <row r="86" spans="1:17" s="101" customFormat="1" ht="15" thickTop="1">
      <c r="A86" s="369"/>
      <c r="B86" s="468" t="s">
        <v>1734</v>
      </c>
      <c r="C86" s="484"/>
      <c r="D86" s="484"/>
      <c r="E86" s="484"/>
      <c r="F86" s="484"/>
      <c r="G86" s="484"/>
      <c r="H86" s="484"/>
      <c r="I86" s="484"/>
      <c r="J86" s="484"/>
      <c r="K86" s="484"/>
      <c r="L86" s="509"/>
      <c r="M86" s="510"/>
      <c r="N86" s="875"/>
      <c r="O86" s="875"/>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72"/>
      <c r="Q87" s="438"/>
    </row>
    <row r="88" spans="1:17" s="101" customFormat="1" ht="15" thickTop="1">
      <c r="A88" s="369"/>
      <c r="B88" s="468" t="s">
        <v>1735</v>
      </c>
      <c r="C88" s="484"/>
      <c r="D88" s="484"/>
      <c r="E88" s="484"/>
      <c r="F88" s="1777"/>
      <c r="G88" s="484"/>
      <c r="H88" s="484"/>
      <c r="I88" s="484"/>
      <c r="J88" s="484"/>
      <c r="K88" s="484"/>
      <c r="L88" s="484"/>
      <c r="M88" s="510"/>
      <c r="N88" s="875"/>
      <c r="O88" s="875"/>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2"/>
      <c r="Q89" s="438"/>
    </row>
    <row r="90" spans="1:17" s="407" customFormat="1" ht="14.4" thickTop="1">
      <c r="A90" s="483"/>
      <c r="B90" s="468">
        <f>B27</f>
        <v>111</v>
      </c>
      <c r="C90" s="484"/>
      <c r="D90" s="484"/>
      <c r="E90" s="484"/>
      <c r="F90" s="484"/>
      <c r="G90" s="484"/>
      <c r="H90" s="485"/>
      <c r="I90" s="485"/>
      <c r="J90" s="485"/>
      <c r="K90" s="485"/>
      <c r="L90" s="486"/>
      <c r="M90" s="487"/>
      <c r="N90" s="878"/>
      <c r="O90" s="878"/>
      <c r="P90" s="1773"/>
      <c r="Q90" s="489"/>
    </row>
    <row r="91" spans="1:17" s="407" customFormat="1" ht="14.4" thickBot="1">
      <c r="A91" s="483"/>
      <c r="B91" s="473"/>
      <c r="C91" s="490"/>
      <c r="D91" s="490"/>
      <c r="E91" s="490"/>
      <c r="F91" s="490"/>
      <c r="G91" s="490"/>
      <c r="H91" s="492"/>
      <c r="I91" s="492"/>
      <c r="J91" s="492"/>
      <c r="K91" s="492"/>
      <c r="L91" s="492"/>
      <c r="M91" s="493"/>
      <c r="N91" s="878"/>
      <c r="O91" s="878"/>
      <c r="P91" s="1773"/>
      <c r="Q91" s="489"/>
    </row>
    <row r="92" spans="1:17" ht="14.4" thickTop="1">
      <c r="A92" s="366"/>
      <c r="B92" s="468">
        <f>B28</f>
        <v>111</v>
      </c>
      <c r="C92" s="484"/>
      <c r="D92" s="484"/>
      <c r="E92" s="484"/>
      <c r="F92" s="484"/>
      <c r="G92" s="512"/>
      <c r="H92" s="512"/>
      <c r="I92" s="512"/>
      <c r="J92" s="512"/>
      <c r="K92" s="513"/>
      <c r="L92" s="514"/>
      <c r="M92" s="515"/>
      <c r="N92" s="876"/>
      <c r="O92" s="876"/>
      <c r="P92" s="1772"/>
      <c r="Q92" s="438"/>
    </row>
    <row r="93" spans="1:17" ht="14.4" thickBot="1">
      <c r="A93" s="366"/>
      <c r="B93" s="473"/>
      <c r="C93" s="490"/>
      <c r="D93" s="466"/>
      <c r="E93" s="466"/>
      <c r="F93" s="466"/>
      <c r="G93" s="466"/>
      <c r="H93" s="466"/>
      <c r="I93" s="466"/>
      <c r="J93" s="466"/>
      <c r="K93" s="466"/>
      <c r="L93" s="466"/>
      <c r="M93" s="467"/>
      <c r="N93" s="877"/>
      <c r="O93" s="877"/>
      <c r="P93" s="1772"/>
      <c r="Q93" s="438"/>
    </row>
    <row r="94" spans="1:17" ht="14.4" thickTop="1">
      <c r="A94" s="366"/>
      <c r="B94" s="468">
        <f>B29</f>
        <v>111</v>
      </c>
      <c r="C94" s="484"/>
      <c r="D94" s="484"/>
      <c r="E94" s="484"/>
      <c r="F94" s="484"/>
      <c r="G94" s="512"/>
      <c r="H94" s="512"/>
      <c r="I94" s="512"/>
      <c r="J94" s="512"/>
      <c r="K94" s="513"/>
      <c r="L94" s="514"/>
      <c r="M94" s="515"/>
      <c r="N94" s="876"/>
      <c r="O94" s="876"/>
      <c r="P94" s="1772"/>
      <c r="Q94" s="438"/>
    </row>
    <row r="95" spans="1:17" ht="14.4" thickBot="1">
      <c r="A95" s="366"/>
      <c r="B95" s="473"/>
      <c r="C95" s="490"/>
      <c r="D95" s="490"/>
      <c r="E95" s="490"/>
      <c r="F95" s="490"/>
      <c r="G95" s="466"/>
      <c r="H95" s="466"/>
      <c r="I95" s="466"/>
      <c r="J95" s="466"/>
      <c r="K95" s="466"/>
      <c r="L95" s="466"/>
      <c r="M95" s="467"/>
      <c r="N95" s="877"/>
      <c r="O95" s="877"/>
      <c r="P95" s="1772"/>
      <c r="Q95" s="438"/>
    </row>
    <row r="96" spans="1:17" ht="14.4" thickTop="1">
      <c r="A96" s="366"/>
      <c r="B96" s="468">
        <f>B30</f>
        <v>111</v>
      </c>
      <c r="C96" s="484"/>
      <c r="D96" s="484"/>
      <c r="E96" s="484"/>
      <c r="F96" s="484"/>
      <c r="G96" s="512"/>
      <c r="H96" s="512"/>
      <c r="I96" s="512"/>
      <c r="J96" s="512"/>
      <c r="K96" s="513"/>
      <c r="L96" s="514"/>
      <c r="M96" s="515"/>
      <c r="N96" s="876"/>
      <c r="O96" s="876"/>
      <c r="P96" s="1772"/>
      <c r="Q96" s="438"/>
    </row>
    <row r="97" spans="1:17" ht="14.4" thickBot="1">
      <c r="A97" s="366"/>
      <c r="B97" s="473"/>
      <c r="C97" s="500"/>
      <c r="D97" s="500"/>
      <c r="E97" s="500"/>
      <c r="F97" s="500"/>
      <c r="G97" s="466"/>
      <c r="H97" s="466"/>
      <c r="I97" s="466"/>
      <c r="J97" s="466"/>
      <c r="K97" s="466"/>
      <c r="L97" s="466"/>
      <c r="M97" s="467"/>
      <c r="N97" s="877"/>
      <c r="O97" s="877"/>
      <c r="P97" s="1772"/>
      <c r="Q97" s="438"/>
    </row>
    <row r="98" spans="1:17" ht="14.4" thickTop="1">
      <c r="A98" s="366"/>
      <c r="B98" s="476">
        <f>B31</f>
        <v>111</v>
      </c>
      <c r="C98" s="516"/>
      <c r="D98" s="516"/>
      <c r="E98" s="516"/>
      <c r="F98" s="516"/>
      <c r="G98" s="516"/>
      <c r="H98" s="516"/>
      <c r="I98" s="516"/>
      <c r="J98" s="516"/>
      <c r="K98" s="517"/>
      <c r="L98" s="518"/>
      <c r="M98" s="519"/>
      <c r="N98" s="876"/>
      <c r="O98" s="876"/>
      <c r="P98" s="1772"/>
      <c r="Q98" s="438"/>
    </row>
    <row r="99" spans="1:17" ht="14.4" thickBot="1">
      <c r="A99" s="374"/>
      <c r="B99" s="499"/>
      <c r="C99" s="520"/>
      <c r="D99" s="520"/>
      <c r="E99" s="520"/>
      <c r="F99" s="520"/>
      <c r="G99" s="520"/>
      <c r="H99" s="520"/>
      <c r="I99" s="520"/>
      <c r="J99" s="520"/>
      <c r="K99" s="520"/>
      <c r="L99" s="520"/>
      <c r="M99" s="521"/>
      <c r="N99" s="877"/>
      <c r="O99" s="877"/>
      <c r="P99" s="1772"/>
      <c r="Q99" s="438"/>
    </row>
    <row r="100" spans="1:17" ht="14.4">
      <c r="A100" s="378" t="s">
        <v>1694</v>
      </c>
      <c r="B100" s="459" t="s">
        <v>1736</v>
      </c>
      <c r="C100" s="461"/>
      <c r="D100" s="461"/>
      <c r="E100" s="461"/>
      <c r="F100" s="461"/>
      <c r="G100" s="461"/>
      <c r="H100" s="461"/>
      <c r="I100" s="461"/>
      <c r="J100" s="461"/>
      <c r="K100" s="462"/>
      <c r="L100" s="463"/>
      <c r="M100" s="464"/>
      <c r="N100" s="876"/>
      <c r="O100" s="876"/>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7"/>
      <c r="O101" s="877"/>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2"/>
      <c r="Q102" s="438"/>
    </row>
    <row r="103" spans="1:17" s="407" customFormat="1">
      <c r="A103" s="405"/>
      <c r="B103" s="522"/>
      <c r="C103" s="6"/>
      <c r="D103" s="6"/>
      <c r="E103" s="6"/>
      <c r="F103" s="6"/>
      <c r="G103" s="6"/>
      <c r="H103" s="6"/>
      <c r="I103" s="6"/>
      <c r="J103" s="523"/>
      <c r="K103" s="523"/>
      <c r="L103" s="524"/>
      <c r="M103" s="525"/>
      <c r="N103" s="878"/>
      <c r="O103" s="878"/>
      <c r="P103" s="1773"/>
      <c r="Q103" s="489"/>
    </row>
    <row r="104" spans="1:17" s="407" customFormat="1" ht="14.4" thickBot="1">
      <c r="A104" s="483"/>
      <c r="B104" s="473"/>
      <c r="C104" s="490"/>
      <c r="D104" s="466"/>
      <c r="E104" s="466"/>
      <c r="F104" s="466"/>
      <c r="G104" s="466"/>
      <c r="H104" s="466"/>
      <c r="I104" s="466"/>
      <c r="J104" s="466"/>
      <c r="K104" s="466"/>
      <c r="L104" s="466"/>
      <c r="M104" s="466"/>
      <c r="N104" s="877"/>
      <c r="O104" s="877"/>
      <c r="P104" s="1773"/>
      <c r="Q104" s="489"/>
    </row>
    <row r="105" spans="1:17" ht="15" thickTop="1">
      <c r="A105" s="408"/>
      <c r="B105" s="468" t="s">
        <v>1738</v>
      </c>
      <c r="C105" s="484"/>
      <c r="D105" s="484"/>
      <c r="E105" s="512"/>
      <c r="F105" s="512"/>
      <c r="G105" s="512"/>
      <c r="H105" s="512"/>
      <c r="I105" s="512"/>
      <c r="J105" s="512"/>
      <c r="K105" s="513"/>
      <c r="L105" s="514"/>
      <c r="M105" s="515"/>
      <c r="N105" s="876"/>
      <c r="O105" s="876"/>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7"/>
      <c r="O106" s="877"/>
      <c r="P106" s="1772"/>
      <c r="Q106" s="438"/>
    </row>
    <row r="107" spans="1:17" ht="15" thickTop="1">
      <c r="A107" s="408"/>
      <c r="B107" s="468" t="s">
        <v>1739</v>
      </c>
      <c r="C107" s="512"/>
      <c r="D107" s="512"/>
      <c r="E107" s="512"/>
      <c r="F107" s="512"/>
      <c r="G107" s="512"/>
      <c r="H107" s="512"/>
      <c r="I107" s="512"/>
      <c r="J107" s="512"/>
      <c r="K107" s="513"/>
      <c r="L107" s="514"/>
      <c r="M107" s="515"/>
      <c r="N107" s="876"/>
      <c r="O107" s="876"/>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72"/>
      <c r="Q108" s="438"/>
    </row>
    <row r="109" spans="1:17" ht="15" thickTop="1">
      <c r="A109" s="408"/>
      <c r="B109" s="468" t="s">
        <v>1740</v>
      </c>
      <c r="C109" s="484"/>
      <c r="D109" s="484"/>
      <c r="E109" s="484"/>
      <c r="F109" s="512"/>
      <c r="G109" s="512"/>
      <c r="H109" s="512"/>
      <c r="I109" s="512"/>
      <c r="J109" s="512"/>
      <c r="K109" s="513"/>
      <c r="L109" s="514"/>
      <c r="M109" s="515"/>
      <c r="N109" s="876"/>
      <c r="O109" s="876"/>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7"/>
      <c r="O110" s="877"/>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73"/>
      <c r="Q113" s="489"/>
    </row>
    <row r="114" spans="1:17" ht="15" thickTop="1">
      <c r="A114" s="408"/>
      <c r="B114" s="468" t="s">
        <v>1741</v>
      </c>
      <c r="C114" s="484"/>
      <c r="D114" s="484"/>
      <c r="E114" s="512"/>
      <c r="F114" s="512"/>
      <c r="G114" s="512"/>
      <c r="H114" s="512"/>
      <c r="I114" s="512"/>
      <c r="J114" s="512"/>
      <c r="K114" s="513"/>
      <c r="L114" s="514"/>
      <c r="M114" s="515"/>
      <c r="N114" s="876"/>
      <c r="O114" s="876"/>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7"/>
      <c r="O115" s="877"/>
      <c r="P115" s="1772"/>
      <c r="Q115" s="438"/>
    </row>
    <row r="116" spans="1:17" ht="15" thickTop="1">
      <c r="A116" s="408"/>
      <c r="B116" s="468" t="s">
        <v>1742</v>
      </c>
      <c r="C116" s="484"/>
      <c r="D116" s="484"/>
      <c r="E116" s="484"/>
      <c r="F116" s="484"/>
      <c r="G116" s="484"/>
      <c r="H116" s="512"/>
      <c r="I116" s="512"/>
      <c r="J116" s="512"/>
      <c r="K116" s="513"/>
      <c r="L116" s="514"/>
      <c r="M116" s="515"/>
      <c r="N116" s="876"/>
      <c r="O116" s="876"/>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72"/>
      <c r="Q117" s="438"/>
    </row>
    <row r="118" spans="1:17" ht="15" thickTop="1">
      <c r="A118" s="408"/>
      <c r="B118" s="468" t="s">
        <v>1743</v>
      </c>
      <c r="C118" s="512"/>
      <c r="D118" s="512"/>
      <c r="E118" s="512"/>
      <c r="F118" s="512"/>
      <c r="G118" s="512"/>
      <c r="H118" s="512"/>
      <c r="I118" s="512"/>
      <c r="J118" s="512"/>
      <c r="K118" s="513"/>
      <c r="L118" s="514"/>
      <c r="M118" s="515"/>
      <c r="N118" s="876"/>
      <c r="O118" s="876"/>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2"/>
      <c r="Q119" s="438"/>
    </row>
    <row r="120" spans="1:17" s="407" customFormat="1" ht="29.4" thickTop="1">
      <c r="A120" s="405"/>
      <c r="B120" s="468" t="s">
        <v>1705</v>
      </c>
      <c r="C120" s="484"/>
      <c r="D120" s="484"/>
      <c r="E120" s="484"/>
      <c r="F120" s="484"/>
      <c r="G120" s="484"/>
      <c r="H120" s="484"/>
      <c r="I120" s="484"/>
      <c r="J120" s="484"/>
      <c r="K120" s="484"/>
      <c r="L120" s="509"/>
      <c r="M120" s="510"/>
      <c r="N120" s="878"/>
      <c r="O120" s="878"/>
      <c r="P120" s="1773"/>
      <c r="Q120" s="489"/>
    </row>
    <row r="121" spans="1:17" s="407" customFormat="1" ht="14.4" thickBot="1">
      <c r="A121" s="483"/>
      <c r="B121" s="465"/>
      <c r="C121" s="490"/>
      <c r="D121" s="466"/>
      <c r="E121" s="466"/>
      <c r="F121" s="466"/>
      <c r="G121" s="466"/>
      <c r="H121" s="466"/>
      <c r="I121" s="466"/>
      <c r="J121" s="466"/>
      <c r="K121" s="466"/>
      <c r="L121" s="466"/>
      <c r="M121" s="466"/>
      <c r="N121" s="878"/>
      <c r="O121" s="878"/>
      <c r="P121" s="1773"/>
      <c r="Q121" s="489"/>
    </row>
    <row r="122" spans="1:17" ht="15" thickTop="1">
      <c r="A122" s="408"/>
      <c r="B122" s="468" t="s">
        <v>1744</v>
      </c>
      <c r="C122" s="484"/>
      <c r="D122" s="484"/>
      <c r="E122" s="484"/>
      <c r="F122" s="512"/>
      <c r="G122" s="512"/>
      <c r="H122" s="512"/>
      <c r="I122" s="512"/>
      <c r="J122" s="512"/>
      <c r="K122" s="513"/>
      <c r="L122" s="514"/>
      <c r="M122" s="515"/>
      <c r="N122" s="876"/>
      <c r="O122" s="876"/>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7"/>
      <c r="O123" s="877"/>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6"/>
      <c r="O124" s="876"/>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72"/>
      <c r="Q125" s="438"/>
    </row>
    <row r="126" spans="1:17" s="407" customFormat="1" ht="14.4" thickTop="1">
      <c r="A126" s="405"/>
      <c r="B126" s="468">
        <f>B44</f>
        <v>111</v>
      </c>
      <c r="C126" s="484"/>
      <c r="D126" s="484"/>
      <c r="E126" s="484"/>
      <c r="F126" s="484"/>
      <c r="G126" s="484"/>
      <c r="H126" s="485"/>
      <c r="I126" s="485"/>
      <c r="J126" s="485"/>
      <c r="K126" s="485"/>
      <c r="L126" s="486"/>
      <c r="M126" s="487"/>
      <c r="N126" s="878"/>
      <c r="O126" s="878"/>
      <c r="P126" s="1773"/>
      <c r="Q126" s="489"/>
    </row>
    <row r="127" spans="1:17" s="407" customFormat="1" ht="14.4" thickBot="1">
      <c r="A127" s="483"/>
      <c r="B127" s="473"/>
      <c r="C127" s="490"/>
      <c r="D127" s="466"/>
      <c r="E127" s="466"/>
      <c r="F127" s="466"/>
      <c r="G127" s="490"/>
      <c r="H127" s="492"/>
      <c r="I127" s="492"/>
      <c r="J127" s="492"/>
      <c r="K127" s="492"/>
      <c r="L127" s="492"/>
      <c r="M127" s="493"/>
      <c r="N127" s="878"/>
      <c r="O127" s="878"/>
      <c r="P127" s="1773"/>
      <c r="Q127" s="489"/>
    </row>
    <row r="128" spans="1:17" ht="14.4" thickTop="1">
      <c r="A128" s="408"/>
      <c r="B128" s="468">
        <f>B45</f>
        <v>111</v>
      </c>
      <c r="C128" s="484"/>
      <c r="D128" s="484"/>
      <c r="E128" s="484"/>
      <c r="F128" s="484"/>
      <c r="G128" s="512"/>
      <c r="H128" s="512"/>
      <c r="I128" s="512"/>
      <c r="J128" s="512"/>
      <c r="K128" s="513"/>
      <c r="L128" s="514"/>
      <c r="M128" s="515"/>
      <c r="N128" s="876"/>
      <c r="O128" s="876"/>
      <c r="P128" s="1772"/>
      <c r="Q128" s="438"/>
    </row>
    <row r="129" spans="1:17" ht="14.4" thickBot="1">
      <c r="A129" s="366"/>
      <c r="B129" s="473"/>
      <c r="C129" s="490"/>
      <c r="D129" s="490"/>
      <c r="E129" s="490"/>
      <c r="F129" s="490"/>
      <c r="G129" s="466"/>
      <c r="H129" s="466"/>
      <c r="I129" s="466"/>
      <c r="J129" s="466"/>
      <c r="K129" s="466"/>
      <c r="L129" s="466"/>
      <c r="M129" s="467"/>
      <c r="N129" s="877"/>
      <c r="O129" s="877"/>
      <c r="P129" s="1772"/>
      <c r="Q129" s="438"/>
    </row>
    <row r="130" spans="1:17" ht="14.4" thickTop="1">
      <c r="A130" s="408"/>
      <c r="B130" s="476">
        <f>B46</f>
        <v>111</v>
      </c>
      <c r="C130" s="484"/>
      <c r="D130" s="484"/>
      <c r="E130" s="484"/>
      <c r="F130" s="484"/>
      <c r="G130" s="516"/>
      <c r="H130" s="516"/>
      <c r="I130" s="516"/>
      <c r="J130" s="516"/>
      <c r="K130" s="31"/>
      <c r="L130" s="456"/>
      <c r="M130" s="519"/>
      <c r="N130" s="876"/>
      <c r="O130" s="876"/>
      <c r="P130" s="1772"/>
      <c r="Q130" s="438"/>
    </row>
    <row r="131" spans="1:17" ht="14.4" thickBot="1">
      <c r="A131" s="374"/>
      <c r="B131" s="499"/>
      <c r="C131" s="500"/>
      <c r="D131" s="500"/>
      <c r="E131" s="500"/>
      <c r="F131" s="500"/>
      <c r="G131" s="520"/>
      <c r="H131" s="520"/>
      <c r="I131" s="520"/>
      <c r="J131" s="520"/>
      <c r="K131" s="520"/>
      <c r="L131" s="520"/>
      <c r="M131" s="521"/>
      <c r="N131" s="877"/>
      <c r="O131" s="877"/>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2">
        <f>ROUNDUP((J139-1)/2,0)</f>
        <v>10</v>
      </c>
      <c r="K140" s="822">
        <v>100</v>
      </c>
    </row>
    <row r="141" spans="1:17" ht="15">
      <c r="B141" s="817">
        <v>4</v>
      </c>
      <c r="C141" s="818">
        <v>102</v>
      </c>
      <c r="D141" s="818"/>
      <c r="E141" s="819"/>
      <c r="F141" s="820">
        <v>101.5</v>
      </c>
      <c r="G141" s="818"/>
      <c r="H141" s="821"/>
      <c r="I141" s="1791" t="s">
        <v>1758</v>
      </c>
      <c r="J141" s="262">
        <v>1</v>
      </c>
      <c r="K141" s="823">
        <f>ROUND(100+(J141-J140)*K139*100,1)</f>
        <v>96.4</v>
      </c>
    </row>
    <row r="142" spans="1:17" ht="15">
      <c r="B142" s="817">
        <v>3</v>
      </c>
      <c r="C142" s="818">
        <v>103</v>
      </c>
      <c r="D142" s="818"/>
      <c r="E142" s="819"/>
      <c r="F142" s="820">
        <v>101</v>
      </c>
      <c r="G142" s="818"/>
      <c r="H142" s="821"/>
      <c r="I142" s="1791" t="s">
        <v>1759</v>
      </c>
      <c r="J142" s="262">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1" customFormat="1" ht="28.5" customHeight="1" thickBot="1">
      <c r="A3" s="194" t="s">
        <v>1464</v>
      </c>
      <c r="B3" s="535">
        <f>IF(C2="——",C49,ROUND(B2*10000/D3,0))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07" t="s">
        <v>1771</v>
      </c>
      <c r="S4" s="3408"/>
      <c r="T4" s="3407" t="s">
        <v>1772</v>
      </c>
      <c r="U4" s="3408"/>
      <c r="V4" s="3432" t="s">
        <v>1773</v>
      </c>
      <c r="W4" s="3432"/>
      <c r="X4" s="1262"/>
      <c r="Y4" s="3407" t="s">
        <v>1775</v>
      </c>
      <c r="Z4" s="3408"/>
      <c r="AA4" s="3402" t="s">
        <v>1771</v>
      </c>
      <c r="AB4" s="3432" t="s">
        <v>1772</v>
      </c>
      <c r="AC4" s="3402" t="s">
        <v>1773</v>
      </c>
    </row>
    <row r="5" spans="1:29">
      <c r="A5" s="347"/>
      <c r="B5" s="348"/>
      <c r="C5" s="3413" t="s">
        <v>1673</v>
      </c>
      <c r="D5" s="3414"/>
      <c r="E5" s="3411" t="s">
        <v>1674</v>
      </c>
      <c r="F5" s="3412"/>
      <c r="G5" s="3413" t="s">
        <v>1675</v>
      </c>
      <c r="H5" s="3414"/>
      <c r="I5" s="3413" t="s">
        <v>1676</v>
      </c>
      <c r="J5" s="3414"/>
      <c r="K5" s="536"/>
      <c r="L5" s="2484"/>
      <c r="M5" s="2485"/>
      <c r="N5" s="2485"/>
      <c r="O5" s="2485"/>
      <c r="P5" s="3426"/>
      <c r="Q5" s="3427"/>
      <c r="R5" s="3409"/>
      <c r="S5" s="3410"/>
      <c r="T5" s="3409"/>
      <c r="U5" s="3410"/>
      <c r="V5" s="3432"/>
      <c r="W5" s="3432"/>
      <c r="X5" s="1262"/>
      <c r="Y5" s="3409"/>
      <c r="Z5" s="3410"/>
      <c r="AA5" s="3403"/>
      <c r="AB5" s="3432"/>
      <c r="AC5" s="3403"/>
    </row>
    <row r="6" spans="1:29" ht="15" thickBot="1">
      <c r="A6" s="349"/>
      <c r="B6" s="350"/>
      <c r="C6" s="3415" t="s">
        <v>1677</v>
      </c>
      <c r="D6" s="3416"/>
      <c r="E6" s="3417" t="s">
        <v>1677</v>
      </c>
      <c r="F6" s="3418"/>
      <c r="G6" s="3415" t="s">
        <v>1677</v>
      </c>
      <c r="H6" s="3416"/>
      <c r="I6" s="3415" t="s">
        <v>1677</v>
      </c>
      <c r="J6" s="3416"/>
      <c r="K6" s="536" t="s">
        <v>1678</v>
      </c>
      <c r="L6" s="2484"/>
      <c r="M6" s="2485"/>
      <c r="N6" s="2485"/>
      <c r="O6" s="2485"/>
      <c r="P6" s="3428"/>
      <c r="Q6" s="3429"/>
      <c r="R6" s="3409"/>
      <c r="S6" s="3410"/>
      <c r="T6" s="3430"/>
      <c r="U6" s="3431"/>
      <c r="V6" s="3432"/>
      <c r="W6" s="3432"/>
      <c r="X6" s="1262"/>
      <c r="Y6" s="3430"/>
      <c r="Z6" s="3431"/>
      <c r="AA6" s="3404"/>
      <c r="AB6" s="3432"/>
      <c r="AC6" s="3404"/>
    </row>
    <row r="7" spans="1:29" s="101" customFormat="1" ht="1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38"/>
      <c r="L7" s="2486"/>
      <c r="M7" s="2437"/>
      <c r="N7" s="2437"/>
      <c r="O7" s="2437"/>
      <c r="P7" s="3405" t="s">
        <v>1680</v>
      </c>
      <c r="Q7" s="3433"/>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19" t="s">
        <v>1686</v>
      </c>
      <c r="Q9" s="529"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19"/>
      <c r="Q10" s="529"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19"/>
      <c r="Q11" s="529"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419"/>
      <c r="Q12" s="529">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19"/>
      <c r="Q13" s="529">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19"/>
      <c r="Q14" s="529">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8" t="s">
        <v>1690</v>
      </c>
      <c r="B15" s="58" t="s">
        <v>1777</v>
      </c>
      <c r="C15" s="1747">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45" t="s">
        <v>1691</v>
      </c>
      <c r="Q15" s="1260" t="str">
        <f t="shared" si="6"/>
        <v>商业繁华度</v>
      </c>
      <c r="R15" s="666" t="s">
        <v>14</v>
      </c>
      <c r="S15" s="667">
        <f t="shared" si="0"/>
        <v>100</v>
      </c>
      <c r="T15" s="666" t="s">
        <v>14</v>
      </c>
      <c r="U15" s="667">
        <f t="shared" si="1"/>
        <v>100</v>
      </c>
      <c r="V15" s="666" t="s">
        <v>14</v>
      </c>
      <c r="W15" s="667">
        <f t="shared" si="2"/>
        <v>100</v>
      </c>
      <c r="X15" s="1262"/>
      <c r="Y15" s="3438"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46"/>
      <c r="Q16" s="1260"/>
      <c r="R16" s="666"/>
      <c r="S16" s="667"/>
      <c r="T16" s="666"/>
      <c r="U16" s="667"/>
      <c r="V16" s="666"/>
      <c r="W16" s="667"/>
      <c r="X16" s="1262"/>
      <c r="Y16" s="3439"/>
      <c r="Z16" s="1261"/>
      <c r="AA16" s="1261">
        <v>1</v>
      </c>
      <c r="AB16" s="1261">
        <v>1</v>
      </c>
      <c r="AC16" s="1261">
        <v>1</v>
      </c>
    </row>
    <row r="17" spans="1:29" ht="15">
      <c r="A17" s="366"/>
      <c r="B17" s="389" t="s">
        <v>1259</v>
      </c>
      <c r="C17" s="1751">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46"/>
      <c r="Q17" s="1260" t="str">
        <f>B17</f>
        <v>交通便捷度</v>
      </c>
      <c r="R17" s="666" t="s">
        <v>14</v>
      </c>
      <c r="S17" s="667">
        <f>F17</f>
        <v>100</v>
      </c>
      <c r="T17" s="666" t="s">
        <v>14</v>
      </c>
      <c r="U17" s="667">
        <f>H17</f>
        <v>100</v>
      </c>
      <c r="V17" s="666" t="s">
        <v>14</v>
      </c>
      <c r="W17" s="667">
        <f>J17</f>
        <v>100</v>
      </c>
      <c r="X17" s="1262"/>
      <c r="Y17" s="3439"/>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46"/>
      <c r="Q18" s="1260"/>
      <c r="R18" s="666"/>
      <c r="S18" s="667"/>
      <c r="T18" s="666"/>
      <c r="U18" s="667"/>
      <c r="V18" s="666"/>
      <c r="W18" s="667"/>
      <c r="X18" s="1262"/>
      <c r="Y18" s="3439"/>
      <c r="Z18" s="1261"/>
      <c r="AA18" s="1261">
        <v>1</v>
      </c>
      <c r="AB18" s="1261">
        <v>1</v>
      </c>
      <c r="AC18" s="1261">
        <v>1</v>
      </c>
    </row>
    <row r="19" spans="1:29" ht="15">
      <c r="A19" s="366"/>
      <c r="B19" s="389" t="s">
        <v>1778</v>
      </c>
      <c r="C19" s="1751">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46"/>
      <c r="Q19" s="1260" t="str">
        <f>B19</f>
        <v>公共配套设施</v>
      </c>
      <c r="R19" s="666" t="s">
        <v>14</v>
      </c>
      <c r="S19" s="667">
        <f>F19</f>
        <v>100</v>
      </c>
      <c r="T19" s="666" t="s">
        <v>14</v>
      </c>
      <c r="U19" s="667">
        <f>H19</f>
        <v>100</v>
      </c>
      <c r="V19" s="666" t="s">
        <v>14</v>
      </c>
      <c r="W19" s="667">
        <f>J19</f>
        <v>100</v>
      </c>
      <c r="X19" s="1262"/>
      <c r="Y19" s="3439"/>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46"/>
      <c r="Q20" s="1260"/>
      <c r="R20" s="666"/>
      <c r="S20" s="667"/>
      <c r="T20" s="666"/>
      <c r="U20" s="667"/>
      <c r="V20" s="666"/>
      <c r="W20" s="667"/>
      <c r="X20" s="1262"/>
      <c r="Y20" s="3439"/>
      <c r="Z20" s="1261"/>
      <c r="AA20" s="1261">
        <v>1</v>
      </c>
      <c r="AB20" s="1261">
        <v>1</v>
      </c>
      <c r="AC20" s="1261">
        <v>1</v>
      </c>
    </row>
    <row r="21" spans="1:29" ht="15">
      <c r="A21" s="366"/>
      <c r="B21" s="585" t="s">
        <v>1779</v>
      </c>
      <c r="C21" s="1751">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46"/>
      <c r="Q21" s="1260" t="str">
        <f>B21</f>
        <v>基础设施水平</v>
      </c>
      <c r="R21" s="666" t="s">
        <v>14</v>
      </c>
      <c r="S21" s="667">
        <f>F21</f>
        <v>100</v>
      </c>
      <c r="T21" s="666" t="s">
        <v>14</v>
      </c>
      <c r="U21" s="667">
        <f>H21</f>
        <v>100</v>
      </c>
      <c r="V21" s="666" t="s">
        <v>14</v>
      </c>
      <c r="W21" s="667">
        <f>J21</f>
        <v>100</v>
      </c>
      <c r="X21" s="1262"/>
      <c r="Y21" s="3439"/>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2490"/>
      <c r="M22" s="2485"/>
      <c r="N22" s="2485"/>
      <c r="O22" s="2485"/>
      <c r="P22" s="3446"/>
      <c r="Q22" s="1260"/>
      <c r="R22" s="666"/>
      <c r="S22" s="667"/>
      <c r="T22" s="666"/>
      <c r="U22" s="667"/>
      <c r="V22" s="666"/>
      <c r="W22" s="667"/>
      <c r="X22" s="1262"/>
      <c r="Y22" s="3439"/>
      <c r="Z22" s="1261"/>
      <c r="AA22" s="1261">
        <v>1</v>
      </c>
      <c r="AB22" s="1261">
        <v>1</v>
      </c>
      <c r="AC22" s="1261">
        <v>1</v>
      </c>
    </row>
    <row r="23" spans="1:29" ht="15">
      <c r="A23" s="366"/>
      <c r="B23" s="389" t="s">
        <v>1261</v>
      </c>
      <c r="C23" s="1803">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46"/>
      <c r="Q23" s="1260" t="str">
        <f>B23</f>
        <v>自然及人文环境</v>
      </c>
      <c r="R23" s="666" t="s">
        <v>14</v>
      </c>
      <c r="S23" s="667">
        <f>F23</f>
        <v>100</v>
      </c>
      <c r="T23" s="666" t="s">
        <v>14</v>
      </c>
      <c r="U23" s="667">
        <f>H23</f>
        <v>100</v>
      </c>
      <c r="V23" s="666" t="s">
        <v>14</v>
      </c>
      <c r="W23" s="667">
        <f>J23</f>
        <v>100</v>
      </c>
      <c r="X23" s="1262"/>
      <c r="Y23" s="3439"/>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46"/>
      <c r="Q24" s="1260"/>
      <c r="R24" s="666"/>
      <c r="S24" s="667"/>
      <c r="T24" s="666"/>
      <c r="U24" s="667"/>
      <c r="V24" s="666"/>
      <c r="W24" s="667"/>
      <c r="X24" s="1262"/>
      <c r="Y24" s="3439"/>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46"/>
      <c r="Q25" s="1260" t="str">
        <f t="shared" ref="Q25:Q46" si="11">B25</f>
        <v>临街状况</v>
      </c>
      <c r="R25" s="666" t="s">
        <v>14</v>
      </c>
      <c r="S25" s="667">
        <f>F25</f>
        <v>100</v>
      </c>
      <c r="T25" s="666" t="s">
        <v>14</v>
      </c>
      <c r="U25" s="667">
        <f>H25</f>
        <v>100</v>
      </c>
      <c r="V25" s="666" t="s">
        <v>14</v>
      </c>
      <c r="W25" s="667">
        <f>J25</f>
        <v>100</v>
      </c>
      <c r="X25" s="1262"/>
      <c r="Y25" s="3439"/>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46"/>
      <c r="Q26" s="1260" t="str">
        <f t="shared" si="11"/>
        <v>平面位置/可视性</v>
      </c>
      <c r="R26" s="666" t="s">
        <v>14</v>
      </c>
      <c r="S26" s="667">
        <f>F26</f>
        <v>100</v>
      </c>
      <c r="T26" s="666" t="s">
        <v>14</v>
      </c>
      <c r="U26" s="667">
        <f>H26</f>
        <v>100</v>
      </c>
      <c r="V26" s="666" t="s">
        <v>14</v>
      </c>
      <c r="W26" s="667">
        <f>J26</f>
        <v>100</v>
      </c>
      <c r="X26" s="1262"/>
      <c r="Y26" s="3439"/>
      <c r="Z26" s="1261" t="str">
        <f>Q26</f>
        <v>平面位置/可视性</v>
      </c>
      <c r="AA26" s="1261">
        <f t="shared" si="3"/>
        <v>1</v>
      </c>
      <c r="AB26" s="1261">
        <f t="shared" si="4"/>
        <v>1</v>
      </c>
      <c r="AC26" s="1261">
        <f t="shared" si="5"/>
        <v>1</v>
      </c>
    </row>
    <row r="27" spans="1:29" s="101"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46"/>
      <c r="Q27" s="529" t="str">
        <f t="shared" si="11"/>
        <v>人流量</v>
      </c>
      <c r="R27" s="663" t="s">
        <v>14</v>
      </c>
      <c r="S27" s="664">
        <f>F27</f>
        <v>100</v>
      </c>
      <c r="T27" s="663" t="s">
        <v>14</v>
      </c>
      <c r="U27" s="664">
        <f>H27</f>
        <v>100</v>
      </c>
      <c r="V27" s="663" t="s">
        <v>14</v>
      </c>
      <c r="W27" s="664">
        <f>J27</f>
        <v>100</v>
      </c>
      <c r="X27" s="665"/>
      <c r="Y27" s="3439"/>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46"/>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39"/>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46"/>
      <c r="Q29" s="1260">
        <f t="shared" si="11"/>
        <v>111</v>
      </c>
      <c r="R29" s="666" t="s">
        <v>14</v>
      </c>
      <c r="S29" s="667">
        <f t="shared" si="12"/>
        <v>100</v>
      </c>
      <c r="T29" s="666" t="s">
        <v>14</v>
      </c>
      <c r="U29" s="667">
        <f t="shared" si="13"/>
        <v>100</v>
      </c>
      <c r="V29" s="666" t="s">
        <v>14</v>
      </c>
      <c r="W29" s="667">
        <f t="shared" si="14"/>
        <v>100</v>
      </c>
      <c r="X29" s="1262"/>
      <c r="Y29" s="3439"/>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46"/>
      <c r="Q30" s="1260">
        <f t="shared" si="11"/>
        <v>111</v>
      </c>
      <c r="R30" s="666" t="s">
        <v>14</v>
      </c>
      <c r="S30" s="667">
        <f t="shared" si="12"/>
        <v>100</v>
      </c>
      <c r="T30" s="666" t="s">
        <v>14</v>
      </c>
      <c r="U30" s="667">
        <f t="shared" si="13"/>
        <v>100</v>
      </c>
      <c r="V30" s="666" t="s">
        <v>14</v>
      </c>
      <c r="W30" s="667">
        <f t="shared" si="14"/>
        <v>100</v>
      </c>
      <c r="X30" s="1262"/>
      <c r="Y30" s="3439"/>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46"/>
      <c r="Q31" s="1260">
        <f t="shared" si="11"/>
        <v>111</v>
      </c>
      <c r="R31" s="666" t="s">
        <v>14</v>
      </c>
      <c r="S31" s="667">
        <f t="shared" si="12"/>
        <v>100</v>
      </c>
      <c r="T31" s="666" t="s">
        <v>14</v>
      </c>
      <c r="U31" s="667">
        <f t="shared" si="13"/>
        <v>100</v>
      </c>
      <c r="V31" s="666" t="s">
        <v>14</v>
      </c>
      <c r="W31" s="667">
        <f t="shared" si="14"/>
        <v>100</v>
      </c>
      <c r="X31" s="1262"/>
      <c r="Y31" s="3439"/>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40" t="s">
        <v>1696</v>
      </c>
      <c r="Q32" s="1260" t="str">
        <f t="shared" si="11"/>
        <v>商业类型</v>
      </c>
      <c r="R32" s="666" t="s">
        <v>14</v>
      </c>
      <c r="S32" s="667">
        <f t="shared" si="12"/>
        <v>100</v>
      </c>
      <c r="T32" s="666" t="s">
        <v>14</v>
      </c>
      <c r="U32" s="667">
        <f t="shared" si="13"/>
        <v>100</v>
      </c>
      <c r="V32" s="666" t="s">
        <v>14</v>
      </c>
      <c r="W32" s="667">
        <f t="shared" si="14"/>
        <v>100</v>
      </c>
      <c r="X32" s="1262"/>
      <c r="Y32" s="3443"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41"/>
      <c r="Q33" s="530" t="str">
        <f t="shared" si="11"/>
        <v>项目建筑规模</v>
      </c>
      <c r="R33" s="668" t="s">
        <v>14</v>
      </c>
      <c r="S33" s="669" t="e">
        <f t="shared" si="12"/>
        <v>#N/A</v>
      </c>
      <c r="T33" s="668" t="s">
        <v>14</v>
      </c>
      <c r="U33" s="669" t="e">
        <f t="shared" si="13"/>
        <v>#N/A</v>
      </c>
      <c r="V33" s="668" t="s">
        <v>14</v>
      </c>
      <c r="W33" s="669" t="e">
        <f t="shared" si="14"/>
        <v>#N/A</v>
      </c>
      <c r="X33" s="670"/>
      <c r="Y33" s="3443"/>
      <c r="Z33" s="671"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41"/>
      <c r="Q34" s="1260" t="str">
        <f t="shared" si="11"/>
        <v>建筑结构</v>
      </c>
      <c r="R34" s="666" t="s">
        <v>14</v>
      </c>
      <c r="S34" s="667">
        <f t="shared" si="12"/>
        <v>100</v>
      </c>
      <c r="T34" s="666" t="s">
        <v>14</v>
      </c>
      <c r="U34" s="667">
        <f t="shared" si="13"/>
        <v>100</v>
      </c>
      <c r="V34" s="666" t="s">
        <v>14</v>
      </c>
      <c r="W34" s="667">
        <f t="shared" si="14"/>
        <v>100</v>
      </c>
      <c r="X34" s="1262"/>
      <c r="Y34" s="3443"/>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41"/>
      <c r="Q35" s="1260" t="str">
        <f t="shared" si="11"/>
        <v>公共部分装修</v>
      </c>
      <c r="R35" s="666" t="s">
        <v>14</v>
      </c>
      <c r="S35" s="667">
        <f t="shared" si="12"/>
        <v>100</v>
      </c>
      <c r="T35" s="666" t="s">
        <v>14</v>
      </c>
      <c r="U35" s="667">
        <f t="shared" si="13"/>
        <v>100</v>
      </c>
      <c r="V35" s="666" t="s">
        <v>14</v>
      </c>
      <c r="W35" s="667">
        <f t="shared" si="14"/>
        <v>100</v>
      </c>
      <c r="X35" s="1262"/>
      <c r="Y35" s="3443"/>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41"/>
      <c r="Q36" s="1260" t="str">
        <f t="shared" si="11"/>
        <v>成新度</v>
      </c>
      <c r="R36" s="666" t="s">
        <v>14</v>
      </c>
      <c r="S36" s="667" t="e">
        <f t="shared" si="12"/>
        <v>#N/A</v>
      </c>
      <c r="T36" s="666" t="s">
        <v>14</v>
      </c>
      <c r="U36" s="667" t="e">
        <f t="shared" si="13"/>
        <v>#N/A</v>
      </c>
      <c r="V36" s="666" t="s">
        <v>14</v>
      </c>
      <c r="W36" s="667" t="e">
        <f t="shared" si="14"/>
        <v>#N/A</v>
      </c>
      <c r="X36" s="1262"/>
      <c r="Y36" s="3443"/>
      <c r="Z36" s="1261" t="str">
        <f t="shared" si="15"/>
        <v>成新度</v>
      </c>
      <c r="AA36" s="1261" t="e">
        <f t="shared" si="3"/>
        <v>#N/A</v>
      </c>
      <c r="AB36" s="1261" t="e">
        <f t="shared" si="4"/>
        <v>#N/A</v>
      </c>
      <c r="AC36" s="1261" t="e">
        <f t="shared" si="5"/>
        <v>#N/A</v>
      </c>
    </row>
    <row r="37" spans="1:29" s="101"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41"/>
      <c r="Q37" s="529" t="str">
        <f t="shared" si="11"/>
        <v>市政基础设施</v>
      </c>
      <c r="R37" s="663" t="s">
        <v>14</v>
      </c>
      <c r="S37" s="664">
        <f t="shared" si="12"/>
        <v>100</v>
      </c>
      <c r="T37" s="663" t="s">
        <v>14</v>
      </c>
      <c r="U37" s="664">
        <f t="shared" si="13"/>
        <v>100</v>
      </c>
      <c r="V37" s="663" t="s">
        <v>14</v>
      </c>
      <c r="W37" s="664">
        <f t="shared" si="14"/>
        <v>100</v>
      </c>
      <c r="X37" s="665"/>
      <c r="Y37" s="3443"/>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41" t="s">
        <v>1696</v>
      </c>
      <c r="Q38" s="1260" t="str">
        <f t="shared" si="11"/>
        <v>业态</v>
      </c>
      <c r="R38" s="666" t="s">
        <v>14</v>
      </c>
      <c r="S38" s="667">
        <f t="shared" si="12"/>
        <v>100</v>
      </c>
      <c r="T38" s="666" t="s">
        <v>14</v>
      </c>
      <c r="U38" s="667">
        <f t="shared" si="13"/>
        <v>100</v>
      </c>
      <c r="V38" s="666" t="s">
        <v>14</v>
      </c>
      <c r="W38" s="667">
        <f t="shared" si="14"/>
        <v>100</v>
      </c>
      <c r="X38" s="1262"/>
      <c r="Y38" s="3443"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41"/>
      <c r="Q39" s="1260" t="str">
        <f t="shared" si="11"/>
        <v>层高</v>
      </c>
      <c r="R39" s="666" t="s">
        <v>14</v>
      </c>
      <c r="S39" s="667">
        <f t="shared" si="12"/>
        <v>100</v>
      </c>
      <c r="T39" s="666" t="s">
        <v>14</v>
      </c>
      <c r="U39" s="667">
        <f t="shared" si="13"/>
        <v>100</v>
      </c>
      <c r="V39" s="666" t="s">
        <v>14</v>
      </c>
      <c r="W39" s="667">
        <f t="shared" si="14"/>
        <v>100</v>
      </c>
      <c r="X39" s="1262"/>
      <c r="Y39" s="3443"/>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41"/>
      <c r="Q40" s="1260" t="str">
        <f t="shared" si="11"/>
        <v>单套建筑面积</v>
      </c>
      <c r="R40" s="666" t="s">
        <v>14</v>
      </c>
      <c r="S40" s="667">
        <f t="shared" si="12"/>
        <v>100</v>
      </c>
      <c r="T40" s="666" t="s">
        <v>14</v>
      </c>
      <c r="U40" s="667">
        <f t="shared" si="13"/>
        <v>100</v>
      </c>
      <c r="V40" s="666" t="s">
        <v>14</v>
      </c>
      <c r="W40" s="667">
        <f t="shared" si="14"/>
        <v>100</v>
      </c>
      <c r="X40" s="1262"/>
      <c r="Y40" s="3443"/>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41"/>
      <c r="Q41" s="530" t="str">
        <f t="shared" si="11"/>
        <v>进深比</v>
      </c>
      <c r="R41" s="668" t="s">
        <v>14</v>
      </c>
      <c r="S41" s="669">
        <f t="shared" si="12"/>
        <v>100</v>
      </c>
      <c r="T41" s="668" t="s">
        <v>14</v>
      </c>
      <c r="U41" s="669">
        <f t="shared" si="13"/>
        <v>100</v>
      </c>
      <c r="V41" s="668" t="s">
        <v>14</v>
      </c>
      <c r="W41" s="669">
        <f t="shared" si="14"/>
        <v>100</v>
      </c>
      <c r="X41" s="670"/>
      <c r="Y41" s="3443"/>
      <c r="Z41" s="671"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41"/>
      <c r="Q42" s="1260" t="str">
        <f t="shared" si="11"/>
        <v>内部装修</v>
      </c>
      <c r="R42" s="666" t="s">
        <v>14</v>
      </c>
      <c r="S42" s="667">
        <f t="shared" si="12"/>
        <v>100</v>
      </c>
      <c r="T42" s="666" t="s">
        <v>14</v>
      </c>
      <c r="U42" s="667">
        <f t="shared" si="13"/>
        <v>100</v>
      </c>
      <c r="V42" s="666" t="s">
        <v>14</v>
      </c>
      <c r="W42" s="667">
        <f t="shared" si="14"/>
        <v>100</v>
      </c>
      <c r="X42" s="1262"/>
      <c r="Y42" s="3443"/>
      <c r="Z42" s="1261" t="str">
        <f t="shared" si="15"/>
        <v>内部装修</v>
      </c>
      <c r="AA42" s="1261">
        <f t="shared" si="3"/>
        <v>1</v>
      </c>
      <c r="AB42" s="1261">
        <f t="shared" si="4"/>
        <v>1</v>
      </c>
      <c r="AC42" s="1261">
        <f t="shared" si="5"/>
        <v>1</v>
      </c>
    </row>
    <row r="43" spans="1:29" ht="28.8">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41"/>
      <c r="Q43" s="1260" t="str">
        <f t="shared" si="11"/>
        <v>内部装修维护情况</v>
      </c>
      <c r="R43" s="666" t="s">
        <v>14</v>
      </c>
      <c r="S43" s="667">
        <f t="shared" si="12"/>
        <v>100</v>
      </c>
      <c r="T43" s="666" t="s">
        <v>14</v>
      </c>
      <c r="U43" s="667">
        <f t="shared" si="13"/>
        <v>100</v>
      </c>
      <c r="V43" s="666" t="s">
        <v>14</v>
      </c>
      <c r="W43" s="667">
        <f t="shared" si="14"/>
        <v>100</v>
      </c>
      <c r="X43" s="1262"/>
      <c r="Y43" s="3443"/>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41"/>
      <c r="Q44" s="529">
        <f t="shared" si="11"/>
        <v>111</v>
      </c>
      <c r="R44" s="663" t="s">
        <v>14</v>
      </c>
      <c r="S44" s="664">
        <f t="shared" si="12"/>
        <v>100</v>
      </c>
      <c r="T44" s="663" t="s">
        <v>14</v>
      </c>
      <c r="U44" s="664">
        <f t="shared" si="13"/>
        <v>100</v>
      </c>
      <c r="V44" s="663" t="s">
        <v>14</v>
      </c>
      <c r="W44" s="664">
        <f t="shared" si="14"/>
        <v>100</v>
      </c>
      <c r="X44" s="665"/>
      <c r="Y44" s="3443"/>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41"/>
      <c r="Q45" s="1260">
        <f t="shared" si="11"/>
        <v>111</v>
      </c>
      <c r="R45" s="666" t="s">
        <v>14</v>
      </c>
      <c r="S45" s="667">
        <f t="shared" si="12"/>
        <v>100</v>
      </c>
      <c r="T45" s="666" t="s">
        <v>14</v>
      </c>
      <c r="U45" s="667">
        <f t="shared" si="13"/>
        <v>100</v>
      </c>
      <c r="V45" s="666" t="s">
        <v>14</v>
      </c>
      <c r="W45" s="667">
        <f t="shared" si="14"/>
        <v>100</v>
      </c>
      <c r="X45" s="1262"/>
      <c r="Y45" s="3443"/>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42"/>
      <c r="Q46" s="1260">
        <f t="shared" si="11"/>
        <v>111</v>
      </c>
      <c r="R46" s="666" t="s">
        <v>14</v>
      </c>
      <c r="S46" s="667">
        <f t="shared" si="12"/>
        <v>100</v>
      </c>
      <c r="T46" s="666" t="s">
        <v>14</v>
      </c>
      <c r="U46" s="667">
        <f t="shared" si="13"/>
        <v>100</v>
      </c>
      <c r="V46" s="666" t="s">
        <v>14</v>
      </c>
      <c r="W46" s="667">
        <f t="shared" si="14"/>
        <v>100</v>
      </c>
      <c r="X46" s="1262"/>
      <c r="Y46" s="3444"/>
      <c r="Z46" s="1261">
        <f t="shared" si="15"/>
        <v>111</v>
      </c>
      <c r="AA46" s="1261">
        <f t="shared" si="3"/>
        <v>1</v>
      </c>
      <c r="AB46" s="1261">
        <f t="shared" si="4"/>
        <v>1</v>
      </c>
      <c r="AC46" s="1261">
        <f t="shared" si="5"/>
        <v>1</v>
      </c>
    </row>
    <row r="47" spans="1:29" ht="14.4">
      <c r="A47" s="415" t="s">
        <v>1708</v>
      </c>
      <c r="B47" s="416"/>
      <c r="C47" s="1078" t="s">
        <v>0</v>
      </c>
      <c r="D47" s="417"/>
      <c r="E47" s="418"/>
      <c r="F47" s="419"/>
      <c r="G47" s="420"/>
      <c r="H47" s="421"/>
      <c r="I47" s="418"/>
      <c r="J47" s="421"/>
      <c r="K47" s="673"/>
      <c r="L47" s="2492"/>
      <c r="M47" s="2485"/>
      <c r="N47" s="2485"/>
      <c r="O47" s="2485"/>
      <c r="P47" s="3437" t="str">
        <f>A47</f>
        <v>成交单价（元/平方米）</v>
      </c>
      <c r="Q47" s="3437"/>
      <c r="R47" s="3432">
        <f>E47</f>
        <v>0</v>
      </c>
      <c r="S47" s="3432"/>
      <c r="T47" s="3432">
        <f>G47</f>
        <v>0</v>
      </c>
      <c r="U47" s="3432"/>
      <c r="V47" s="3432">
        <f>I47</f>
        <v>0</v>
      </c>
      <c r="W47" s="3432"/>
      <c r="X47" s="384"/>
      <c r="Y47" s="672"/>
      <c r="Z47" s="384"/>
      <c r="AA47" s="384"/>
      <c r="AB47" s="384"/>
      <c r="AC47" s="384"/>
    </row>
    <row r="48" spans="1:29" ht="15" thickBot="1">
      <c r="A48" s="422" t="s">
        <v>1793</v>
      </c>
      <c r="B48" s="423"/>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5"/>
      <c r="M57" s="883"/>
      <c r="N57" s="883"/>
      <c r="O57" s="883"/>
      <c r="P57" s="2505"/>
      <c r="Q57" s="2506"/>
      <c r="R57" s="2485"/>
      <c r="S57" s="2485"/>
      <c r="T57" s="2485"/>
      <c r="U57" s="2485"/>
      <c r="V57" s="2485"/>
      <c r="W57" s="2485"/>
      <c r="X57" s="2485"/>
      <c r="Y57" s="2485"/>
      <c r="Z57" s="2485"/>
      <c r="AA57" s="2485"/>
      <c r="AB57" s="2485"/>
      <c r="AC57" s="2485"/>
    </row>
    <row r="58" spans="1:29" s="441" customFormat="1" ht="14.4">
      <c r="A58" s="439" t="s">
        <v>1679</v>
      </c>
      <c r="B58" s="440"/>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7"/>
      <c r="Q58" s="2508"/>
      <c r="R58" s="2508"/>
      <c r="S58" s="2508"/>
      <c r="T58" s="2508"/>
      <c r="U58" s="2508"/>
      <c r="V58" s="2508"/>
      <c r="W58" s="2508"/>
      <c r="X58" s="2508"/>
      <c r="Y58" s="2508"/>
      <c r="Z58" s="2508"/>
      <c r="AA58" s="2508"/>
      <c r="AB58" s="2508"/>
      <c r="AC58" s="2508"/>
    </row>
    <row r="59" spans="1:29" s="101" customFormat="1">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0"/>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0"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340"/>
      <c r="Q3" s="340"/>
      <c r="R3" s="340"/>
      <c r="S3" s="340"/>
      <c r="T3" s="340"/>
      <c r="U3" s="340"/>
      <c r="V3" s="340"/>
      <c r="W3" s="340"/>
      <c r="X3" s="340"/>
      <c r="Y3" s="340"/>
      <c r="Z3" s="340"/>
      <c r="AA3" s="340"/>
      <c r="AB3" s="340"/>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53" t="s">
        <v>1775</v>
      </c>
      <c r="Q4" s="3454"/>
      <c r="R4" s="3448" t="s">
        <v>1771</v>
      </c>
      <c r="S4" s="3449"/>
      <c r="T4" s="3448" t="s">
        <v>1772</v>
      </c>
      <c r="U4" s="3449"/>
      <c r="V4" s="3457" t="s">
        <v>1773</v>
      </c>
      <c r="W4" s="3457"/>
      <c r="X4" s="1806"/>
      <c r="Y4" s="3448" t="s">
        <v>1775</v>
      </c>
      <c r="Z4" s="3449"/>
      <c r="AA4" s="3447" t="s">
        <v>1771</v>
      </c>
      <c r="AB4" s="3447" t="s">
        <v>1772</v>
      </c>
      <c r="AC4" s="3450" t="s">
        <v>1773</v>
      </c>
    </row>
    <row r="5" spans="1:29">
      <c r="A5" s="347"/>
      <c r="B5" s="348"/>
      <c r="C5" s="3413" t="s">
        <v>1673</v>
      </c>
      <c r="D5" s="3414"/>
      <c r="E5" s="3411" t="s">
        <v>1674</v>
      </c>
      <c r="F5" s="3412"/>
      <c r="G5" s="3413" t="s">
        <v>1675</v>
      </c>
      <c r="H5" s="3414"/>
      <c r="I5" s="3413" t="s">
        <v>1676</v>
      </c>
      <c r="J5" s="3414"/>
      <c r="K5" s="536"/>
      <c r="L5" s="2484"/>
      <c r="M5" s="2485"/>
      <c r="N5" s="2485"/>
      <c r="O5" s="2485"/>
      <c r="P5" s="3455"/>
      <c r="Q5" s="3427"/>
      <c r="R5" s="3409"/>
      <c r="S5" s="3410"/>
      <c r="T5" s="3409"/>
      <c r="U5" s="3410"/>
      <c r="V5" s="3432"/>
      <c r="W5" s="3432"/>
      <c r="X5" s="1262"/>
      <c r="Y5" s="3409"/>
      <c r="Z5" s="3410"/>
      <c r="AA5" s="3403"/>
      <c r="AB5" s="3403"/>
      <c r="AC5" s="3451"/>
    </row>
    <row r="6" spans="1:29" ht="15" thickBot="1">
      <c r="A6" s="349"/>
      <c r="B6" s="350"/>
      <c r="C6" s="3415" t="s">
        <v>1677</v>
      </c>
      <c r="D6" s="3416"/>
      <c r="E6" s="3417" t="s">
        <v>1677</v>
      </c>
      <c r="F6" s="3418"/>
      <c r="G6" s="3415" t="s">
        <v>1677</v>
      </c>
      <c r="H6" s="3416"/>
      <c r="I6" s="3415" t="s">
        <v>1677</v>
      </c>
      <c r="J6" s="3416"/>
      <c r="K6" s="536" t="s">
        <v>1678</v>
      </c>
      <c r="L6" s="2484"/>
      <c r="M6" s="2485"/>
      <c r="N6" s="2485"/>
      <c r="O6" s="2485"/>
      <c r="P6" s="3456"/>
      <c r="Q6" s="3429"/>
      <c r="R6" s="3409"/>
      <c r="S6" s="3410"/>
      <c r="T6" s="3430"/>
      <c r="U6" s="3431"/>
      <c r="V6" s="3432"/>
      <c r="W6" s="3432"/>
      <c r="X6" s="1262"/>
      <c r="Y6" s="3430"/>
      <c r="Z6" s="3431"/>
      <c r="AA6" s="3404"/>
      <c r="AB6" s="3404"/>
      <c r="AC6" s="3452"/>
    </row>
    <row r="7" spans="1:29" s="101" customFormat="1" ht="15" thickBot="1">
      <c r="A7" s="351" t="s">
        <v>1679</v>
      </c>
      <c r="B7" s="352"/>
      <c r="C7" s="353">
        <f>'数据-取费表'!B2</f>
        <v>45737</v>
      </c>
      <c r="D7" s="354">
        <v>100</v>
      </c>
      <c r="E7" s="355"/>
      <c r="F7" s="356">
        <f>SUMIF(59:59,YEAR(E7)&amp;"-"&amp;MONTH(E7),60:60)</f>
        <v>0</v>
      </c>
      <c r="G7" s="355"/>
      <c r="H7" s="354">
        <f>SUMIF(59:59,YEAR(G7)&amp;"-"&amp;MONTH(G7),60:60)</f>
        <v>0</v>
      </c>
      <c r="I7" s="355"/>
      <c r="J7" s="354">
        <f>SUMIF(59:59,YEAR(I7)&amp;"-"&amp;MONTH(I7),60:60)</f>
        <v>0</v>
      </c>
      <c r="K7" s="38"/>
      <c r="L7" s="2486"/>
      <c r="M7" s="2437"/>
      <c r="N7" s="2437"/>
      <c r="O7" s="2437"/>
      <c r="P7" s="3458" t="s">
        <v>1680</v>
      </c>
      <c r="Q7" s="3433"/>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799"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458"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799">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19" t="s">
        <v>1686</v>
      </c>
      <c r="Q9" s="529"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799">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19"/>
      <c r="Q10" s="529"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799">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19"/>
      <c r="Q11" s="529"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799">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419"/>
      <c r="Q12" s="529">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799">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419"/>
      <c r="Q13" s="529">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799">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19"/>
      <c r="Q14" s="529">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799">
        <f t="shared" si="5"/>
        <v>1</v>
      </c>
    </row>
    <row r="15" spans="1:29" ht="15">
      <c r="A15" s="378" t="s">
        <v>1690</v>
      </c>
      <c r="B15" s="553"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45" t="s">
        <v>1691</v>
      </c>
      <c r="Q15" s="1260" t="str">
        <f t="shared" si="6"/>
        <v>办公集聚程度</v>
      </c>
      <c r="R15" s="666" t="s">
        <v>14</v>
      </c>
      <c r="S15" s="667">
        <f t="shared" si="0"/>
        <v>100</v>
      </c>
      <c r="T15" s="666" t="s">
        <v>14</v>
      </c>
      <c r="U15" s="667">
        <f t="shared" si="1"/>
        <v>100</v>
      </c>
      <c r="V15" s="666" t="s">
        <v>14</v>
      </c>
      <c r="W15" s="667">
        <f t="shared" si="2"/>
        <v>100</v>
      </c>
      <c r="X15" s="1262"/>
      <c r="Y15" s="3438" t="s">
        <v>1691</v>
      </c>
      <c r="Z15" s="1261" t="str">
        <f t="shared" si="7"/>
        <v>办公集聚程度</v>
      </c>
      <c r="AA15" s="1261">
        <f t="shared" si="3"/>
        <v>1</v>
      </c>
      <c r="AB15" s="1261">
        <f t="shared" si="4"/>
        <v>1</v>
      </c>
      <c r="AC15" s="1809">
        <f t="shared" si="5"/>
        <v>1</v>
      </c>
    </row>
    <row r="16" spans="1:29" ht="15">
      <c r="A16" s="366"/>
      <c r="B16" s="554"/>
      <c r="C16" s="1755"/>
      <c r="D16" s="386"/>
      <c r="E16" s="385"/>
      <c r="F16" s="386"/>
      <c r="G16" s="1755"/>
      <c r="H16" s="388"/>
      <c r="I16" s="385"/>
      <c r="J16" s="386"/>
      <c r="K16" s="540"/>
      <c r="L16" s="2490"/>
      <c r="M16" s="2485"/>
      <c r="N16" s="2485"/>
      <c r="O16" s="2485"/>
      <c r="P16" s="3446"/>
      <c r="Q16" s="1260"/>
      <c r="R16" s="666"/>
      <c r="S16" s="667"/>
      <c r="T16" s="666"/>
      <c r="U16" s="667"/>
      <c r="V16" s="666"/>
      <c r="W16" s="667"/>
      <c r="X16" s="1262"/>
      <c r="Y16" s="3439"/>
      <c r="Z16" s="1261"/>
      <c r="AA16" s="1261">
        <v>1</v>
      </c>
      <c r="AB16" s="1261">
        <v>1</v>
      </c>
      <c r="AC16" s="1809">
        <v>1</v>
      </c>
    </row>
    <row r="17" spans="1:29" ht="15">
      <c r="A17" s="366"/>
      <c r="B17" s="555" t="s">
        <v>1259</v>
      </c>
      <c r="C17" s="1810">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46"/>
      <c r="Q17" s="1260" t="str">
        <f>B17</f>
        <v>交通便捷度</v>
      </c>
      <c r="R17" s="666" t="s">
        <v>14</v>
      </c>
      <c r="S17" s="667">
        <f>F17</f>
        <v>100</v>
      </c>
      <c r="T17" s="666" t="s">
        <v>14</v>
      </c>
      <c r="U17" s="667">
        <f>H17</f>
        <v>100</v>
      </c>
      <c r="V17" s="666" t="s">
        <v>14</v>
      </c>
      <c r="W17" s="667">
        <f>J17</f>
        <v>100</v>
      </c>
      <c r="X17" s="1262"/>
      <c r="Y17" s="3439"/>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90"/>
      <c r="M18" s="2485"/>
      <c r="N18" s="2485"/>
      <c r="O18" s="2485"/>
      <c r="P18" s="3446"/>
      <c r="Q18" s="1260"/>
      <c r="R18" s="666"/>
      <c r="S18" s="667"/>
      <c r="T18" s="666"/>
      <c r="U18" s="667"/>
      <c r="V18" s="666"/>
      <c r="W18" s="667"/>
      <c r="X18" s="1262"/>
      <c r="Y18" s="3439"/>
      <c r="Z18" s="1261"/>
      <c r="AA18" s="1261">
        <v>1</v>
      </c>
      <c r="AB18" s="1261">
        <v>1</v>
      </c>
      <c r="AC18" s="1809">
        <v>1</v>
      </c>
    </row>
    <row r="19" spans="1:29" ht="15">
      <c r="A19" s="366"/>
      <c r="B19" s="555" t="s">
        <v>1812</v>
      </c>
      <c r="C19" s="1810">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46"/>
      <c r="Q19" s="1260" t="str">
        <f>B19</f>
        <v>公共配套设施</v>
      </c>
      <c r="R19" s="666" t="s">
        <v>14</v>
      </c>
      <c r="S19" s="667">
        <f>F19</f>
        <v>100</v>
      </c>
      <c r="T19" s="666" t="s">
        <v>14</v>
      </c>
      <c r="U19" s="667">
        <f>H19</f>
        <v>100</v>
      </c>
      <c r="V19" s="666" t="s">
        <v>14</v>
      </c>
      <c r="W19" s="667">
        <f>J19</f>
        <v>100</v>
      </c>
      <c r="X19" s="1262"/>
      <c r="Y19" s="3439"/>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90"/>
      <c r="M20" s="2485"/>
      <c r="N20" s="2485"/>
      <c r="O20" s="2485"/>
      <c r="P20" s="3446"/>
      <c r="Q20" s="1260"/>
      <c r="R20" s="666"/>
      <c r="S20" s="667"/>
      <c r="T20" s="666"/>
      <c r="U20" s="667"/>
      <c r="V20" s="666"/>
      <c r="W20" s="667"/>
      <c r="X20" s="1262"/>
      <c r="Y20" s="3439"/>
      <c r="Z20" s="1261"/>
      <c r="AA20" s="1261">
        <v>1</v>
      </c>
      <c r="AB20" s="1261">
        <v>1</v>
      </c>
      <c r="AC20" s="1809">
        <v>1</v>
      </c>
    </row>
    <row r="21" spans="1:29" ht="15">
      <c r="A21" s="366"/>
      <c r="B21" s="556" t="s">
        <v>1813</v>
      </c>
      <c r="C21" s="1810">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46"/>
      <c r="Q21" s="1260" t="str">
        <f>B21</f>
        <v>基础设施水平</v>
      </c>
      <c r="R21" s="666" t="s">
        <v>14</v>
      </c>
      <c r="S21" s="667">
        <f>F21</f>
        <v>100</v>
      </c>
      <c r="T21" s="666" t="s">
        <v>14</v>
      </c>
      <c r="U21" s="667">
        <f>H21</f>
        <v>100</v>
      </c>
      <c r="V21" s="666" t="s">
        <v>14</v>
      </c>
      <c r="W21" s="667">
        <f>J21</f>
        <v>100</v>
      </c>
      <c r="X21" s="1262"/>
      <c r="Y21" s="3439"/>
      <c r="Z21" s="1261" t="str">
        <f>Q21</f>
        <v>基础设施水平</v>
      </c>
      <c r="AA21" s="1261">
        <f t="shared" ref="AA21" si="8">D21/F21</f>
        <v>1</v>
      </c>
      <c r="AB21" s="1261">
        <f t="shared" ref="AB21" si="9">D21/H21</f>
        <v>1</v>
      </c>
      <c r="AC21" s="1809">
        <f t="shared" ref="AC21" si="10">D21/J21</f>
        <v>1</v>
      </c>
    </row>
    <row r="22" spans="1:29" ht="15">
      <c r="A22" s="366"/>
      <c r="B22" s="556"/>
      <c r="C22" s="1811"/>
      <c r="D22" s="386"/>
      <c r="E22" s="385"/>
      <c r="F22" s="386"/>
      <c r="G22" s="1755"/>
      <c r="H22" s="386"/>
      <c r="I22" s="1755"/>
      <c r="J22" s="386"/>
      <c r="K22" s="1061"/>
      <c r="L22" s="2490"/>
      <c r="M22" s="2485"/>
      <c r="N22" s="2485"/>
      <c r="O22" s="2485"/>
      <c r="P22" s="3446"/>
      <c r="Q22" s="1260"/>
      <c r="R22" s="666"/>
      <c r="S22" s="667"/>
      <c r="T22" s="666"/>
      <c r="U22" s="667"/>
      <c r="V22" s="666"/>
      <c r="W22" s="667"/>
      <c r="X22" s="1262"/>
      <c r="Y22" s="3439"/>
      <c r="Z22" s="1261"/>
      <c r="AA22" s="1261">
        <v>1</v>
      </c>
      <c r="AB22" s="1261">
        <v>1</v>
      </c>
      <c r="AC22" s="1809">
        <v>1</v>
      </c>
    </row>
    <row r="23" spans="1:29" ht="15">
      <c r="A23" s="366"/>
      <c r="B23" s="555" t="s">
        <v>1814</v>
      </c>
      <c r="C23" s="1810">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46"/>
      <c r="Q23" s="1260" t="str">
        <f>B23</f>
        <v>环境质量</v>
      </c>
      <c r="R23" s="666" t="s">
        <v>14</v>
      </c>
      <c r="S23" s="667">
        <f>F23</f>
        <v>100</v>
      </c>
      <c r="T23" s="666" t="s">
        <v>14</v>
      </c>
      <c r="U23" s="667">
        <f>H23</f>
        <v>100</v>
      </c>
      <c r="V23" s="666" t="s">
        <v>14</v>
      </c>
      <c r="W23" s="667">
        <f>J23</f>
        <v>100</v>
      </c>
      <c r="X23" s="1262"/>
      <c r="Y23" s="3439"/>
      <c r="Z23" s="1261" t="str">
        <f>Q23</f>
        <v>环境质量</v>
      </c>
      <c r="AA23" s="1261">
        <f t="shared" si="3"/>
        <v>1</v>
      </c>
      <c r="AB23" s="1261">
        <f t="shared" si="4"/>
        <v>1</v>
      </c>
      <c r="AC23" s="1809">
        <f t="shared" si="5"/>
        <v>1</v>
      </c>
    </row>
    <row r="24" spans="1:29" ht="15">
      <c r="A24" s="366"/>
      <c r="B24" s="556"/>
      <c r="C24" s="1755"/>
      <c r="D24" s="386"/>
      <c r="E24" s="1748"/>
      <c r="F24" s="386"/>
      <c r="G24" s="1749"/>
      <c r="H24" s="386"/>
      <c r="I24" s="1749"/>
      <c r="J24" s="386"/>
      <c r="K24" s="540"/>
      <c r="L24" s="2490"/>
      <c r="M24" s="2485"/>
      <c r="N24" s="2485"/>
      <c r="O24" s="2485"/>
      <c r="P24" s="3446"/>
      <c r="Q24" s="1260"/>
      <c r="R24" s="666"/>
      <c r="S24" s="667"/>
      <c r="T24" s="666"/>
      <c r="U24" s="667"/>
      <c r="V24" s="666"/>
      <c r="W24" s="667"/>
      <c r="X24" s="1262"/>
      <c r="Y24" s="3439"/>
      <c r="Z24" s="1261"/>
      <c r="AA24" s="1261">
        <v>1</v>
      </c>
      <c r="AB24" s="1261">
        <v>1</v>
      </c>
      <c r="AC24" s="1809">
        <v>1</v>
      </c>
    </row>
    <row r="25" spans="1:29" ht="28.8">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46"/>
      <c r="Q25" s="1260" t="str">
        <f>B25</f>
        <v>毗邻道路的类型与等级</v>
      </c>
      <c r="R25" s="666" t="s">
        <v>14</v>
      </c>
      <c r="S25" s="667">
        <f>F25</f>
        <v>100</v>
      </c>
      <c r="T25" s="666" t="s">
        <v>14</v>
      </c>
      <c r="U25" s="667">
        <f>H25</f>
        <v>100</v>
      </c>
      <c r="V25" s="666" t="s">
        <v>14</v>
      </c>
      <c r="W25" s="667">
        <f>J25</f>
        <v>100</v>
      </c>
      <c r="X25" s="1262"/>
      <c r="Y25" s="3439"/>
      <c r="Z25" s="1261" t="str">
        <f>Q25</f>
        <v>毗邻道路的类型与等级</v>
      </c>
      <c r="AA25" s="1261">
        <f t="shared" si="3"/>
        <v>1</v>
      </c>
      <c r="AB25" s="1261">
        <f t="shared" si="4"/>
        <v>1</v>
      </c>
      <c r="AC25" s="1809">
        <f t="shared" si="5"/>
        <v>1</v>
      </c>
    </row>
    <row r="26" spans="1:29" ht="15">
      <c r="A26" s="347"/>
      <c r="B26" s="400"/>
      <c r="C26" s="557"/>
      <c r="D26" s="373"/>
      <c r="E26" s="541"/>
      <c r="F26" s="373"/>
      <c r="G26" s="557"/>
      <c r="H26" s="373"/>
      <c r="I26" s="541"/>
      <c r="J26" s="373"/>
      <c r="K26" s="540"/>
      <c r="L26" s="2490"/>
      <c r="M26" s="2485"/>
      <c r="N26" s="2485"/>
      <c r="O26" s="2485"/>
      <c r="P26" s="3446"/>
      <c r="Q26" s="1260"/>
      <c r="R26" s="666"/>
      <c r="S26" s="667"/>
      <c r="T26" s="666"/>
      <c r="U26" s="667"/>
      <c r="V26" s="666"/>
      <c r="W26" s="667"/>
      <c r="X26" s="1262"/>
      <c r="Y26" s="3439"/>
      <c r="Z26" s="1261"/>
      <c r="AA26" s="1261">
        <v>1</v>
      </c>
      <c r="AB26" s="1261">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46"/>
      <c r="Q27" s="1260" t="str">
        <f t="shared" ref="Q27:Q47" si="11">B27</f>
        <v>楼层</v>
      </c>
      <c r="R27" s="666" t="s">
        <v>14</v>
      </c>
      <c r="S27" s="667">
        <f>F27</f>
        <v>100</v>
      </c>
      <c r="T27" s="666" t="s">
        <v>14</v>
      </c>
      <c r="U27" s="667">
        <f>H27</f>
        <v>100</v>
      </c>
      <c r="V27" s="666" t="s">
        <v>14</v>
      </c>
      <c r="W27" s="667">
        <f>J27</f>
        <v>100</v>
      </c>
      <c r="X27" s="1262"/>
      <c r="Y27" s="3439"/>
      <c r="Z27" s="1261" t="str">
        <f>Q27</f>
        <v>楼层</v>
      </c>
      <c r="AA27" s="1261">
        <f t="shared" si="3"/>
        <v>1</v>
      </c>
      <c r="AB27" s="1261">
        <f t="shared" si="4"/>
        <v>1</v>
      </c>
      <c r="AC27" s="1809">
        <f t="shared" si="5"/>
        <v>1</v>
      </c>
    </row>
    <row r="28" spans="1:29" s="101"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46"/>
      <c r="Q28" s="529" t="str">
        <f t="shared" si="11"/>
        <v>朝向</v>
      </c>
      <c r="R28" s="663" t="s">
        <v>14</v>
      </c>
      <c r="S28" s="664">
        <f>F28</f>
        <v>100</v>
      </c>
      <c r="T28" s="663" t="s">
        <v>14</v>
      </c>
      <c r="U28" s="664">
        <f>H28</f>
        <v>100</v>
      </c>
      <c r="V28" s="663" t="s">
        <v>14</v>
      </c>
      <c r="W28" s="664">
        <f>J28</f>
        <v>100</v>
      </c>
      <c r="X28" s="665"/>
      <c r="Y28" s="3439"/>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46"/>
      <c r="Q29" s="1260">
        <f t="shared" si="11"/>
        <v>111</v>
      </c>
      <c r="R29" s="666" t="s">
        <v>14</v>
      </c>
      <c r="S29" s="667">
        <f t="shared" ref="S29:S47" si="12">F29</f>
        <v>100</v>
      </c>
      <c r="T29" s="666" t="s">
        <v>14</v>
      </c>
      <c r="U29" s="667">
        <f t="shared" ref="U29:U47" si="13">H29</f>
        <v>100</v>
      </c>
      <c r="V29" s="666" t="s">
        <v>14</v>
      </c>
      <c r="W29" s="667">
        <f t="shared" ref="W29:W47" si="14">J29</f>
        <v>100</v>
      </c>
      <c r="X29" s="1262"/>
      <c r="Y29" s="3439"/>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46"/>
      <c r="Q30" s="1260">
        <f t="shared" si="11"/>
        <v>111</v>
      </c>
      <c r="R30" s="666" t="s">
        <v>14</v>
      </c>
      <c r="S30" s="667">
        <f t="shared" si="12"/>
        <v>100</v>
      </c>
      <c r="T30" s="666" t="s">
        <v>14</v>
      </c>
      <c r="U30" s="667">
        <f t="shared" si="13"/>
        <v>100</v>
      </c>
      <c r="V30" s="666" t="s">
        <v>14</v>
      </c>
      <c r="W30" s="667">
        <f t="shared" si="14"/>
        <v>100</v>
      </c>
      <c r="X30" s="1262"/>
      <c r="Y30" s="3439"/>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46"/>
      <c r="Q31" s="1260">
        <f t="shared" si="11"/>
        <v>111</v>
      </c>
      <c r="R31" s="666" t="s">
        <v>14</v>
      </c>
      <c r="S31" s="667">
        <f t="shared" si="12"/>
        <v>100</v>
      </c>
      <c r="T31" s="666" t="s">
        <v>14</v>
      </c>
      <c r="U31" s="667">
        <f t="shared" si="13"/>
        <v>100</v>
      </c>
      <c r="V31" s="666" t="s">
        <v>14</v>
      </c>
      <c r="W31" s="667">
        <f t="shared" si="14"/>
        <v>100</v>
      </c>
      <c r="X31" s="1262"/>
      <c r="Y31" s="3439"/>
      <c r="Z31" s="1261">
        <f t="shared" si="15"/>
        <v>111</v>
      </c>
      <c r="AA31" s="1261">
        <f t="shared" si="3"/>
        <v>1</v>
      </c>
      <c r="AB31" s="1261">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46"/>
      <c r="Q32" s="1260">
        <f t="shared" si="11"/>
        <v>111</v>
      </c>
      <c r="R32" s="666" t="s">
        <v>14</v>
      </c>
      <c r="S32" s="667">
        <f t="shared" si="12"/>
        <v>100</v>
      </c>
      <c r="T32" s="666" t="s">
        <v>14</v>
      </c>
      <c r="U32" s="667">
        <f t="shared" si="13"/>
        <v>100</v>
      </c>
      <c r="V32" s="666" t="s">
        <v>14</v>
      </c>
      <c r="W32" s="667">
        <f t="shared" si="14"/>
        <v>100</v>
      </c>
      <c r="X32" s="1262"/>
      <c r="Y32" s="3439"/>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0"/>
      <c r="M33" s="2485"/>
      <c r="N33" s="2485"/>
      <c r="O33" s="2485"/>
      <c r="P33" s="3440" t="s">
        <v>1696</v>
      </c>
      <c r="Q33" s="1260" t="str">
        <f t="shared" si="11"/>
        <v>建筑类型</v>
      </c>
      <c r="R33" s="666" t="s">
        <v>14</v>
      </c>
      <c r="S33" s="667">
        <f t="shared" si="12"/>
        <v>100</v>
      </c>
      <c r="T33" s="666" t="s">
        <v>14</v>
      </c>
      <c r="U33" s="667">
        <f t="shared" si="13"/>
        <v>100</v>
      </c>
      <c r="V33" s="666" t="s">
        <v>14</v>
      </c>
      <c r="W33" s="667">
        <f t="shared" si="14"/>
        <v>100</v>
      </c>
      <c r="X33" s="1262"/>
      <c r="Y33" s="3443"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41"/>
      <c r="Q34" s="530" t="str">
        <f t="shared" si="11"/>
        <v>项目建筑规模</v>
      </c>
      <c r="R34" s="668" t="s">
        <v>14</v>
      </c>
      <c r="S34" s="669" t="e">
        <f t="shared" si="12"/>
        <v>#N/A</v>
      </c>
      <c r="T34" s="668" t="s">
        <v>14</v>
      </c>
      <c r="U34" s="669" t="e">
        <f t="shared" si="13"/>
        <v>#N/A</v>
      </c>
      <c r="V34" s="668" t="s">
        <v>14</v>
      </c>
      <c r="W34" s="669" t="e">
        <f t="shared" si="14"/>
        <v>#N/A</v>
      </c>
      <c r="X34" s="670"/>
      <c r="Y34" s="3443"/>
      <c r="Z34" s="671"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41"/>
      <c r="Q35" s="1260" t="str">
        <f t="shared" si="11"/>
        <v>建筑结构</v>
      </c>
      <c r="R35" s="666" t="s">
        <v>14</v>
      </c>
      <c r="S35" s="667">
        <f t="shared" si="12"/>
        <v>100</v>
      </c>
      <c r="T35" s="666" t="s">
        <v>14</v>
      </c>
      <c r="U35" s="667">
        <f t="shared" si="13"/>
        <v>100</v>
      </c>
      <c r="V35" s="666" t="s">
        <v>14</v>
      </c>
      <c r="W35" s="667">
        <f t="shared" si="14"/>
        <v>100</v>
      </c>
      <c r="X35" s="1262"/>
      <c r="Y35" s="3443"/>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41"/>
      <c r="Q36" s="1260" t="str">
        <f t="shared" si="11"/>
        <v>公共部分装修</v>
      </c>
      <c r="R36" s="666" t="s">
        <v>14</v>
      </c>
      <c r="S36" s="667">
        <f t="shared" si="12"/>
        <v>100</v>
      </c>
      <c r="T36" s="666" t="s">
        <v>14</v>
      </c>
      <c r="U36" s="667">
        <f t="shared" si="13"/>
        <v>100</v>
      </c>
      <c r="V36" s="666" t="s">
        <v>14</v>
      </c>
      <c r="W36" s="667">
        <f t="shared" si="14"/>
        <v>100</v>
      </c>
      <c r="X36" s="1262"/>
      <c r="Y36" s="3443"/>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41"/>
      <c r="Q37" s="1260" t="str">
        <f t="shared" si="11"/>
        <v>成新度</v>
      </c>
      <c r="R37" s="666" t="s">
        <v>14</v>
      </c>
      <c r="S37" s="667" t="e">
        <f t="shared" si="12"/>
        <v>#N/A</v>
      </c>
      <c r="T37" s="666" t="s">
        <v>14</v>
      </c>
      <c r="U37" s="667" t="e">
        <f t="shared" si="13"/>
        <v>#N/A</v>
      </c>
      <c r="V37" s="666" t="s">
        <v>14</v>
      </c>
      <c r="W37" s="667" t="e">
        <f t="shared" si="14"/>
        <v>#N/A</v>
      </c>
      <c r="X37" s="1262"/>
      <c r="Y37" s="3443"/>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41"/>
      <c r="Q38" s="529" t="str">
        <f t="shared" si="11"/>
        <v>写字楼等级</v>
      </c>
      <c r="R38" s="663" t="s">
        <v>14</v>
      </c>
      <c r="S38" s="664">
        <f t="shared" si="12"/>
        <v>100</v>
      </c>
      <c r="T38" s="663" t="s">
        <v>14</v>
      </c>
      <c r="U38" s="664">
        <f t="shared" si="13"/>
        <v>100</v>
      </c>
      <c r="V38" s="663" t="s">
        <v>14</v>
      </c>
      <c r="W38" s="664">
        <f t="shared" si="14"/>
        <v>100</v>
      </c>
      <c r="X38" s="665"/>
      <c r="Y38" s="3443"/>
      <c r="Z38" s="50" t="str">
        <f t="shared" si="15"/>
        <v>写字楼等级</v>
      </c>
      <c r="AA38" s="50">
        <f t="shared" si="3"/>
        <v>1</v>
      </c>
      <c r="AB38" s="50">
        <f t="shared" si="4"/>
        <v>1</v>
      </c>
      <c r="AC38" s="799">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41" t="s">
        <v>1696</v>
      </c>
      <c r="Q39" s="1260" t="str">
        <f t="shared" si="11"/>
        <v>物业管理</v>
      </c>
      <c r="R39" s="666" t="s">
        <v>14</v>
      </c>
      <c r="S39" s="667">
        <f t="shared" si="12"/>
        <v>100</v>
      </c>
      <c r="T39" s="666" t="s">
        <v>14</v>
      </c>
      <c r="U39" s="667">
        <f t="shared" si="13"/>
        <v>100</v>
      </c>
      <c r="V39" s="666" t="s">
        <v>14</v>
      </c>
      <c r="W39" s="667">
        <f t="shared" si="14"/>
        <v>100</v>
      </c>
      <c r="X39" s="1262"/>
      <c r="Y39" s="3443"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41"/>
      <c r="Q40" s="1260" t="str">
        <f t="shared" si="11"/>
        <v>市政基础设施</v>
      </c>
      <c r="R40" s="666" t="s">
        <v>14</v>
      </c>
      <c r="S40" s="667">
        <f t="shared" si="12"/>
        <v>100</v>
      </c>
      <c r="T40" s="666" t="s">
        <v>14</v>
      </c>
      <c r="U40" s="667">
        <f t="shared" si="13"/>
        <v>100</v>
      </c>
      <c r="V40" s="666" t="s">
        <v>14</v>
      </c>
      <c r="W40" s="667">
        <f t="shared" si="14"/>
        <v>100</v>
      </c>
      <c r="X40" s="1262"/>
      <c r="Y40" s="3443"/>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41"/>
      <c r="Q41" s="1260" t="str">
        <f t="shared" si="11"/>
        <v>层高</v>
      </c>
      <c r="R41" s="666" t="s">
        <v>14</v>
      </c>
      <c r="S41" s="667">
        <f t="shared" si="12"/>
        <v>100</v>
      </c>
      <c r="T41" s="666" t="s">
        <v>14</v>
      </c>
      <c r="U41" s="667">
        <f t="shared" si="13"/>
        <v>100</v>
      </c>
      <c r="V41" s="666" t="s">
        <v>14</v>
      </c>
      <c r="W41" s="667">
        <f t="shared" si="14"/>
        <v>100</v>
      </c>
      <c r="X41" s="1262"/>
      <c r="Y41" s="3443"/>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41"/>
      <c r="Q42" s="530" t="str">
        <f t="shared" si="11"/>
        <v>单套建筑面积</v>
      </c>
      <c r="R42" s="668" t="s">
        <v>14</v>
      </c>
      <c r="S42" s="669">
        <f t="shared" si="12"/>
        <v>100</v>
      </c>
      <c r="T42" s="668" t="s">
        <v>14</v>
      </c>
      <c r="U42" s="669">
        <f t="shared" si="13"/>
        <v>100</v>
      </c>
      <c r="V42" s="668" t="s">
        <v>14</v>
      </c>
      <c r="W42" s="669">
        <f t="shared" si="14"/>
        <v>100</v>
      </c>
      <c r="X42" s="670"/>
      <c r="Y42" s="3443"/>
      <c r="Z42" s="671"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41"/>
      <c r="Q43" s="1260" t="str">
        <f t="shared" si="11"/>
        <v>内部装修</v>
      </c>
      <c r="R43" s="666" t="s">
        <v>14</v>
      </c>
      <c r="S43" s="667">
        <f t="shared" si="12"/>
        <v>100</v>
      </c>
      <c r="T43" s="666" t="s">
        <v>14</v>
      </c>
      <c r="U43" s="667">
        <f t="shared" si="13"/>
        <v>100</v>
      </c>
      <c r="V43" s="666" t="s">
        <v>14</v>
      </c>
      <c r="W43" s="667">
        <f t="shared" si="14"/>
        <v>100</v>
      </c>
      <c r="X43" s="1262"/>
      <c r="Y43" s="3443"/>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0"/>
      <c r="M44" s="2485"/>
      <c r="N44" s="2485"/>
      <c r="O44" s="2485"/>
      <c r="P44" s="3441"/>
      <c r="Q44" s="1260" t="str">
        <f t="shared" si="11"/>
        <v>内部装修维护情况</v>
      </c>
      <c r="R44" s="666" t="s">
        <v>14</v>
      </c>
      <c r="S44" s="667">
        <f t="shared" si="12"/>
        <v>100</v>
      </c>
      <c r="T44" s="666" t="s">
        <v>14</v>
      </c>
      <c r="U44" s="667">
        <f t="shared" si="13"/>
        <v>100</v>
      </c>
      <c r="V44" s="666" t="s">
        <v>14</v>
      </c>
      <c r="W44" s="667">
        <f t="shared" si="14"/>
        <v>100</v>
      </c>
      <c r="X44" s="1262"/>
      <c r="Y44" s="3443"/>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41"/>
      <c r="Q45" s="529">
        <f t="shared" si="11"/>
        <v>111</v>
      </c>
      <c r="R45" s="663" t="s">
        <v>14</v>
      </c>
      <c r="S45" s="664">
        <f t="shared" si="12"/>
        <v>100</v>
      </c>
      <c r="T45" s="663" t="s">
        <v>14</v>
      </c>
      <c r="U45" s="664">
        <f t="shared" si="13"/>
        <v>100</v>
      </c>
      <c r="V45" s="663" t="s">
        <v>14</v>
      </c>
      <c r="W45" s="664">
        <f t="shared" si="14"/>
        <v>100</v>
      </c>
      <c r="X45" s="665"/>
      <c r="Y45" s="3443"/>
      <c r="Z45" s="50">
        <f t="shared" si="15"/>
        <v>111</v>
      </c>
      <c r="AA45" s="50">
        <f t="shared" si="3"/>
        <v>1</v>
      </c>
      <c r="AB45" s="50">
        <f t="shared" si="4"/>
        <v>1</v>
      </c>
      <c r="AC45" s="799">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41"/>
      <c r="Q46" s="1260">
        <f t="shared" si="11"/>
        <v>111</v>
      </c>
      <c r="R46" s="666" t="s">
        <v>14</v>
      </c>
      <c r="S46" s="667">
        <f t="shared" si="12"/>
        <v>100</v>
      </c>
      <c r="T46" s="666" t="s">
        <v>14</v>
      </c>
      <c r="U46" s="667">
        <f t="shared" si="13"/>
        <v>100</v>
      </c>
      <c r="V46" s="666" t="s">
        <v>14</v>
      </c>
      <c r="W46" s="667">
        <f t="shared" si="14"/>
        <v>100</v>
      </c>
      <c r="X46" s="1262"/>
      <c r="Y46" s="3443"/>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42"/>
      <c r="Q47" s="1260">
        <f t="shared" si="11"/>
        <v>111</v>
      </c>
      <c r="R47" s="666" t="s">
        <v>14</v>
      </c>
      <c r="S47" s="667">
        <f t="shared" si="12"/>
        <v>100</v>
      </c>
      <c r="T47" s="666" t="s">
        <v>14</v>
      </c>
      <c r="U47" s="667">
        <f t="shared" si="13"/>
        <v>100</v>
      </c>
      <c r="V47" s="666" t="s">
        <v>14</v>
      </c>
      <c r="W47" s="667">
        <f t="shared" si="14"/>
        <v>100</v>
      </c>
      <c r="X47" s="1262"/>
      <c r="Y47" s="3444"/>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3"/>
      <c r="L48" s="2492"/>
      <c r="M48" s="2485"/>
      <c r="N48" s="2485"/>
      <c r="O48" s="2485"/>
      <c r="P48" s="3419" t="str">
        <f>A48</f>
        <v>成交单价（元/平方米）</v>
      </c>
      <c r="Q48" s="3437"/>
      <c r="R48" s="3432">
        <f>E48</f>
        <v>0</v>
      </c>
      <c r="S48" s="3432"/>
      <c r="T48" s="3432">
        <f>G48</f>
        <v>0</v>
      </c>
      <c r="U48" s="3432"/>
      <c r="V48" s="3432">
        <f>I48</f>
        <v>0</v>
      </c>
      <c r="W48" s="3432"/>
      <c r="X48" s="384"/>
      <c r="Y48" s="672"/>
      <c r="Z48" s="384"/>
      <c r="AA48" s="384"/>
      <c r="AB48" s="384"/>
      <c r="AC48" s="554"/>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92"/>
      <c r="M49" s="2485"/>
      <c r="N49" s="2485"/>
      <c r="O49" s="2485"/>
      <c r="P49" s="3419" t="str">
        <f>A49</f>
        <v>比较价值（元/平方米）</v>
      </c>
      <c r="Q49" s="3437"/>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5"/>
      <c r="M58" s="883"/>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5"/>
      <c r="Q59" s="2508"/>
      <c r="R59" s="2508"/>
      <c r="S59" s="2508"/>
      <c r="T59" s="2508"/>
      <c r="U59" s="2508"/>
      <c r="V59" s="2508"/>
      <c r="W59" s="2508"/>
      <c r="X59" s="2508"/>
      <c r="Y59" s="2508"/>
      <c r="Z59" s="2508"/>
      <c r="AA59" s="2508"/>
      <c r="AB59" s="2508"/>
      <c r="AC59" s="2508"/>
    </row>
    <row r="60" spans="1:29" s="101" customFormat="1">
      <c r="A60" s="442"/>
      <c r="B60" s="443"/>
      <c r="C60" s="1099">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0"/>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40045.229999999996</v>
      </c>
      <c r="E3" s="852"/>
      <c r="F3" s="853"/>
      <c r="G3" s="852"/>
      <c r="H3" s="852"/>
      <c r="I3" s="852"/>
      <c r="J3" s="852"/>
      <c r="K3" s="854"/>
      <c r="L3" s="855"/>
      <c r="M3" s="856"/>
      <c r="N3" s="856"/>
      <c r="O3" s="856"/>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857"/>
      <c r="M4" s="858"/>
      <c r="N4" s="858"/>
      <c r="O4" s="858"/>
      <c r="P4" s="3424" t="s">
        <v>1775</v>
      </c>
      <c r="Q4" s="3425"/>
      <c r="R4" s="3407" t="s">
        <v>1771</v>
      </c>
      <c r="S4" s="3408"/>
      <c r="T4" s="3407" t="s">
        <v>1772</v>
      </c>
      <c r="U4" s="3408"/>
      <c r="V4" s="3432" t="s">
        <v>1773</v>
      </c>
      <c r="W4" s="3432"/>
      <c r="X4" s="1262"/>
      <c r="Y4" s="3407" t="s">
        <v>1775</v>
      </c>
      <c r="Z4" s="3408"/>
      <c r="AA4" s="3402" t="s">
        <v>1771</v>
      </c>
      <c r="AB4" s="3403" t="s">
        <v>1772</v>
      </c>
      <c r="AC4" s="3402" t="s">
        <v>1773</v>
      </c>
    </row>
    <row r="5" spans="1:29">
      <c r="A5" s="347"/>
      <c r="B5" s="348"/>
      <c r="C5" s="3413" t="s">
        <v>1673</v>
      </c>
      <c r="D5" s="3414"/>
      <c r="E5" s="3411" t="s">
        <v>1674</v>
      </c>
      <c r="F5" s="3412"/>
      <c r="G5" s="3413" t="s">
        <v>1675</v>
      </c>
      <c r="H5" s="3414"/>
      <c r="I5" s="3413" t="s">
        <v>1676</v>
      </c>
      <c r="J5" s="3414"/>
      <c r="K5" s="536"/>
      <c r="L5" s="857"/>
      <c r="M5" s="858"/>
      <c r="N5" s="858"/>
      <c r="O5" s="858"/>
      <c r="P5" s="3426"/>
      <c r="Q5" s="3427"/>
      <c r="R5" s="3409"/>
      <c r="S5" s="3410"/>
      <c r="T5" s="3409"/>
      <c r="U5" s="3410"/>
      <c r="V5" s="3432"/>
      <c r="W5" s="3432"/>
      <c r="X5" s="1262"/>
      <c r="Y5" s="3409"/>
      <c r="Z5" s="3410"/>
      <c r="AA5" s="3403"/>
      <c r="AB5" s="3403"/>
      <c r="AC5" s="3403"/>
    </row>
    <row r="6" spans="1:29" ht="15" thickBot="1">
      <c r="A6" s="349"/>
      <c r="B6" s="350"/>
      <c r="C6" s="3415" t="s">
        <v>1677</v>
      </c>
      <c r="D6" s="3416"/>
      <c r="E6" s="3417" t="s">
        <v>1677</v>
      </c>
      <c r="F6" s="3418"/>
      <c r="G6" s="3415" t="s">
        <v>1677</v>
      </c>
      <c r="H6" s="3416"/>
      <c r="I6" s="3415" t="s">
        <v>1677</v>
      </c>
      <c r="J6" s="3416"/>
      <c r="K6" s="536" t="s">
        <v>1678</v>
      </c>
      <c r="L6" s="857"/>
      <c r="M6" s="858"/>
      <c r="N6" s="858"/>
      <c r="O6" s="858"/>
      <c r="P6" s="3428"/>
      <c r="Q6" s="3429"/>
      <c r="R6" s="3409"/>
      <c r="S6" s="3410"/>
      <c r="T6" s="3430"/>
      <c r="U6" s="3431"/>
      <c r="V6" s="3432"/>
      <c r="W6" s="3432"/>
      <c r="X6" s="1262"/>
      <c r="Y6" s="3430"/>
      <c r="Z6" s="3431"/>
      <c r="AA6" s="3404"/>
      <c r="AB6" s="3404"/>
      <c r="AC6" s="3404"/>
    </row>
    <row r="7" spans="1:29" s="101" customFormat="1" ht="15" thickBot="1">
      <c r="A7" s="351" t="s">
        <v>1679</v>
      </c>
      <c r="B7" s="352"/>
      <c r="C7" s="353">
        <f>'数据-取费表'!B2</f>
        <v>45737</v>
      </c>
      <c r="D7" s="354">
        <v>100</v>
      </c>
      <c r="E7" s="355"/>
      <c r="F7" s="356">
        <f>SUMIF(52:52,YEAR(E7)&amp;"-"&amp;MONTH(E7),53:53)</f>
        <v>0</v>
      </c>
      <c r="G7" s="355"/>
      <c r="H7" s="354">
        <f>SUMIF(52:52,YEAR(G7)&amp;"-"&amp;MONTH(G7),53:53)</f>
        <v>0</v>
      </c>
      <c r="I7" s="355"/>
      <c r="J7" s="354">
        <f>SUMIF(52:52,YEAR(I7)&amp;"-"&amp;MONTH(I7),53:53)</f>
        <v>0</v>
      </c>
      <c r="K7" s="38"/>
      <c r="L7" s="859"/>
      <c r="M7" s="860"/>
      <c r="N7" s="860"/>
      <c r="O7" s="860"/>
      <c r="P7" s="3405" t="s">
        <v>1680</v>
      </c>
      <c r="Q7" s="3433"/>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37" t="s">
        <v>1686</v>
      </c>
      <c r="Q9" s="529"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2"/>
      <c r="M10" s="863"/>
      <c r="N10" s="863"/>
      <c r="O10" s="864"/>
      <c r="P10" s="3437"/>
      <c r="Q10" s="529"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437"/>
      <c r="Q11" s="529"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59"/>
      <c r="M12" s="860"/>
      <c r="N12" s="860"/>
      <c r="O12" s="861"/>
      <c r="P12" s="3437"/>
      <c r="Q12" s="529">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7"/>
      <c r="M13" s="858"/>
      <c r="N13" s="858"/>
      <c r="O13" s="866"/>
      <c r="P13" s="3437"/>
      <c r="Q13" s="529">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7"/>
      <c r="M14" s="858"/>
      <c r="N14" s="858"/>
      <c r="O14" s="866"/>
      <c r="P14" s="3437"/>
      <c r="Q14" s="529">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38" t="s">
        <v>1691</v>
      </c>
      <c r="Q15" s="1260" t="str">
        <f t="shared" si="6"/>
        <v>产业集聚程度</v>
      </c>
      <c r="R15" s="666" t="s">
        <v>14</v>
      </c>
      <c r="S15" s="667">
        <f t="shared" si="0"/>
        <v>100</v>
      </c>
      <c r="T15" s="666" t="s">
        <v>14</v>
      </c>
      <c r="U15" s="667">
        <f t="shared" si="1"/>
        <v>100</v>
      </c>
      <c r="V15" s="666" t="s">
        <v>14</v>
      </c>
      <c r="W15" s="667">
        <f t="shared" si="2"/>
        <v>100</v>
      </c>
      <c r="X15" s="1262"/>
      <c r="Y15" s="3438"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7"/>
      <c r="M16" s="858"/>
      <c r="N16" s="858"/>
      <c r="O16" s="866"/>
      <c r="P16" s="3439"/>
      <c r="Q16" s="1260"/>
      <c r="R16" s="666"/>
      <c r="S16" s="667"/>
      <c r="T16" s="666"/>
      <c r="U16" s="667"/>
      <c r="V16" s="666"/>
      <c r="W16" s="667"/>
      <c r="X16" s="1262"/>
      <c r="Y16" s="3439"/>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39"/>
      <c r="Q17" s="1260" t="str">
        <f>B17</f>
        <v>交通便捷度</v>
      </c>
      <c r="R17" s="666" t="s">
        <v>14</v>
      </c>
      <c r="S17" s="667">
        <f>F17</f>
        <v>100</v>
      </c>
      <c r="T17" s="666" t="s">
        <v>14</v>
      </c>
      <c r="U17" s="667">
        <f>H17</f>
        <v>100</v>
      </c>
      <c r="V17" s="666" t="s">
        <v>14</v>
      </c>
      <c r="W17" s="667">
        <f>J17</f>
        <v>100</v>
      </c>
      <c r="X17" s="1262"/>
      <c r="Y17" s="3439"/>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7"/>
      <c r="M18" s="858"/>
      <c r="N18" s="858"/>
      <c r="O18" s="866"/>
      <c r="P18" s="3439"/>
      <c r="Q18" s="1260"/>
      <c r="R18" s="666"/>
      <c r="S18" s="667"/>
      <c r="T18" s="666"/>
      <c r="U18" s="667"/>
      <c r="V18" s="666"/>
      <c r="W18" s="667"/>
      <c r="X18" s="1262"/>
      <c r="Y18" s="3439"/>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39"/>
      <c r="Q19" s="1260" t="str">
        <f>B19</f>
        <v>公共配套设施</v>
      </c>
      <c r="R19" s="666" t="s">
        <v>14</v>
      </c>
      <c r="S19" s="667">
        <f>F19</f>
        <v>100</v>
      </c>
      <c r="T19" s="666" t="s">
        <v>14</v>
      </c>
      <c r="U19" s="667">
        <f>H19</f>
        <v>100</v>
      </c>
      <c r="V19" s="666" t="s">
        <v>14</v>
      </c>
      <c r="W19" s="667">
        <f>J19</f>
        <v>100</v>
      </c>
      <c r="X19" s="1262"/>
      <c r="Y19" s="3439"/>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7"/>
      <c r="M20" s="858"/>
      <c r="N20" s="858"/>
      <c r="O20" s="866"/>
      <c r="P20" s="3439"/>
      <c r="Q20" s="1260"/>
      <c r="R20" s="666"/>
      <c r="S20" s="667"/>
      <c r="T20" s="666"/>
      <c r="U20" s="667"/>
      <c r="V20" s="666"/>
      <c r="W20" s="667"/>
      <c r="X20" s="1262"/>
      <c r="Y20" s="3439"/>
      <c r="Z20" s="1261"/>
      <c r="AA20" s="1261">
        <v>1</v>
      </c>
      <c r="AB20" s="1261">
        <v>1</v>
      </c>
      <c r="AC20" s="1261">
        <v>1</v>
      </c>
    </row>
    <row r="21" spans="1:29" ht="15">
      <c r="A21" s="366"/>
      <c r="B21" s="585"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39"/>
      <c r="Q21" s="1260" t="str">
        <f>B21</f>
        <v>基础设施水平</v>
      </c>
      <c r="R21" s="666" t="s">
        <v>14</v>
      </c>
      <c r="S21" s="667">
        <f>F21</f>
        <v>100</v>
      </c>
      <c r="T21" s="666" t="s">
        <v>14</v>
      </c>
      <c r="U21" s="667">
        <f>H21</f>
        <v>100</v>
      </c>
      <c r="V21" s="666" t="s">
        <v>14</v>
      </c>
      <c r="W21" s="667">
        <f>J21</f>
        <v>100</v>
      </c>
      <c r="X21" s="1262"/>
      <c r="Y21" s="3439"/>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7"/>
      <c r="M22" s="858"/>
      <c r="N22" s="858"/>
      <c r="O22" s="866"/>
      <c r="P22" s="3439"/>
      <c r="Q22" s="1260"/>
      <c r="R22" s="666"/>
      <c r="S22" s="667"/>
      <c r="T22" s="666"/>
      <c r="U22" s="667"/>
      <c r="V22" s="666"/>
      <c r="W22" s="667"/>
      <c r="X22" s="1262"/>
      <c r="Y22" s="3439"/>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39"/>
      <c r="Q23" s="1260" t="str">
        <f>B23</f>
        <v>环境质量</v>
      </c>
      <c r="R23" s="666" t="s">
        <v>14</v>
      </c>
      <c r="S23" s="667">
        <f>F23</f>
        <v>100</v>
      </c>
      <c r="T23" s="666" t="s">
        <v>14</v>
      </c>
      <c r="U23" s="667">
        <f>H23</f>
        <v>100</v>
      </c>
      <c r="V23" s="666" t="s">
        <v>14</v>
      </c>
      <c r="W23" s="667">
        <f>J23</f>
        <v>100</v>
      </c>
      <c r="X23" s="1262"/>
      <c r="Y23" s="3439"/>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7"/>
      <c r="M24" s="858"/>
      <c r="N24" s="858"/>
      <c r="O24" s="866"/>
      <c r="P24" s="3439"/>
      <c r="Q24" s="1260"/>
      <c r="R24" s="666"/>
      <c r="S24" s="667"/>
      <c r="T24" s="666"/>
      <c r="U24" s="667"/>
      <c r="V24" s="666"/>
      <c r="W24" s="667"/>
      <c r="X24" s="1262"/>
      <c r="Y24" s="3439"/>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39"/>
      <c r="Q25" s="1260">
        <f>B25</f>
        <v>111</v>
      </c>
      <c r="R25" s="666" t="s">
        <v>14</v>
      </c>
      <c r="S25" s="667">
        <f>F25</f>
        <v>100</v>
      </c>
      <c r="T25" s="666" t="s">
        <v>14</v>
      </c>
      <c r="U25" s="667">
        <f>H25</f>
        <v>100</v>
      </c>
      <c r="V25" s="666" t="s">
        <v>14</v>
      </c>
      <c r="W25" s="667">
        <f>J25</f>
        <v>100</v>
      </c>
      <c r="X25" s="1262"/>
      <c r="Y25" s="3439"/>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39"/>
      <c r="Q26" s="1260">
        <f t="shared" ref="Q26:Q40" si="11">B26</f>
        <v>111</v>
      </c>
      <c r="R26" s="666" t="s">
        <v>14</v>
      </c>
      <c r="S26" s="667">
        <f>F26</f>
        <v>100</v>
      </c>
      <c r="T26" s="666" t="s">
        <v>14</v>
      </c>
      <c r="U26" s="667">
        <f>H26</f>
        <v>100</v>
      </c>
      <c r="V26" s="666" t="s">
        <v>14</v>
      </c>
      <c r="W26" s="667">
        <f>J26</f>
        <v>100</v>
      </c>
      <c r="X26" s="1262"/>
      <c r="Y26" s="3439"/>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39"/>
      <c r="Q27" s="529">
        <f t="shared" si="11"/>
        <v>111</v>
      </c>
      <c r="R27" s="663" t="s">
        <v>14</v>
      </c>
      <c r="S27" s="664">
        <f>F27</f>
        <v>100</v>
      </c>
      <c r="T27" s="663" t="s">
        <v>14</v>
      </c>
      <c r="U27" s="664">
        <f>H27</f>
        <v>100</v>
      </c>
      <c r="V27" s="663" t="s">
        <v>14</v>
      </c>
      <c r="W27" s="664">
        <f>J27</f>
        <v>100</v>
      </c>
      <c r="X27" s="665"/>
      <c r="Y27" s="3439"/>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39"/>
      <c r="Q28" s="1260">
        <f t="shared" si="11"/>
        <v>111</v>
      </c>
      <c r="R28" s="666" t="s">
        <v>14</v>
      </c>
      <c r="S28" s="667">
        <f t="shared" ref="S28:S40" si="12">F28</f>
        <v>100</v>
      </c>
      <c r="T28" s="666" t="s">
        <v>14</v>
      </c>
      <c r="U28" s="667">
        <f t="shared" ref="U28:U40" si="13">H28</f>
        <v>100</v>
      </c>
      <c r="V28" s="666" t="s">
        <v>14</v>
      </c>
      <c r="W28" s="667">
        <f t="shared" ref="W28:W40" si="14">J28</f>
        <v>100</v>
      </c>
      <c r="X28" s="1262"/>
      <c r="Y28" s="3439"/>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7"/>
      <c r="M29" s="858"/>
      <c r="N29" s="858"/>
      <c r="O29" s="866"/>
      <c r="P29" s="3462" t="s">
        <v>1696</v>
      </c>
      <c r="Q29" s="1260" t="str">
        <f t="shared" si="11"/>
        <v>建筑类型</v>
      </c>
      <c r="R29" s="666" t="s">
        <v>14</v>
      </c>
      <c r="S29" s="667">
        <f t="shared" si="12"/>
        <v>100</v>
      </c>
      <c r="T29" s="666" t="s">
        <v>14</v>
      </c>
      <c r="U29" s="667">
        <f t="shared" si="13"/>
        <v>100</v>
      </c>
      <c r="V29" s="666" t="s">
        <v>14</v>
      </c>
      <c r="W29" s="667">
        <f t="shared" si="14"/>
        <v>100</v>
      </c>
      <c r="X29" s="1262"/>
      <c r="Y29" s="3443"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443"/>
      <c r="Q30" s="530" t="str">
        <f t="shared" si="11"/>
        <v>项目建筑规模</v>
      </c>
      <c r="R30" s="668" t="s">
        <v>14</v>
      </c>
      <c r="S30" s="669" t="e">
        <f t="shared" si="12"/>
        <v>#N/A</v>
      </c>
      <c r="T30" s="668" t="s">
        <v>14</v>
      </c>
      <c r="U30" s="669" t="e">
        <f t="shared" si="13"/>
        <v>#N/A</v>
      </c>
      <c r="V30" s="668" t="s">
        <v>14</v>
      </c>
      <c r="W30" s="669" t="e">
        <f t="shared" si="14"/>
        <v>#N/A</v>
      </c>
      <c r="X30" s="670"/>
      <c r="Y30" s="3443"/>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43"/>
      <c r="Q31" s="1260" t="str">
        <f t="shared" si="11"/>
        <v>建筑结构</v>
      </c>
      <c r="R31" s="666" t="s">
        <v>14</v>
      </c>
      <c r="S31" s="667">
        <f t="shared" si="12"/>
        <v>100</v>
      </c>
      <c r="T31" s="666" t="s">
        <v>14</v>
      </c>
      <c r="U31" s="667">
        <f t="shared" si="13"/>
        <v>100</v>
      </c>
      <c r="V31" s="666" t="s">
        <v>14</v>
      </c>
      <c r="W31" s="667">
        <f t="shared" si="14"/>
        <v>100</v>
      </c>
      <c r="X31" s="1262"/>
      <c r="Y31" s="3443"/>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43"/>
      <c r="Q32" s="1260" t="str">
        <f t="shared" si="11"/>
        <v>公共部分装修</v>
      </c>
      <c r="R32" s="666" t="s">
        <v>14</v>
      </c>
      <c r="S32" s="667">
        <f t="shared" si="12"/>
        <v>100</v>
      </c>
      <c r="T32" s="666" t="s">
        <v>14</v>
      </c>
      <c r="U32" s="667">
        <f t="shared" si="13"/>
        <v>100</v>
      </c>
      <c r="V32" s="666" t="s">
        <v>14</v>
      </c>
      <c r="W32" s="667">
        <f t="shared" si="14"/>
        <v>100</v>
      </c>
      <c r="X32" s="1262"/>
      <c r="Y32" s="3443"/>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43"/>
      <c r="Q33" s="1260" t="str">
        <f t="shared" si="11"/>
        <v>成新度</v>
      </c>
      <c r="R33" s="666" t="s">
        <v>14</v>
      </c>
      <c r="S33" s="667" t="e">
        <f t="shared" si="12"/>
        <v>#N/A</v>
      </c>
      <c r="T33" s="666" t="s">
        <v>14</v>
      </c>
      <c r="U33" s="667" t="e">
        <f t="shared" si="13"/>
        <v>#N/A</v>
      </c>
      <c r="V33" s="666" t="s">
        <v>14</v>
      </c>
      <c r="W33" s="667" t="e">
        <f t="shared" si="14"/>
        <v>#N/A</v>
      </c>
      <c r="X33" s="1262"/>
      <c r="Y33" s="3443"/>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43"/>
      <c r="Q34" s="529" t="str">
        <f t="shared" si="11"/>
        <v>物业管理</v>
      </c>
      <c r="R34" s="663" t="s">
        <v>14</v>
      </c>
      <c r="S34" s="664">
        <f t="shared" si="12"/>
        <v>100</v>
      </c>
      <c r="T34" s="663" t="s">
        <v>14</v>
      </c>
      <c r="U34" s="664">
        <f t="shared" si="13"/>
        <v>100</v>
      </c>
      <c r="V34" s="663" t="s">
        <v>14</v>
      </c>
      <c r="W34" s="664">
        <f t="shared" si="14"/>
        <v>100</v>
      </c>
      <c r="X34" s="665"/>
      <c r="Y34" s="344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43" t="s">
        <v>1696</v>
      </c>
      <c r="Q35" s="1260" t="str">
        <f t="shared" si="11"/>
        <v>市政基础设施</v>
      </c>
      <c r="R35" s="666" t="s">
        <v>14</v>
      </c>
      <c r="S35" s="667">
        <f t="shared" si="12"/>
        <v>100</v>
      </c>
      <c r="T35" s="666" t="s">
        <v>14</v>
      </c>
      <c r="U35" s="667">
        <f t="shared" si="13"/>
        <v>100</v>
      </c>
      <c r="V35" s="666" t="s">
        <v>14</v>
      </c>
      <c r="W35" s="667">
        <f t="shared" si="14"/>
        <v>100</v>
      </c>
      <c r="X35" s="1262"/>
      <c r="Y35" s="3443"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43"/>
      <c r="Q36" s="1260" t="str">
        <f t="shared" si="11"/>
        <v>内部装修</v>
      </c>
      <c r="R36" s="666" t="s">
        <v>14</v>
      </c>
      <c r="S36" s="667">
        <f t="shared" si="12"/>
        <v>100</v>
      </c>
      <c r="T36" s="666" t="s">
        <v>14</v>
      </c>
      <c r="U36" s="667">
        <f t="shared" si="13"/>
        <v>100</v>
      </c>
      <c r="V36" s="666" t="s">
        <v>14</v>
      </c>
      <c r="W36" s="667">
        <f t="shared" si="14"/>
        <v>100</v>
      </c>
      <c r="X36" s="1262"/>
      <c r="Y36" s="3443"/>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43"/>
      <c r="Q37" s="1260" t="str">
        <f t="shared" si="11"/>
        <v>内部装修状况</v>
      </c>
      <c r="R37" s="666" t="s">
        <v>14</v>
      </c>
      <c r="S37" s="667">
        <f t="shared" si="12"/>
        <v>100</v>
      </c>
      <c r="T37" s="666" t="s">
        <v>14</v>
      </c>
      <c r="U37" s="667">
        <f t="shared" si="13"/>
        <v>100</v>
      </c>
      <c r="V37" s="666" t="s">
        <v>14</v>
      </c>
      <c r="W37" s="667">
        <f t="shared" si="14"/>
        <v>100</v>
      </c>
      <c r="X37" s="1262"/>
      <c r="Y37" s="3443"/>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43"/>
      <c r="Q38" s="530">
        <f t="shared" si="11"/>
        <v>111</v>
      </c>
      <c r="R38" s="668" t="s">
        <v>14</v>
      </c>
      <c r="S38" s="669">
        <f t="shared" si="12"/>
        <v>100</v>
      </c>
      <c r="T38" s="668" t="s">
        <v>14</v>
      </c>
      <c r="U38" s="669">
        <f t="shared" si="13"/>
        <v>100</v>
      </c>
      <c r="V38" s="668" t="s">
        <v>14</v>
      </c>
      <c r="W38" s="669">
        <f t="shared" si="14"/>
        <v>100</v>
      </c>
      <c r="X38" s="670"/>
      <c r="Y38" s="3443"/>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43"/>
      <c r="Q39" s="1260">
        <f t="shared" si="11"/>
        <v>111</v>
      </c>
      <c r="R39" s="666" t="s">
        <v>14</v>
      </c>
      <c r="S39" s="667">
        <f t="shared" si="12"/>
        <v>100</v>
      </c>
      <c r="T39" s="666" t="s">
        <v>14</v>
      </c>
      <c r="U39" s="667">
        <f t="shared" si="13"/>
        <v>100</v>
      </c>
      <c r="V39" s="666" t="s">
        <v>14</v>
      </c>
      <c r="W39" s="667">
        <f t="shared" si="14"/>
        <v>100</v>
      </c>
      <c r="X39" s="1262"/>
      <c r="Y39" s="3443"/>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44"/>
      <c r="Q40" s="1260">
        <f t="shared" si="11"/>
        <v>111</v>
      </c>
      <c r="R40" s="666" t="s">
        <v>14</v>
      </c>
      <c r="S40" s="667">
        <f t="shared" si="12"/>
        <v>100</v>
      </c>
      <c r="T40" s="666" t="s">
        <v>14</v>
      </c>
      <c r="U40" s="667">
        <f t="shared" si="13"/>
        <v>100</v>
      </c>
      <c r="V40" s="666" t="s">
        <v>14</v>
      </c>
      <c r="W40" s="667">
        <f t="shared" si="14"/>
        <v>100</v>
      </c>
      <c r="X40" s="1262"/>
      <c r="Y40" s="3444"/>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3"/>
      <c r="L41" s="870"/>
      <c r="M41" s="858"/>
      <c r="N41" s="858"/>
      <c r="O41" s="858"/>
      <c r="P41" s="3437" t="str">
        <f>A41</f>
        <v>成交单价（元/平方米）</v>
      </c>
      <c r="Q41" s="3437"/>
      <c r="R41" s="3432">
        <f>E41</f>
        <v>0</v>
      </c>
      <c r="S41" s="3432"/>
      <c r="T41" s="3432">
        <f>G41</f>
        <v>0</v>
      </c>
      <c r="U41" s="3432"/>
      <c r="V41" s="3432">
        <f>I41</f>
        <v>0</v>
      </c>
      <c r="W41" s="3432"/>
      <c r="X41" s="384"/>
      <c r="Y41" s="672"/>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0"/>
      <c r="M42" s="858"/>
      <c r="N42" s="858"/>
      <c r="O42" s="858"/>
      <c r="P42" s="3437" t="str">
        <f>A42</f>
        <v>比较价值（元/平方米）</v>
      </c>
      <c r="Q42" s="3437"/>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0"/>
      <c r="M43" s="858"/>
      <c r="N43" s="858"/>
      <c r="O43" s="858"/>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4"/>
      <c r="Y43" s="384"/>
      <c r="Z43" s="384"/>
      <c r="AA43" s="384"/>
      <c r="AB43" s="384"/>
      <c r="AC43" s="384"/>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3"/>
      <c r="M46" s="858"/>
      <c r="N46" s="858"/>
      <c r="O46" s="858"/>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3"/>
      <c r="M47" s="858"/>
      <c r="N47" s="858"/>
      <c r="O47" s="858"/>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3"/>
      <c r="M48" s="871"/>
      <c r="N48" s="871"/>
      <c r="O48" s="871"/>
    </row>
    <row r="49" spans="1:17" s="436"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2.2" thickBot="1">
      <c r="A51" s="657" t="s">
        <v>1798</v>
      </c>
      <c r="B51" s="384"/>
      <c r="C51" s="658"/>
      <c r="D51" s="658"/>
      <c r="E51" s="658"/>
      <c r="F51" s="659"/>
      <c r="G51" s="659"/>
      <c r="H51" s="658"/>
      <c r="I51" s="658"/>
      <c r="J51" s="658"/>
      <c r="K51" s="884"/>
      <c r="L51" s="885"/>
      <c r="M51" s="883"/>
      <c r="N51" s="883"/>
      <c r="O51" s="883"/>
      <c r="P51" s="437"/>
      <c r="Q51" s="438"/>
    </row>
    <row r="52" spans="1:17" s="441" customFormat="1" ht="14.4">
      <c r="A52" s="439" t="s">
        <v>1679</v>
      </c>
      <c r="B52" s="440"/>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1"/>
      <c r="E55" s="31"/>
      <c r="F55" s="31"/>
      <c r="G55" s="31"/>
      <c r="H55" s="31"/>
      <c r="I55" s="31"/>
      <c r="J55" s="31"/>
      <c r="K55" s="31"/>
      <c r="L55" s="456"/>
      <c r="M55" s="457"/>
      <c r="N55" s="875"/>
      <c r="O55" s="875"/>
      <c r="P55" s="458"/>
      <c r="Q55" s="438"/>
    </row>
    <row r="56" spans="1:17" s="101" customFormat="1" ht="14.4" thickBot="1">
      <c r="A56" s="454"/>
      <c r="B56" s="443"/>
      <c r="C56" s="562">
        <v>100</v>
      </c>
      <c r="D56" s="445"/>
      <c r="E56" s="445"/>
      <c r="F56" s="445"/>
      <c r="G56" s="445"/>
      <c r="H56" s="445"/>
      <c r="I56" s="445"/>
      <c r="J56" s="445"/>
      <c r="K56" s="445"/>
      <c r="L56" s="445"/>
      <c r="M56" s="447"/>
      <c r="N56" s="875"/>
      <c r="O56" s="875"/>
      <c r="P56" s="438"/>
      <c r="Q56" s="438"/>
    </row>
    <row r="57" spans="1:17" ht="14.4">
      <c r="A57" s="378" t="s">
        <v>1719</v>
      </c>
      <c r="B57" s="459" t="s">
        <v>1685</v>
      </c>
      <c r="C57" s="460">
        <f>C9</f>
        <v>0</v>
      </c>
      <c r="D57" s="461"/>
      <c r="E57" s="461"/>
      <c r="F57" s="461"/>
      <c r="G57" s="461"/>
      <c r="H57" s="461"/>
      <c r="I57" s="461"/>
      <c r="J57" s="461"/>
      <c r="K57" s="462"/>
      <c r="L57" s="463"/>
      <c r="M57" s="464"/>
      <c r="N57" s="876"/>
      <c r="O57" s="876"/>
      <c r="P57" s="40"/>
      <c r="Q57" s="438"/>
    </row>
    <row r="58" spans="1:17" ht="14.4" thickBot="1">
      <c r="A58" s="366"/>
      <c r="B58" s="465"/>
      <c r="C58" s="466">
        <v>100</v>
      </c>
      <c r="D58" s="466"/>
      <c r="E58" s="466"/>
      <c r="F58" s="466"/>
      <c r="G58" s="466"/>
      <c r="H58" s="466"/>
      <c r="I58" s="466"/>
      <c r="J58" s="466"/>
      <c r="K58" s="466"/>
      <c r="L58" s="466"/>
      <c r="M58" s="467"/>
      <c r="N58" s="877"/>
      <c r="O58" s="877"/>
      <c r="P58" s="40"/>
      <c r="Q58" s="438"/>
    </row>
    <row r="59" spans="1:17" ht="29.4" thickTop="1">
      <c r="A59" s="366"/>
      <c r="B59" s="468" t="s">
        <v>1688</v>
      </c>
      <c r="C59" s="512"/>
      <c r="D59" s="512"/>
      <c r="E59" s="512"/>
      <c r="F59" s="512"/>
      <c r="G59" s="512"/>
      <c r="H59" s="512"/>
      <c r="I59" s="512"/>
      <c r="J59" s="512"/>
      <c r="K59" s="513"/>
      <c r="L59" s="514"/>
      <c r="M59" s="515"/>
      <c r="N59" s="876"/>
      <c r="O59" s="876"/>
      <c r="P59" s="40"/>
      <c r="Q59" s="438"/>
    </row>
    <row r="60" spans="1:17" ht="14.4" thickBot="1">
      <c r="A60" s="366"/>
      <c r="B60" s="473"/>
      <c r="C60" s="466"/>
      <c r="D60" s="466"/>
      <c r="E60" s="466"/>
      <c r="F60" s="466"/>
      <c r="G60" s="466"/>
      <c r="H60" s="466"/>
      <c r="I60" s="466"/>
      <c r="J60" s="466"/>
      <c r="K60" s="466"/>
      <c r="L60" s="466"/>
      <c r="M60" s="467"/>
      <c r="N60" s="877"/>
      <c r="O60" s="877"/>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c r="A62" s="366"/>
      <c r="B62" s="478"/>
      <c r="C62" s="479">
        <v>0</v>
      </c>
      <c r="D62" s="479">
        <v>2</v>
      </c>
      <c r="E62" s="479"/>
      <c r="F62" s="479"/>
      <c r="G62" s="479"/>
      <c r="H62" s="479"/>
      <c r="I62" s="479"/>
      <c r="J62" s="479"/>
      <c r="K62" s="480"/>
      <c r="L62" s="481"/>
      <c r="M62" s="482"/>
      <c r="N62" s="876"/>
      <c r="O62" s="876"/>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4.4" thickTop="1">
      <c r="A64" s="483"/>
      <c r="B64" s="468">
        <f>B12</f>
        <v>111</v>
      </c>
      <c r="C64" s="484"/>
      <c r="D64" s="484"/>
      <c r="E64" s="484"/>
      <c r="F64" s="484"/>
      <c r="G64" s="484"/>
      <c r="H64" s="485"/>
      <c r="I64" s="485"/>
      <c r="J64" s="485"/>
      <c r="K64" s="485"/>
      <c r="L64" s="486"/>
      <c r="M64" s="487"/>
      <c r="N64" s="878"/>
      <c r="O64" s="878"/>
      <c r="P64" s="488"/>
      <c r="Q64" s="489"/>
    </row>
    <row r="65" spans="1:17" s="407" customFormat="1" ht="14.4" thickBot="1">
      <c r="A65" s="483"/>
      <c r="B65" s="473"/>
      <c r="C65" s="490"/>
      <c r="D65" s="466"/>
      <c r="E65" s="466"/>
      <c r="F65" s="466"/>
      <c r="G65" s="466"/>
      <c r="H65" s="466"/>
      <c r="I65" s="466"/>
      <c r="J65" s="466"/>
      <c r="K65" s="466"/>
      <c r="L65" s="466"/>
      <c r="M65" s="467"/>
      <c r="N65" s="877"/>
      <c r="O65" s="877"/>
      <c r="P65" s="488"/>
      <c r="Q65" s="489"/>
    </row>
    <row r="66" spans="1:17" s="407" customFormat="1" ht="14.4" thickTop="1">
      <c r="A66" s="483"/>
      <c r="B66" s="468">
        <f>B13</f>
        <v>111</v>
      </c>
      <c r="C66" s="484"/>
      <c r="D66" s="484"/>
      <c r="E66" s="484"/>
      <c r="F66" s="484"/>
      <c r="G66" s="484"/>
      <c r="H66" s="485"/>
      <c r="I66" s="485"/>
      <c r="J66" s="485"/>
      <c r="K66" s="485"/>
      <c r="L66" s="486"/>
      <c r="M66" s="487"/>
      <c r="N66" s="878"/>
      <c r="O66" s="878"/>
      <c r="Q66" s="491"/>
    </row>
    <row r="67" spans="1:17" s="407" customFormat="1" ht="14.4" thickBot="1">
      <c r="A67" s="483"/>
      <c r="B67" s="473"/>
      <c r="C67" s="490"/>
      <c r="D67" s="466"/>
      <c r="E67" s="466"/>
      <c r="F67" s="466"/>
      <c r="G67" s="490"/>
      <c r="H67" s="492"/>
      <c r="I67" s="492"/>
      <c r="J67" s="492"/>
      <c r="K67" s="492"/>
      <c r="L67" s="492"/>
      <c r="M67" s="493"/>
      <c r="N67" s="878"/>
      <c r="O67" s="878"/>
      <c r="P67" s="488"/>
      <c r="Q67" s="489"/>
    </row>
    <row r="68" spans="1:17" s="407" customFormat="1" ht="14.4" thickTop="1">
      <c r="A68" s="483"/>
      <c r="B68" s="476">
        <f>B14</f>
        <v>111</v>
      </c>
      <c r="C68" s="31"/>
      <c r="D68" s="31"/>
      <c r="E68" s="31"/>
      <c r="F68" s="31"/>
      <c r="G68" s="31"/>
      <c r="H68" s="494"/>
      <c r="I68" s="494"/>
      <c r="J68" s="494"/>
      <c r="K68" s="494"/>
      <c r="L68" s="495"/>
      <c r="M68" s="496"/>
      <c r="N68" s="878"/>
      <c r="O68" s="878"/>
      <c r="P68" s="497"/>
      <c r="Q68" s="489"/>
    </row>
    <row r="69" spans="1:17" s="407" customFormat="1" ht="14.4" thickBot="1">
      <c r="A69" s="498"/>
      <c r="B69" s="499"/>
      <c r="C69" s="500"/>
      <c r="D69" s="500"/>
      <c r="E69" s="500"/>
      <c r="F69" s="500"/>
      <c r="G69" s="500"/>
      <c r="H69" s="501"/>
      <c r="I69" s="501"/>
      <c r="J69" s="501"/>
      <c r="K69" s="501"/>
      <c r="L69" s="501"/>
      <c r="M69" s="502"/>
      <c r="N69" s="878"/>
      <c r="O69" s="878"/>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6"/>
      <c r="O70" s="876"/>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6"/>
      <c r="O72" s="876"/>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6"/>
      <c r="O74" s="876"/>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0"/>
      <c r="N76" s="877"/>
      <c r="O76" s="877"/>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7"/>
      <c r="O77" s="877"/>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6"/>
      <c r="O78" s="876"/>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1" customFormat="1" ht="14.4" thickTop="1">
      <c r="A80" s="369"/>
      <c r="B80" s="468">
        <f>B25</f>
        <v>111</v>
      </c>
      <c r="C80" s="484"/>
      <c r="D80" s="484"/>
      <c r="E80" s="484"/>
      <c r="F80" s="484"/>
      <c r="G80" s="484"/>
      <c r="H80" s="484"/>
      <c r="I80" s="484"/>
      <c r="J80" s="484"/>
      <c r="K80" s="484"/>
      <c r="L80" s="509"/>
      <c r="M80" s="510"/>
      <c r="N80" s="875"/>
      <c r="O80" s="875"/>
      <c r="P80" s="40"/>
      <c r="Q80" s="438"/>
    </row>
    <row r="81" spans="1:17" s="101" customFormat="1" ht="14.4" thickBot="1">
      <c r="A81" s="369"/>
      <c r="B81" s="473"/>
      <c r="C81" s="490"/>
      <c r="D81" s="466"/>
      <c r="E81" s="466"/>
      <c r="F81" s="466"/>
      <c r="G81" s="466"/>
      <c r="H81" s="466"/>
      <c r="I81" s="466"/>
      <c r="J81" s="466"/>
      <c r="K81" s="466"/>
      <c r="L81" s="466"/>
      <c r="M81" s="467"/>
      <c r="N81" s="877"/>
      <c r="O81" s="877"/>
      <c r="P81" s="40"/>
      <c r="Q81" s="438"/>
    </row>
    <row r="82" spans="1:17" s="101" customFormat="1" ht="14.4" thickTop="1">
      <c r="A82" s="369"/>
      <c r="B82" s="468">
        <f>B26</f>
        <v>111</v>
      </c>
      <c r="C82" s="484"/>
      <c r="D82" s="484"/>
      <c r="E82" s="484"/>
      <c r="F82" s="484"/>
      <c r="G82" s="484"/>
      <c r="H82" s="484"/>
      <c r="I82" s="484"/>
      <c r="J82" s="484"/>
      <c r="K82" s="484"/>
      <c r="L82" s="509"/>
      <c r="M82" s="510"/>
      <c r="N82" s="875"/>
      <c r="O82" s="875"/>
      <c r="P82" s="40"/>
      <c r="Q82" s="438"/>
    </row>
    <row r="83" spans="1:17" s="101" customFormat="1" ht="14.4" thickBot="1">
      <c r="A83" s="369"/>
      <c r="B83" s="473"/>
      <c r="C83" s="490"/>
      <c r="D83" s="466"/>
      <c r="E83" s="466"/>
      <c r="F83" s="466"/>
      <c r="G83" s="466"/>
      <c r="H83" s="466"/>
      <c r="I83" s="466"/>
      <c r="J83" s="466"/>
      <c r="K83" s="466"/>
      <c r="L83" s="466"/>
      <c r="M83" s="467"/>
      <c r="N83" s="877"/>
      <c r="O83" s="877"/>
      <c r="P83" s="40"/>
      <c r="Q83" s="438"/>
    </row>
    <row r="84" spans="1:17" s="407" customFormat="1" ht="14.4" thickTop="1">
      <c r="A84" s="483"/>
      <c r="B84" s="468">
        <f>B27</f>
        <v>111</v>
      </c>
      <c r="C84" s="484"/>
      <c r="D84" s="484"/>
      <c r="E84" s="484"/>
      <c r="F84" s="484"/>
      <c r="G84" s="484"/>
      <c r="H84" s="484"/>
      <c r="I84" s="484"/>
      <c r="J84" s="484"/>
      <c r="K84" s="484"/>
      <c r="L84" s="509"/>
      <c r="M84" s="510"/>
      <c r="N84" s="878"/>
      <c r="O84" s="878"/>
      <c r="P84" s="488"/>
      <c r="Q84" s="489"/>
    </row>
    <row r="85" spans="1:17" s="407" customFormat="1" ht="14.4" thickBot="1">
      <c r="A85" s="483"/>
      <c r="B85" s="473"/>
      <c r="C85" s="490"/>
      <c r="D85" s="466"/>
      <c r="E85" s="466"/>
      <c r="F85" s="466"/>
      <c r="G85" s="466"/>
      <c r="H85" s="466"/>
      <c r="I85" s="466"/>
      <c r="J85" s="466"/>
      <c r="K85" s="466"/>
      <c r="L85" s="466"/>
      <c r="M85" s="467"/>
      <c r="N85" s="878"/>
      <c r="O85" s="878"/>
      <c r="P85" s="488"/>
      <c r="Q85" s="489"/>
    </row>
    <row r="86" spans="1:17" ht="14.4" thickTop="1">
      <c r="A86" s="366"/>
      <c r="B86" s="476">
        <f>B28</f>
        <v>111</v>
      </c>
      <c r="C86" s="31"/>
      <c r="D86" s="31"/>
      <c r="E86" s="31"/>
      <c r="F86" s="31"/>
      <c r="G86" s="516"/>
      <c r="H86" s="516"/>
      <c r="I86" s="516"/>
      <c r="J86" s="516"/>
      <c r="K86" s="517"/>
      <c r="L86" s="518"/>
      <c r="M86" s="519"/>
      <c r="N86" s="876"/>
      <c r="O86" s="876"/>
      <c r="P86" s="40"/>
      <c r="Q86" s="438"/>
    </row>
    <row r="87" spans="1:17" ht="14.4" thickBot="1">
      <c r="A87" s="374"/>
      <c r="B87" s="499"/>
      <c r="C87" s="500"/>
      <c r="D87" s="500"/>
      <c r="E87" s="500"/>
      <c r="F87" s="500"/>
      <c r="G87" s="520"/>
      <c r="H87" s="520"/>
      <c r="I87" s="520"/>
      <c r="J87" s="520"/>
      <c r="K87" s="520"/>
      <c r="L87" s="520"/>
      <c r="M87" s="521"/>
      <c r="N87" s="877"/>
      <c r="O87" s="877"/>
      <c r="P87" s="40"/>
      <c r="Q87" s="438"/>
    </row>
    <row r="88" spans="1:17" ht="14.4">
      <c r="A88" s="378" t="s">
        <v>1694</v>
      </c>
      <c r="B88" s="459" t="s">
        <v>1736</v>
      </c>
      <c r="C88" s="461"/>
      <c r="D88" s="461"/>
      <c r="E88" s="461"/>
      <c r="F88" s="461"/>
      <c r="G88" s="461"/>
      <c r="H88" s="461"/>
      <c r="I88" s="461"/>
      <c r="J88" s="461"/>
      <c r="K88" s="462"/>
      <c r="L88" s="463"/>
      <c r="M88" s="464"/>
      <c r="N88" s="876"/>
      <c r="O88" s="876"/>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4.4"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1738</v>
      </c>
      <c r="C93" s="484"/>
      <c r="D93" s="484"/>
      <c r="E93" s="512"/>
      <c r="F93" s="512"/>
      <c r="G93" s="512"/>
      <c r="H93" s="512"/>
      <c r="I93" s="512"/>
      <c r="J93" s="512"/>
      <c r="K93" s="513"/>
      <c r="L93" s="514"/>
      <c r="M93" s="515"/>
      <c r="N93" s="876"/>
      <c r="O93" s="876"/>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1740</v>
      </c>
      <c r="C95" s="484"/>
      <c r="D95" s="484"/>
      <c r="E95" s="484"/>
      <c r="F95" s="512"/>
      <c r="G95" s="512"/>
      <c r="H95" s="512"/>
      <c r="I95" s="512"/>
      <c r="J95" s="512"/>
      <c r="K95" s="513"/>
      <c r="L95" s="514"/>
      <c r="M95" s="515"/>
      <c r="N95" s="876"/>
      <c r="O95" s="876"/>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7"/>
      <c r="J98" s="547"/>
      <c r="K98" s="548"/>
      <c r="L98" s="549"/>
      <c r="M98" s="550"/>
      <c r="N98" s="876"/>
      <c r="O98" s="876"/>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1741</v>
      </c>
      <c r="C100" s="484"/>
      <c r="D100" s="484"/>
      <c r="E100" s="484"/>
      <c r="F100" s="484"/>
      <c r="G100" s="484"/>
      <c r="H100" s="512"/>
      <c r="I100" s="512"/>
      <c r="J100" s="512"/>
      <c r="K100" s="513"/>
      <c r="L100" s="514"/>
      <c r="M100" s="515"/>
      <c r="N100" s="878"/>
      <c r="O100" s="878"/>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1742</v>
      </c>
      <c r="C102" s="484"/>
      <c r="D102" s="484"/>
      <c r="E102" s="484"/>
      <c r="F102" s="484"/>
      <c r="G102" s="484"/>
      <c r="H102" s="512"/>
      <c r="I102" s="512"/>
      <c r="J102" s="512"/>
      <c r="K102" s="513"/>
      <c r="L102" s="514"/>
      <c r="M102" s="515"/>
      <c r="N102" s="876"/>
      <c r="O102" s="876"/>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1744</v>
      </c>
      <c r="C104" s="484"/>
      <c r="D104" s="484"/>
      <c r="E104" s="484"/>
      <c r="F104" s="484"/>
      <c r="G104" s="484"/>
      <c r="H104" s="512"/>
      <c r="I104" s="512"/>
      <c r="J104" s="512"/>
      <c r="K104" s="513"/>
      <c r="L104" s="514"/>
      <c r="M104" s="515"/>
      <c r="N104" s="876"/>
      <c r="O104" s="876"/>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7"/>
      <c r="O106" s="877"/>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4.4"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4.4" thickBot="1">
      <c r="A109" s="483"/>
      <c r="B109" s="465"/>
      <c r="C109" s="490"/>
      <c r="D109" s="466"/>
      <c r="E109" s="466"/>
      <c r="F109" s="466"/>
      <c r="G109" s="490"/>
      <c r="H109" s="492"/>
      <c r="I109" s="492"/>
      <c r="J109" s="492"/>
      <c r="K109" s="492"/>
      <c r="L109" s="492"/>
      <c r="M109" s="493"/>
      <c r="N109" s="878"/>
      <c r="O109" s="878"/>
      <c r="P109" s="488"/>
      <c r="Q109" s="489"/>
    </row>
    <row r="110" spans="1:17" ht="14.4" thickTop="1">
      <c r="A110" s="408"/>
      <c r="B110" s="468">
        <f>B39</f>
        <v>111</v>
      </c>
      <c r="C110" s="484"/>
      <c r="D110" s="484"/>
      <c r="E110" s="484"/>
      <c r="F110" s="484"/>
      <c r="G110" s="484"/>
      <c r="H110" s="485"/>
      <c r="I110" s="485"/>
      <c r="J110" s="485"/>
      <c r="K110" s="485"/>
      <c r="L110" s="486"/>
      <c r="M110" s="487"/>
      <c r="N110" s="876"/>
      <c r="O110" s="876"/>
      <c r="P110" s="40"/>
      <c r="Q110" s="438"/>
    </row>
    <row r="111" spans="1:17" ht="14.4" thickBot="1">
      <c r="A111" s="366"/>
      <c r="B111" s="473"/>
      <c r="C111" s="490"/>
      <c r="D111" s="466"/>
      <c r="E111" s="466"/>
      <c r="F111" s="466"/>
      <c r="G111" s="490"/>
      <c r="H111" s="492"/>
      <c r="I111" s="492"/>
      <c r="J111" s="492"/>
      <c r="K111" s="492"/>
      <c r="L111" s="492"/>
      <c r="M111" s="493"/>
      <c r="N111" s="877"/>
      <c r="O111" s="877"/>
      <c r="P111" s="40"/>
      <c r="Q111" s="438"/>
    </row>
    <row r="112" spans="1:17" ht="14.4" thickTop="1">
      <c r="A112" s="408"/>
      <c r="B112" s="476">
        <f>B40</f>
        <v>111</v>
      </c>
      <c r="C112" s="31"/>
      <c r="D112" s="31"/>
      <c r="E112" s="31"/>
      <c r="F112" s="31"/>
      <c r="G112" s="516"/>
      <c r="H112" s="516"/>
      <c r="I112" s="516"/>
      <c r="J112" s="516"/>
      <c r="K112" s="31"/>
      <c r="L112" s="456"/>
      <c r="M112" s="519"/>
      <c r="N112" s="876"/>
      <c r="O112" s="876"/>
      <c r="P112" s="40"/>
      <c r="Q112" s="438"/>
    </row>
    <row r="113" spans="1:17" ht="14.4"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0"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07" t="s">
        <v>1771</v>
      </c>
      <c r="S4" s="3408"/>
      <c r="T4" s="3407" t="s">
        <v>1772</v>
      </c>
      <c r="U4" s="3408"/>
      <c r="V4" s="3432" t="s">
        <v>1773</v>
      </c>
      <c r="W4" s="3432"/>
      <c r="X4" s="1262"/>
      <c r="Y4" s="3407" t="s">
        <v>1775</v>
      </c>
      <c r="Z4" s="3408"/>
      <c r="AA4" s="3402" t="s">
        <v>1771</v>
      </c>
      <c r="AB4" s="3403" t="s">
        <v>1772</v>
      </c>
      <c r="AC4" s="3402" t="s">
        <v>1773</v>
      </c>
    </row>
    <row r="5" spans="1:29">
      <c r="A5" s="347"/>
      <c r="B5" s="348"/>
      <c r="C5" s="3413" t="s">
        <v>1673</v>
      </c>
      <c r="D5" s="3414"/>
      <c r="E5" s="3411" t="s">
        <v>1674</v>
      </c>
      <c r="F5" s="3412"/>
      <c r="G5" s="3413" t="s">
        <v>1675</v>
      </c>
      <c r="H5" s="3414"/>
      <c r="I5" s="3413" t="s">
        <v>1676</v>
      </c>
      <c r="J5" s="3414"/>
      <c r="K5" s="536"/>
      <c r="L5" s="2484"/>
      <c r="M5" s="2485"/>
      <c r="N5" s="2485"/>
      <c r="O5" s="2485"/>
      <c r="P5" s="3426"/>
      <c r="Q5" s="3427"/>
      <c r="R5" s="3409"/>
      <c r="S5" s="3410"/>
      <c r="T5" s="3409"/>
      <c r="U5" s="3410"/>
      <c r="V5" s="3432"/>
      <c r="W5" s="3432"/>
      <c r="X5" s="1262"/>
      <c r="Y5" s="3409"/>
      <c r="Z5" s="3410"/>
      <c r="AA5" s="3403"/>
      <c r="AB5" s="3403"/>
      <c r="AC5" s="3403"/>
    </row>
    <row r="6" spans="1:29" ht="15" thickBot="1">
      <c r="A6" s="349"/>
      <c r="B6" s="350"/>
      <c r="C6" s="3415" t="s">
        <v>1677</v>
      </c>
      <c r="D6" s="3416"/>
      <c r="E6" s="3417" t="s">
        <v>1677</v>
      </c>
      <c r="F6" s="3418"/>
      <c r="G6" s="3415" t="s">
        <v>1677</v>
      </c>
      <c r="H6" s="3416"/>
      <c r="I6" s="3415" t="s">
        <v>1677</v>
      </c>
      <c r="J6" s="3416"/>
      <c r="K6" s="536" t="s">
        <v>1678</v>
      </c>
      <c r="L6" s="2484"/>
      <c r="M6" s="2485"/>
      <c r="N6" s="2485"/>
      <c r="O6" s="2485"/>
      <c r="P6" s="3428"/>
      <c r="Q6" s="3429"/>
      <c r="R6" s="3409"/>
      <c r="S6" s="3410"/>
      <c r="T6" s="3430"/>
      <c r="U6" s="3431"/>
      <c r="V6" s="3432"/>
      <c r="W6" s="3432"/>
      <c r="X6" s="1262"/>
      <c r="Y6" s="3430"/>
      <c r="Z6" s="3431"/>
      <c r="AA6" s="3404"/>
      <c r="AB6" s="3404"/>
      <c r="AC6" s="3404"/>
    </row>
    <row r="7" spans="1:29" s="101" customFormat="1" ht="15" thickBot="1">
      <c r="A7" s="351" t="s">
        <v>1679</v>
      </c>
      <c r="B7" s="352"/>
      <c r="C7" s="353">
        <f>'数据-取费表'!B2</f>
        <v>45737</v>
      </c>
      <c r="D7" s="354">
        <v>100</v>
      </c>
      <c r="E7" s="355"/>
      <c r="F7" s="356">
        <f>SUMIF(48:48,YEAR(E7)&amp;"-"&amp;MONTH(E7),49:49)</f>
        <v>0</v>
      </c>
      <c r="G7" s="355"/>
      <c r="H7" s="354">
        <f>SUMIF(48:48,YEAR(G7)&amp;"-"&amp;MONTH(G7),49:49)</f>
        <v>0</v>
      </c>
      <c r="I7" s="355"/>
      <c r="J7" s="354">
        <f>SUMIF(48:48,YEAR(I7)&amp;"-"&amp;MONTH(I7),49:49)</f>
        <v>0</v>
      </c>
      <c r="K7" s="38"/>
      <c r="L7" s="2486"/>
      <c r="M7" s="2437"/>
      <c r="N7" s="2437"/>
      <c r="O7" s="2437"/>
      <c r="P7" s="3405" t="s">
        <v>1680</v>
      </c>
      <c r="Q7" s="3433"/>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37" t="s">
        <v>1686</v>
      </c>
      <c r="Q9" s="529"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37"/>
      <c r="Q10" s="529"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37"/>
      <c r="Q11" s="529">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37"/>
      <c r="Q12" s="529">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37"/>
      <c r="Q13" s="529">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
      <c r="A14" s="344" t="s">
        <v>1690</v>
      </c>
      <c r="B14" s="553" t="s">
        <v>1833</v>
      </c>
      <c r="C14" s="1816">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38" t="s">
        <v>1691</v>
      </c>
      <c r="Q14" s="1260" t="str">
        <f t="shared" si="6"/>
        <v>交通便捷度</v>
      </c>
      <c r="R14" s="666" t="s">
        <v>14</v>
      </c>
      <c r="S14" s="667">
        <f t="shared" si="0"/>
        <v>100</v>
      </c>
      <c r="T14" s="666" t="s">
        <v>14</v>
      </c>
      <c r="U14" s="667">
        <f t="shared" si="1"/>
        <v>100</v>
      </c>
      <c r="V14" s="666" t="s">
        <v>14</v>
      </c>
      <c r="W14" s="667">
        <f t="shared" si="2"/>
        <v>100</v>
      </c>
      <c r="X14" s="1262"/>
      <c r="Y14" s="3438"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39"/>
      <c r="Q15" s="1260"/>
      <c r="R15" s="666"/>
      <c r="S15" s="667"/>
      <c r="T15" s="666"/>
      <c r="U15" s="667"/>
      <c r="V15" s="666"/>
      <c r="W15" s="667"/>
      <c r="X15" s="1262"/>
      <c r="Y15" s="3439"/>
      <c r="Z15" s="1261"/>
      <c r="AA15" s="1261">
        <v>1</v>
      </c>
      <c r="AB15" s="1261">
        <v>1</v>
      </c>
      <c r="AC15" s="1261">
        <v>1</v>
      </c>
    </row>
    <row r="16" spans="1:29" ht="15">
      <c r="A16" s="347"/>
      <c r="B16" s="555" t="s">
        <v>1812</v>
      </c>
      <c r="C16" s="1751">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39"/>
      <c r="Q16" s="1260" t="str">
        <f>B16</f>
        <v>公共配套设施</v>
      </c>
      <c r="R16" s="666" t="s">
        <v>14</v>
      </c>
      <c r="S16" s="667">
        <f>F16</f>
        <v>100</v>
      </c>
      <c r="T16" s="666" t="s">
        <v>14</v>
      </c>
      <c r="U16" s="667">
        <f>H16</f>
        <v>100</v>
      </c>
      <c r="V16" s="666" t="s">
        <v>14</v>
      </c>
      <c r="W16" s="667">
        <f>J16</f>
        <v>100</v>
      </c>
      <c r="X16" s="1262"/>
      <c r="Y16" s="3439"/>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39"/>
      <c r="Q17" s="1260"/>
      <c r="R17" s="666"/>
      <c r="S17" s="667"/>
      <c r="T17" s="666"/>
      <c r="U17" s="667"/>
      <c r="V17" s="666"/>
      <c r="W17" s="667"/>
      <c r="X17" s="1262"/>
      <c r="Y17" s="3439"/>
      <c r="Z17" s="1261"/>
      <c r="AA17" s="1261">
        <v>1</v>
      </c>
      <c r="AB17" s="1261">
        <v>1</v>
      </c>
      <c r="AC17" s="1261">
        <v>1</v>
      </c>
    </row>
    <row r="18" spans="1:29" ht="15">
      <c r="A18" s="347"/>
      <c r="B18" s="556" t="s">
        <v>1813</v>
      </c>
      <c r="C18" s="1751">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39"/>
      <c r="Q18" s="1260" t="str">
        <f>B18</f>
        <v>基础设施水平</v>
      </c>
      <c r="R18" s="666" t="s">
        <v>14</v>
      </c>
      <c r="S18" s="667">
        <f>F18</f>
        <v>100</v>
      </c>
      <c r="T18" s="666" t="s">
        <v>14</v>
      </c>
      <c r="U18" s="667">
        <f>H18</f>
        <v>100</v>
      </c>
      <c r="V18" s="666" t="s">
        <v>14</v>
      </c>
      <c r="W18" s="667">
        <f>J18</f>
        <v>100</v>
      </c>
      <c r="X18" s="1262"/>
      <c r="Y18" s="3439"/>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90"/>
      <c r="M19" s="2485"/>
      <c r="N19" s="2485"/>
      <c r="O19" s="2485"/>
      <c r="P19" s="3439"/>
      <c r="Q19" s="1260"/>
      <c r="R19" s="666"/>
      <c r="S19" s="667"/>
      <c r="T19" s="666"/>
      <c r="U19" s="667"/>
      <c r="V19" s="666"/>
      <c r="W19" s="667"/>
      <c r="X19" s="1262"/>
      <c r="Y19" s="3439"/>
      <c r="Z19" s="1261"/>
      <c r="AA19" s="1261">
        <v>1</v>
      </c>
      <c r="AB19" s="1261">
        <v>1</v>
      </c>
      <c r="AC19" s="1261">
        <v>1</v>
      </c>
    </row>
    <row r="20" spans="1:29" ht="15">
      <c r="A20" s="347"/>
      <c r="B20" s="555" t="s">
        <v>1834</v>
      </c>
      <c r="C20" s="1751">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39"/>
      <c r="Q20" s="1260" t="str">
        <f>B20</f>
        <v>自然及人文环境</v>
      </c>
      <c r="R20" s="666" t="s">
        <v>14</v>
      </c>
      <c r="S20" s="667">
        <f>F20</f>
        <v>100</v>
      </c>
      <c r="T20" s="666" t="s">
        <v>14</v>
      </c>
      <c r="U20" s="667">
        <f>H20</f>
        <v>100</v>
      </c>
      <c r="V20" s="666" t="s">
        <v>14</v>
      </c>
      <c r="W20" s="667">
        <f>J20</f>
        <v>100</v>
      </c>
      <c r="X20" s="1262"/>
      <c r="Y20" s="3439"/>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39"/>
      <c r="Q21" s="1260"/>
      <c r="R21" s="666"/>
      <c r="S21" s="667"/>
      <c r="T21" s="666"/>
      <c r="U21" s="667"/>
      <c r="V21" s="666"/>
      <c r="W21" s="667"/>
      <c r="X21" s="1262"/>
      <c r="Y21" s="3439"/>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39"/>
      <c r="Q22" s="1260" t="str">
        <f>B22</f>
        <v>楼层</v>
      </c>
      <c r="R22" s="666" t="s">
        <v>14</v>
      </c>
      <c r="S22" s="667">
        <f>F22</f>
        <v>100</v>
      </c>
      <c r="T22" s="666" t="s">
        <v>14</v>
      </c>
      <c r="U22" s="667">
        <f>H22</f>
        <v>100</v>
      </c>
      <c r="V22" s="666" t="s">
        <v>14</v>
      </c>
      <c r="W22" s="667">
        <f>J22</f>
        <v>100</v>
      </c>
      <c r="X22" s="1262"/>
      <c r="Y22" s="3439"/>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39"/>
      <c r="Q23" s="1260">
        <f>B23</f>
        <v>111</v>
      </c>
      <c r="R23" s="666" t="s">
        <v>14</v>
      </c>
      <c r="S23" s="667">
        <f>F23</f>
        <v>100</v>
      </c>
      <c r="T23" s="666" t="s">
        <v>14</v>
      </c>
      <c r="U23" s="667">
        <f>H23</f>
        <v>100</v>
      </c>
      <c r="V23" s="666" t="s">
        <v>14</v>
      </c>
      <c r="W23" s="667">
        <f>J23</f>
        <v>100</v>
      </c>
      <c r="X23" s="1262"/>
      <c r="Y23" s="3439"/>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39"/>
      <c r="Q24" s="1260">
        <f t="shared" ref="Q24:Q36" si="11">B24</f>
        <v>111</v>
      </c>
      <c r="R24" s="666" t="s">
        <v>14</v>
      </c>
      <c r="S24" s="667">
        <f>F24</f>
        <v>100</v>
      </c>
      <c r="T24" s="666" t="s">
        <v>14</v>
      </c>
      <c r="U24" s="667">
        <f>H24</f>
        <v>100</v>
      </c>
      <c r="V24" s="666" t="s">
        <v>14</v>
      </c>
      <c r="W24" s="667">
        <f>J24</f>
        <v>100</v>
      </c>
      <c r="X24" s="1262"/>
      <c r="Y24" s="3439"/>
      <c r="Z24" s="1261">
        <f>Q24</f>
        <v>111</v>
      </c>
      <c r="AA24" s="1261">
        <f t="shared" si="3"/>
        <v>1</v>
      </c>
      <c r="AB24" s="1261">
        <f t="shared" si="4"/>
        <v>1</v>
      </c>
      <c r="AC24" s="1261">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39"/>
      <c r="Q25" s="529">
        <f t="shared" si="11"/>
        <v>111</v>
      </c>
      <c r="R25" s="663" t="s">
        <v>14</v>
      </c>
      <c r="S25" s="664">
        <f>F25</f>
        <v>100</v>
      </c>
      <c r="T25" s="663" t="s">
        <v>14</v>
      </c>
      <c r="U25" s="664">
        <f>H25</f>
        <v>100</v>
      </c>
      <c r="V25" s="663" t="s">
        <v>14</v>
      </c>
      <c r="W25" s="664">
        <f>J25</f>
        <v>100</v>
      </c>
      <c r="X25" s="665"/>
      <c r="Y25" s="3439"/>
      <c r="Z25" s="50">
        <f>Q25</f>
        <v>111</v>
      </c>
      <c r="AA25" s="1261">
        <f>D25/F25</f>
        <v>1</v>
      </c>
      <c r="AB25" s="1261">
        <f>D25/H25</f>
        <v>1</v>
      </c>
      <c r="AC25" s="1261">
        <f>D25/J25</f>
        <v>1</v>
      </c>
    </row>
    <row r="26" spans="1:29" ht="30">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2"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43" t="s">
        <v>1696</v>
      </c>
      <c r="Z26" s="1261" t="str">
        <f t="shared" ref="Z26:Z36" si="15">Q26</f>
        <v>配套类型</v>
      </c>
      <c r="AA26" s="1261" t="e">
        <f t="shared" si="3"/>
        <v>#DIV/0!</v>
      </c>
      <c r="AB26" s="1261" t="e">
        <f t="shared" si="4"/>
        <v>#DIV/0!</v>
      </c>
      <c r="AC26" s="1261"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43"/>
      <c r="Q27" s="530" t="str">
        <f t="shared" si="11"/>
        <v>项目停车位配比</v>
      </c>
      <c r="R27" s="668" t="s">
        <v>14</v>
      </c>
      <c r="S27" s="669">
        <f t="shared" si="12"/>
        <v>100</v>
      </c>
      <c r="T27" s="668" t="s">
        <v>14</v>
      </c>
      <c r="U27" s="669">
        <f t="shared" si="13"/>
        <v>100</v>
      </c>
      <c r="V27" s="668" t="s">
        <v>14</v>
      </c>
      <c r="W27" s="669">
        <f t="shared" si="14"/>
        <v>100</v>
      </c>
      <c r="X27" s="670"/>
      <c r="Y27" s="3443"/>
      <c r="Z27" s="671" t="str">
        <f t="shared" si="15"/>
        <v>项目停车位配比</v>
      </c>
      <c r="AA27" s="1261">
        <f t="shared" si="3"/>
        <v>1</v>
      </c>
      <c r="AB27" s="1261">
        <f t="shared" si="4"/>
        <v>1</v>
      </c>
      <c r="AC27" s="1261">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43"/>
      <c r="Q28" s="1260" t="str">
        <f t="shared" si="11"/>
        <v>公共部分装修</v>
      </c>
      <c r="R28" s="666" t="s">
        <v>14</v>
      </c>
      <c r="S28" s="667">
        <f t="shared" si="12"/>
        <v>100</v>
      </c>
      <c r="T28" s="666" t="s">
        <v>14</v>
      </c>
      <c r="U28" s="667">
        <f t="shared" si="13"/>
        <v>100</v>
      </c>
      <c r="V28" s="666" t="s">
        <v>14</v>
      </c>
      <c r="W28" s="667">
        <f t="shared" si="14"/>
        <v>100</v>
      </c>
      <c r="X28" s="1262"/>
      <c r="Y28" s="3443"/>
      <c r="Z28" s="1261" t="str">
        <f t="shared" si="15"/>
        <v>公共部分装修</v>
      </c>
      <c r="AA28" s="1261">
        <f t="shared" si="3"/>
        <v>1</v>
      </c>
      <c r="AB28" s="1261">
        <f t="shared" si="4"/>
        <v>1</v>
      </c>
      <c r="AC28" s="1261">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43"/>
      <c r="Q29" s="1260" t="str">
        <f t="shared" si="11"/>
        <v>成新率</v>
      </c>
      <c r="R29" s="666" t="s">
        <v>14</v>
      </c>
      <c r="S29" s="667" t="e">
        <f t="shared" si="12"/>
        <v>#N/A</v>
      </c>
      <c r="T29" s="666" t="s">
        <v>14</v>
      </c>
      <c r="U29" s="667" t="e">
        <f t="shared" si="13"/>
        <v>#N/A</v>
      </c>
      <c r="V29" s="666" t="s">
        <v>14</v>
      </c>
      <c r="W29" s="667" t="e">
        <f t="shared" si="14"/>
        <v>#N/A</v>
      </c>
      <c r="X29" s="1262"/>
      <c r="Y29" s="3443"/>
      <c r="Z29" s="1261" t="str">
        <f t="shared" si="15"/>
        <v>成新率</v>
      </c>
      <c r="AA29" s="1261" t="e">
        <f t="shared" si="3"/>
        <v>#N/A</v>
      </c>
      <c r="AB29" s="1261" t="e">
        <f t="shared" si="4"/>
        <v>#N/A</v>
      </c>
      <c r="AC29" s="1261"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43"/>
      <c r="Q30" s="1260" t="str">
        <f t="shared" si="11"/>
        <v>物业等级</v>
      </c>
      <c r="R30" s="666" t="s">
        <v>14</v>
      </c>
      <c r="S30" s="667">
        <f t="shared" si="12"/>
        <v>100</v>
      </c>
      <c r="T30" s="666" t="s">
        <v>14</v>
      </c>
      <c r="U30" s="667">
        <f t="shared" si="13"/>
        <v>100</v>
      </c>
      <c r="V30" s="666" t="s">
        <v>14</v>
      </c>
      <c r="W30" s="667">
        <f t="shared" si="14"/>
        <v>100</v>
      </c>
      <c r="X30" s="1262"/>
      <c r="Y30" s="3443"/>
      <c r="Z30" s="1261" t="str">
        <f t="shared" si="15"/>
        <v>物业等级</v>
      </c>
      <c r="AA30" s="1261">
        <f t="shared" si="3"/>
        <v>1</v>
      </c>
      <c r="AB30" s="1261">
        <f t="shared" si="4"/>
        <v>1</v>
      </c>
      <c r="AC30" s="1261">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43"/>
      <c r="Q31" s="529" t="str">
        <f t="shared" si="11"/>
        <v>停车位面积</v>
      </c>
      <c r="R31" s="663" t="s">
        <v>14</v>
      </c>
      <c r="S31" s="664" t="e">
        <f t="shared" si="12"/>
        <v>#N/A</v>
      </c>
      <c r="T31" s="663" t="s">
        <v>14</v>
      </c>
      <c r="U31" s="664" t="e">
        <f t="shared" si="13"/>
        <v>#N/A</v>
      </c>
      <c r="V31" s="663" t="s">
        <v>14</v>
      </c>
      <c r="W31" s="664" t="e">
        <f t="shared" si="14"/>
        <v>#N/A</v>
      </c>
      <c r="X31" s="665"/>
      <c r="Y31" s="344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43" t="s">
        <v>1696</v>
      </c>
      <c r="Q32" s="1260" t="str">
        <f t="shared" si="11"/>
        <v>车位类型</v>
      </c>
      <c r="R32" s="666" t="s">
        <v>14</v>
      </c>
      <c r="S32" s="667">
        <f t="shared" si="12"/>
        <v>100</v>
      </c>
      <c r="T32" s="666" t="s">
        <v>14</v>
      </c>
      <c r="U32" s="667">
        <f t="shared" si="13"/>
        <v>100</v>
      </c>
      <c r="V32" s="666" t="s">
        <v>14</v>
      </c>
      <c r="W32" s="667">
        <f t="shared" si="14"/>
        <v>100</v>
      </c>
      <c r="X32" s="1262"/>
      <c r="Y32" s="3443" t="s">
        <v>1696</v>
      </c>
      <c r="Z32" s="1261" t="str">
        <f t="shared" si="15"/>
        <v>车位类型</v>
      </c>
      <c r="AA32" s="1261">
        <f t="shared" si="3"/>
        <v>1</v>
      </c>
      <c r="AB32" s="1261">
        <f t="shared" si="4"/>
        <v>1</v>
      </c>
      <c r="AC32" s="1261">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43"/>
      <c r="Q33" s="1260" t="str">
        <f t="shared" si="11"/>
        <v>是否直接入户</v>
      </c>
      <c r="R33" s="666" t="s">
        <v>14</v>
      </c>
      <c r="S33" s="667">
        <f t="shared" si="12"/>
        <v>100</v>
      </c>
      <c r="T33" s="666" t="s">
        <v>14</v>
      </c>
      <c r="U33" s="667">
        <f t="shared" si="13"/>
        <v>100</v>
      </c>
      <c r="V33" s="666" t="s">
        <v>14</v>
      </c>
      <c r="W33" s="667">
        <f t="shared" si="14"/>
        <v>100</v>
      </c>
      <c r="X33" s="1262"/>
      <c r="Y33" s="3443"/>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43"/>
      <c r="Q34" s="1260">
        <f t="shared" si="11"/>
        <v>111</v>
      </c>
      <c r="R34" s="666" t="s">
        <v>14</v>
      </c>
      <c r="S34" s="667">
        <f t="shared" si="12"/>
        <v>100</v>
      </c>
      <c r="T34" s="666" t="s">
        <v>14</v>
      </c>
      <c r="U34" s="667">
        <f t="shared" si="13"/>
        <v>100</v>
      </c>
      <c r="V34" s="666" t="s">
        <v>14</v>
      </c>
      <c r="W34" s="667">
        <f t="shared" si="14"/>
        <v>100</v>
      </c>
      <c r="X34" s="1262"/>
      <c r="Y34" s="3443"/>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43"/>
      <c r="Q35" s="530">
        <f t="shared" si="11"/>
        <v>111</v>
      </c>
      <c r="R35" s="668" t="s">
        <v>14</v>
      </c>
      <c r="S35" s="669">
        <f t="shared" si="12"/>
        <v>100</v>
      </c>
      <c r="T35" s="668" t="s">
        <v>14</v>
      </c>
      <c r="U35" s="669">
        <f t="shared" si="13"/>
        <v>100</v>
      </c>
      <c r="V35" s="668" t="s">
        <v>14</v>
      </c>
      <c r="W35" s="669">
        <f t="shared" si="14"/>
        <v>100</v>
      </c>
      <c r="X35" s="670"/>
      <c r="Y35" s="3443"/>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43"/>
      <c r="Q36" s="1260">
        <f t="shared" si="11"/>
        <v>111</v>
      </c>
      <c r="R36" s="666" t="s">
        <v>14</v>
      </c>
      <c r="S36" s="667">
        <f t="shared" si="12"/>
        <v>100</v>
      </c>
      <c r="T36" s="666" t="s">
        <v>14</v>
      </c>
      <c r="U36" s="667">
        <f t="shared" si="13"/>
        <v>100</v>
      </c>
      <c r="V36" s="666" t="s">
        <v>14</v>
      </c>
      <c r="W36" s="667">
        <f t="shared" si="14"/>
        <v>100</v>
      </c>
      <c r="X36" s="1262"/>
      <c r="Y36" s="3443"/>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4"/>
      <c r="L37" s="2492"/>
      <c r="M37" s="2485"/>
      <c r="N37" s="2485"/>
      <c r="O37" s="2485"/>
      <c r="P37" s="3437" t="str">
        <f>A37</f>
        <v>成交单价</v>
      </c>
      <c r="Q37" s="3437"/>
      <c r="R37" s="3432">
        <f>E37</f>
        <v>0</v>
      </c>
      <c r="S37" s="3432"/>
      <c r="T37" s="3432">
        <f>G37</f>
        <v>0</v>
      </c>
      <c r="U37" s="3432"/>
      <c r="V37" s="3432">
        <f>I37</f>
        <v>0</v>
      </c>
      <c r="W37" s="3432"/>
      <c r="X37" s="384"/>
      <c r="Y37" s="672"/>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37" t="str">
        <f>A38</f>
        <v>比较价值（元/平方米）</v>
      </c>
      <c r="Q38" s="3437"/>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434" t="str">
        <f>A39</f>
        <v>估价对象XX用房的比较价值（楼面单价，元/平方米）</v>
      </c>
      <c r="Q39" s="3435"/>
      <c r="R39" s="3463" t="e">
        <f>IF(F1="售价",ROUND(IF(D38="简单平均",AVERAGE(R38:W38),R38*F38+T38*H38+V38*J38),0),ROUND(IF(D38="简单平均",AVERAGE(R38:V38),R38*F38+T38*H38+V38*J38),1))</f>
        <v>#DIV/0!</v>
      </c>
      <c r="S39" s="3463"/>
      <c r="T39" s="3463"/>
      <c r="U39" s="3463"/>
      <c r="V39" s="3463"/>
      <c r="W39" s="3463"/>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5"/>
      <c r="Q48" s="2508"/>
      <c r="R48" s="2508"/>
      <c r="S48" s="2508"/>
      <c r="T48" s="2508"/>
      <c r="U48" s="2508"/>
      <c r="V48" s="2508"/>
      <c r="W48" s="2508"/>
      <c r="X48" s="2508"/>
      <c r="Y48" s="2508"/>
      <c r="Z48" s="2508"/>
      <c r="AA48" s="2508"/>
      <c r="AB48" s="2508"/>
      <c r="AC48" s="2508"/>
    </row>
    <row r="49" spans="1:29" s="101" customFormat="1">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0"/>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07" t="s">
        <v>1771</v>
      </c>
      <c r="S4" s="3408"/>
      <c r="T4" s="3407" t="s">
        <v>1772</v>
      </c>
      <c r="U4" s="3408"/>
      <c r="V4" s="3432" t="s">
        <v>1773</v>
      </c>
      <c r="W4" s="3432"/>
      <c r="X4" s="1262"/>
      <c r="Y4" s="3407" t="s">
        <v>1775</v>
      </c>
      <c r="Z4" s="3408"/>
      <c r="AA4" s="3402" t="s">
        <v>1771</v>
      </c>
      <c r="AB4" s="3403" t="s">
        <v>1772</v>
      </c>
      <c r="AC4" s="3402" t="s">
        <v>1773</v>
      </c>
    </row>
    <row r="5" spans="1:29">
      <c r="A5" s="347"/>
      <c r="B5" s="348"/>
      <c r="C5" s="3413" t="s">
        <v>1673</v>
      </c>
      <c r="D5" s="3414"/>
      <c r="E5" s="3411" t="s">
        <v>1674</v>
      </c>
      <c r="F5" s="3412"/>
      <c r="G5" s="3413" t="s">
        <v>1675</v>
      </c>
      <c r="H5" s="3414"/>
      <c r="I5" s="3413" t="s">
        <v>1676</v>
      </c>
      <c r="J5" s="3414"/>
      <c r="K5" s="536"/>
      <c r="L5" s="2484"/>
      <c r="M5" s="2485"/>
      <c r="N5" s="2485"/>
      <c r="O5" s="2485"/>
      <c r="P5" s="3426"/>
      <c r="Q5" s="3427"/>
      <c r="R5" s="3409"/>
      <c r="S5" s="3410"/>
      <c r="T5" s="3409"/>
      <c r="U5" s="3410"/>
      <c r="V5" s="3432"/>
      <c r="W5" s="3432"/>
      <c r="X5" s="1262"/>
      <c r="Y5" s="3409"/>
      <c r="Z5" s="3410"/>
      <c r="AA5" s="3403"/>
      <c r="AB5" s="3403"/>
      <c r="AC5" s="3403"/>
    </row>
    <row r="6" spans="1:29" ht="15" thickBot="1">
      <c r="A6" s="349"/>
      <c r="B6" s="350"/>
      <c r="C6" s="3415" t="s">
        <v>1677</v>
      </c>
      <c r="D6" s="3416"/>
      <c r="E6" s="3417" t="s">
        <v>1677</v>
      </c>
      <c r="F6" s="3418"/>
      <c r="G6" s="3415" t="s">
        <v>1677</v>
      </c>
      <c r="H6" s="3416"/>
      <c r="I6" s="3415" t="s">
        <v>1677</v>
      </c>
      <c r="J6" s="3416"/>
      <c r="K6" s="536" t="s">
        <v>1678</v>
      </c>
      <c r="L6" s="2484"/>
      <c r="M6" s="2485"/>
      <c r="N6" s="2485"/>
      <c r="O6" s="2485"/>
      <c r="P6" s="3428"/>
      <c r="Q6" s="3429"/>
      <c r="R6" s="3409"/>
      <c r="S6" s="3410"/>
      <c r="T6" s="3430"/>
      <c r="U6" s="3431"/>
      <c r="V6" s="3432"/>
      <c r="W6" s="3432"/>
      <c r="X6" s="1262"/>
      <c r="Y6" s="3430"/>
      <c r="Z6" s="3431"/>
      <c r="AA6" s="3404"/>
      <c r="AB6" s="3404"/>
      <c r="AC6" s="3404"/>
    </row>
    <row r="7" spans="1:29" s="101" customFormat="1" ht="15" thickBot="1">
      <c r="A7" s="351" t="s">
        <v>1679</v>
      </c>
      <c r="B7" s="352"/>
      <c r="C7" s="353">
        <f>'数据-取费表'!B2</f>
        <v>45737</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05" t="s">
        <v>1680</v>
      </c>
      <c r="Q7" s="3433"/>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37" t="s">
        <v>1686</v>
      </c>
      <c r="Q9" s="529"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37"/>
      <c r="Q10" s="529"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37"/>
      <c r="Q11" s="529">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37"/>
      <c r="Q12" s="529">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37"/>
      <c r="Q13" s="529">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
      <c r="A14" s="378" t="s">
        <v>1690</v>
      </c>
      <c r="B14" s="58" t="s">
        <v>1833</v>
      </c>
      <c r="C14" s="1816">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38" t="s">
        <v>1691</v>
      </c>
      <c r="Q14" s="1260" t="str">
        <f t="shared" si="6"/>
        <v>交通便捷度</v>
      </c>
      <c r="R14" s="666" t="s">
        <v>14</v>
      </c>
      <c r="S14" s="667">
        <f t="shared" si="0"/>
        <v>100</v>
      </c>
      <c r="T14" s="666" t="s">
        <v>14</v>
      </c>
      <c r="U14" s="667">
        <f t="shared" si="1"/>
        <v>100</v>
      </c>
      <c r="V14" s="666" t="s">
        <v>14</v>
      </c>
      <c r="W14" s="667">
        <f t="shared" si="2"/>
        <v>100</v>
      </c>
      <c r="X14" s="1262"/>
      <c r="Y14" s="3438"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39"/>
      <c r="Q15" s="1260"/>
      <c r="R15" s="666"/>
      <c r="S15" s="667"/>
      <c r="T15" s="666"/>
      <c r="U15" s="667"/>
      <c r="V15" s="666"/>
      <c r="W15" s="667"/>
      <c r="X15" s="1262"/>
      <c r="Y15" s="3439"/>
      <c r="Z15" s="1261"/>
      <c r="AA15" s="1261">
        <v>1</v>
      </c>
      <c r="AB15" s="1261">
        <v>1</v>
      </c>
      <c r="AC15" s="1261">
        <v>1</v>
      </c>
    </row>
    <row r="16" spans="1:29" ht="15">
      <c r="A16" s="366"/>
      <c r="B16" s="389" t="s">
        <v>1812</v>
      </c>
      <c r="C16" s="1751">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39"/>
      <c r="Q16" s="1260" t="str">
        <f>B16</f>
        <v>公共配套设施</v>
      </c>
      <c r="R16" s="666" t="s">
        <v>14</v>
      </c>
      <c r="S16" s="667">
        <f>F16</f>
        <v>100</v>
      </c>
      <c r="T16" s="666" t="s">
        <v>14</v>
      </c>
      <c r="U16" s="667">
        <f>H16</f>
        <v>100</v>
      </c>
      <c r="V16" s="666" t="s">
        <v>14</v>
      </c>
      <c r="W16" s="667">
        <f>J16</f>
        <v>100</v>
      </c>
      <c r="X16" s="1262"/>
      <c r="Y16" s="3439"/>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39"/>
      <c r="Q17" s="1260"/>
      <c r="R17" s="666"/>
      <c r="S17" s="667"/>
      <c r="T17" s="666"/>
      <c r="U17" s="667"/>
      <c r="V17" s="666"/>
      <c r="W17" s="667"/>
      <c r="X17" s="1262"/>
      <c r="Y17" s="3439"/>
      <c r="Z17" s="1261"/>
      <c r="AA17" s="1261">
        <v>1</v>
      </c>
      <c r="AB17" s="1261">
        <v>1</v>
      </c>
      <c r="AC17" s="1261">
        <v>1</v>
      </c>
    </row>
    <row r="18" spans="1:29" ht="15">
      <c r="A18" s="366"/>
      <c r="B18" s="585" t="s">
        <v>1813</v>
      </c>
      <c r="C18" s="1751">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39"/>
      <c r="Q18" s="1260" t="str">
        <f>B18</f>
        <v>基础设施水平</v>
      </c>
      <c r="R18" s="666" t="s">
        <v>14</v>
      </c>
      <c r="S18" s="667">
        <f>F18</f>
        <v>100</v>
      </c>
      <c r="T18" s="666" t="s">
        <v>14</v>
      </c>
      <c r="U18" s="667">
        <f>H18</f>
        <v>100</v>
      </c>
      <c r="V18" s="666" t="s">
        <v>14</v>
      </c>
      <c r="W18" s="667">
        <f>J18</f>
        <v>100</v>
      </c>
      <c r="X18" s="1262"/>
      <c r="Y18" s="3439"/>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90"/>
      <c r="M19" s="2485"/>
      <c r="N19" s="2485"/>
      <c r="O19" s="2540"/>
      <c r="P19" s="3439"/>
      <c r="Q19" s="1260"/>
      <c r="R19" s="666"/>
      <c r="S19" s="667"/>
      <c r="T19" s="666"/>
      <c r="U19" s="667"/>
      <c r="V19" s="666"/>
      <c r="W19" s="667"/>
      <c r="X19" s="1262"/>
      <c r="Y19" s="3439"/>
      <c r="Z19" s="1261"/>
      <c r="AA19" s="1261">
        <v>1</v>
      </c>
      <c r="AB19" s="1261">
        <v>1</v>
      </c>
      <c r="AC19" s="1261">
        <v>1</v>
      </c>
    </row>
    <row r="20" spans="1:29" ht="15">
      <c r="A20" s="366"/>
      <c r="B20" s="389" t="s">
        <v>1834</v>
      </c>
      <c r="C20" s="1751">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39"/>
      <c r="Q20" s="1260" t="str">
        <f>B20</f>
        <v>自然及人文环境</v>
      </c>
      <c r="R20" s="666" t="s">
        <v>14</v>
      </c>
      <c r="S20" s="667">
        <f>F20</f>
        <v>100</v>
      </c>
      <c r="T20" s="666" t="s">
        <v>14</v>
      </c>
      <c r="U20" s="667">
        <f>H20</f>
        <v>100</v>
      </c>
      <c r="V20" s="666" t="s">
        <v>14</v>
      </c>
      <c r="W20" s="667">
        <f>J20</f>
        <v>100</v>
      </c>
      <c r="X20" s="1262"/>
      <c r="Y20" s="3439"/>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39"/>
      <c r="Q21" s="1260"/>
      <c r="R21" s="666"/>
      <c r="S21" s="667"/>
      <c r="T21" s="666"/>
      <c r="U21" s="667"/>
      <c r="V21" s="666"/>
      <c r="W21" s="667"/>
      <c r="X21" s="1262"/>
      <c r="Y21" s="3439"/>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39"/>
      <c r="Q22" s="1260" t="str">
        <f>B22</f>
        <v>楼层</v>
      </c>
      <c r="R22" s="666" t="s">
        <v>14</v>
      </c>
      <c r="S22" s="667">
        <f>F22</f>
        <v>100</v>
      </c>
      <c r="T22" s="666" t="s">
        <v>14</v>
      </c>
      <c r="U22" s="667">
        <f>H22</f>
        <v>100</v>
      </c>
      <c r="V22" s="666" t="s">
        <v>14</v>
      </c>
      <c r="W22" s="667">
        <f>J22</f>
        <v>100</v>
      </c>
      <c r="X22" s="1262"/>
      <c r="Y22" s="3439"/>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39"/>
      <c r="Q23" s="1260">
        <f>B23</f>
        <v>111</v>
      </c>
      <c r="R23" s="666" t="s">
        <v>14</v>
      </c>
      <c r="S23" s="667">
        <f>F23</f>
        <v>100</v>
      </c>
      <c r="T23" s="666" t="s">
        <v>14</v>
      </c>
      <c r="U23" s="667">
        <f>H23</f>
        <v>100</v>
      </c>
      <c r="V23" s="666" t="s">
        <v>14</v>
      </c>
      <c r="W23" s="667">
        <f>J23</f>
        <v>100</v>
      </c>
      <c r="X23" s="1262"/>
      <c r="Y23" s="3439"/>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39"/>
      <c r="Q24" s="1260">
        <f t="shared" ref="Q24:Q34" si="11">B24</f>
        <v>111</v>
      </c>
      <c r="R24" s="666" t="s">
        <v>14</v>
      </c>
      <c r="S24" s="667">
        <f>F24</f>
        <v>100</v>
      </c>
      <c r="T24" s="666" t="s">
        <v>14</v>
      </c>
      <c r="U24" s="667">
        <f>H24</f>
        <v>100</v>
      </c>
      <c r="V24" s="666" t="s">
        <v>14</v>
      </c>
      <c r="W24" s="667">
        <f>J24</f>
        <v>100</v>
      </c>
      <c r="X24" s="1262"/>
      <c r="Y24" s="3439"/>
      <c r="Z24" s="1261">
        <f>Q24</f>
        <v>111</v>
      </c>
      <c r="AA24" s="1261">
        <f t="shared" si="3"/>
        <v>1</v>
      </c>
      <c r="AB24" s="1261">
        <f t="shared" si="4"/>
        <v>1</v>
      </c>
      <c r="AC24" s="1261">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39"/>
      <c r="Q25" s="529">
        <f t="shared" si="11"/>
        <v>111</v>
      </c>
      <c r="R25" s="663" t="s">
        <v>14</v>
      </c>
      <c r="S25" s="664">
        <f>F25</f>
        <v>100</v>
      </c>
      <c r="T25" s="663" t="s">
        <v>14</v>
      </c>
      <c r="U25" s="664">
        <f>H25</f>
        <v>100</v>
      </c>
      <c r="V25" s="663" t="s">
        <v>14</v>
      </c>
      <c r="W25" s="664">
        <f>J25</f>
        <v>100</v>
      </c>
      <c r="X25" s="665"/>
      <c r="Y25" s="3439"/>
      <c r="Z25" s="50">
        <f>Q25</f>
        <v>111</v>
      </c>
      <c r="AA25" s="1261">
        <f>D25/F25</f>
        <v>1</v>
      </c>
      <c r="AB25" s="1261">
        <f>D25/H25</f>
        <v>1</v>
      </c>
      <c r="AC25" s="1261">
        <f>D25/J25</f>
        <v>1</v>
      </c>
    </row>
    <row r="26" spans="1:29" ht="30">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462"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43"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43"/>
      <c r="Q27" s="530" t="str">
        <f t="shared" si="11"/>
        <v>成新率</v>
      </c>
      <c r="R27" s="668" t="s">
        <v>14</v>
      </c>
      <c r="S27" s="669" t="e">
        <f t="shared" si="12"/>
        <v>#N/A</v>
      </c>
      <c r="T27" s="668" t="s">
        <v>14</v>
      </c>
      <c r="U27" s="669" t="e">
        <f t="shared" si="13"/>
        <v>#N/A</v>
      </c>
      <c r="V27" s="668" t="s">
        <v>14</v>
      </c>
      <c r="W27" s="669" t="e">
        <f t="shared" si="14"/>
        <v>#N/A</v>
      </c>
      <c r="X27" s="670"/>
      <c r="Y27" s="3443"/>
      <c r="Z27" s="671"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43"/>
      <c r="Q28" s="1260" t="str">
        <f t="shared" si="11"/>
        <v>物业等级</v>
      </c>
      <c r="R28" s="666" t="s">
        <v>14</v>
      </c>
      <c r="S28" s="667">
        <f t="shared" si="12"/>
        <v>100</v>
      </c>
      <c r="T28" s="666" t="s">
        <v>14</v>
      </c>
      <c r="U28" s="667">
        <f t="shared" si="13"/>
        <v>100</v>
      </c>
      <c r="V28" s="666" t="s">
        <v>14</v>
      </c>
      <c r="W28" s="667">
        <f t="shared" si="14"/>
        <v>100</v>
      </c>
      <c r="X28" s="1262"/>
      <c r="Y28" s="3443"/>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43"/>
      <c r="Q29" s="1260" t="str">
        <f t="shared" si="11"/>
        <v>有无电梯</v>
      </c>
      <c r="R29" s="666" t="s">
        <v>14</v>
      </c>
      <c r="S29" s="667">
        <f t="shared" si="12"/>
        <v>100</v>
      </c>
      <c r="T29" s="666" t="s">
        <v>14</v>
      </c>
      <c r="U29" s="667">
        <f t="shared" si="13"/>
        <v>100</v>
      </c>
      <c r="V29" s="666" t="s">
        <v>14</v>
      </c>
      <c r="W29" s="667">
        <f t="shared" si="14"/>
        <v>100</v>
      </c>
      <c r="X29" s="1262"/>
      <c r="Y29" s="3443"/>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43"/>
      <c r="Q30" s="1260" t="str">
        <f t="shared" si="11"/>
        <v>建筑面积</v>
      </c>
      <c r="R30" s="666" t="s">
        <v>14</v>
      </c>
      <c r="S30" s="667" t="e">
        <f t="shared" si="12"/>
        <v>#N/A</v>
      </c>
      <c r="T30" s="666" t="s">
        <v>14</v>
      </c>
      <c r="U30" s="667" t="e">
        <f t="shared" si="13"/>
        <v>#N/A</v>
      </c>
      <c r="V30" s="666" t="s">
        <v>14</v>
      </c>
      <c r="W30" s="667" t="e">
        <f t="shared" si="14"/>
        <v>#N/A</v>
      </c>
      <c r="X30" s="1262"/>
      <c r="Y30" s="3443"/>
      <c r="Z30" s="1261" t="str">
        <f t="shared" si="15"/>
        <v>建筑面积</v>
      </c>
      <c r="AA30" s="1261" t="e">
        <f t="shared" si="3"/>
        <v>#N/A</v>
      </c>
      <c r="AB30" s="1261" t="e">
        <f t="shared" si="4"/>
        <v>#N/A</v>
      </c>
      <c r="AC30" s="1261"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43"/>
      <c r="Q31" s="529" t="str">
        <f t="shared" si="11"/>
        <v>是否封闭</v>
      </c>
      <c r="R31" s="663" t="s">
        <v>14</v>
      </c>
      <c r="S31" s="664">
        <f t="shared" si="12"/>
        <v>100</v>
      </c>
      <c r="T31" s="663" t="s">
        <v>14</v>
      </c>
      <c r="U31" s="664">
        <f t="shared" si="13"/>
        <v>100</v>
      </c>
      <c r="V31" s="663" t="s">
        <v>14</v>
      </c>
      <c r="W31" s="664">
        <f t="shared" si="14"/>
        <v>100</v>
      </c>
      <c r="X31" s="665"/>
      <c r="Y31" s="344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43" t="s">
        <v>1696</v>
      </c>
      <c r="Q32" s="1260">
        <f t="shared" si="11"/>
        <v>111</v>
      </c>
      <c r="R32" s="666" t="s">
        <v>14</v>
      </c>
      <c r="S32" s="667">
        <f t="shared" si="12"/>
        <v>100</v>
      </c>
      <c r="T32" s="666" t="s">
        <v>14</v>
      </c>
      <c r="U32" s="667">
        <f t="shared" si="13"/>
        <v>100</v>
      </c>
      <c r="V32" s="666" t="s">
        <v>14</v>
      </c>
      <c r="W32" s="667">
        <f t="shared" si="14"/>
        <v>100</v>
      </c>
      <c r="X32" s="1262"/>
      <c r="Y32" s="3443"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43"/>
      <c r="Q33" s="1260">
        <f t="shared" si="11"/>
        <v>111</v>
      </c>
      <c r="R33" s="666" t="s">
        <v>14</v>
      </c>
      <c r="S33" s="667">
        <f t="shared" si="12"/>
        <v>100</v>
      </c>
      <c r="T33" s="666" t="s">
        <v>14</v>
      </c>
      <c r="U33" s="667">
        <f t="shared" si="13"/>
        <v>100</v>
      </c>
      <c r="V33" s="666" t="s">
        <v>14</v>
      </c>
      <c r="W33" s="667">
        <f t="shared" si="14"/>
        <v>100</v>
      </c>
      <c r="X33" s="1262"/>
      <c r="Y33" s="3443"/>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43"/>
      <c r="Q34" s="1260">
        <f t="shared" si="11"/>
        <v>111</v>
      </c>
      <c r="R34" s="666" t="s">
        <v>14</v>
      </c>
      <c r="S34" s="667">
        <f t="shared" si="12"/>
        <v>100</v>
      </c>
      <c r="T34" s="666" t="s">
        <v>14</v>
      </c>
      <c r="U34" s="667">
        <f t="shared" si="13"/>
        <v>100</v>
      </c>
      <c r="V34" s="666" t="s">
        <v>14</v>
      </c>
      <c r="W34" s="667">
        <f t="shared" si="14"/>
        <v>100</v>
      </c>
      <c r="X34" s="1262"/>
      <c r="Y34" s="3443"/>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3"/>
      <c r="L35" s="2492"/>
      <c r="M35" s="2485"/>
      <c r="N35" s="2485"/>
      <c r="O35" s="2485"/>
      <c r="P35" s="3437" t="str">
        <f>A35</f>
        <v>成交单价（元/平方米）</v>
      </c>
      <c r="Q35" s="3437"/>
      <c r="R35" s="3432">
        <f>E35</f>
        <v>0</v>
      </c>
      <c r="S35" s="3432"/>
      <c r="T35" s="3432">
        <f>G35</f>
        <v>0</v>
      </c>
      <c r="U35" s="3432"/>
      <c r="V35" s="3432">
        <f>I35</f>
        <v>0</v>
      </c>
      <c r="W35" s="3432"/>
      <c r="X35" s="384"/>
      <c r="Y35" s="672"/>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37" t="str">
        <f>A36</f>
        <v>比较价值（元/平方米）</v>
      </c>
      <c r="Q36" s="3437"/>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434" t="str">
        <f>A37</f>
        <v>估价对象XX用房的比较价值（楼面单价，元/平方米）</v>
      </c>
      <c r="Q37" s="3435"/>
      <c r="R37" s="3463" t="e">
        <f>IF(F1="售价",ROUND(IF(D36="简单平均",AVERAGE(R36:W36),R36*F36+T36*H36+V36*J36),0),ROUND(IF(D36="简单平均",AVERAGE(R36:V36),R36*F36+T36*H36+V36*J36),1))</f>
        <v>#DIV/0!</v>
      </c>
      <c r="S37" s="3463"/>
      <c r="T37" s="3463"/>
      <c r="U37" s="3463"/>
      <c r="V37" s="3463"/>
      <c r="W37" s="3463"/>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8"/>
      <c r="Q46" s="2508"/>
      <c r="R46" s="2508"/>
      <c r="S46" s="2508"/>
      <c r="T46" s="2508"/>
      <c r="U46" s="2508"/>
      <c r="V46" s="2508"/>
      <c r="W46" s="2508"/>
      <c r="X46" s="2508"/>
      <c r="Y46" s="2508"/>
      <c r="Z46" s="2508"/>
      <c r="AA46" s="2508"/>
      <c r="AB46" s="2508"/>
      <c r="AC46" s="2508"/>
      <c r="AD46" s="2508"/>
    </row>
    <row r="47" spans="1:30" s="101" customFormat="1">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0"/>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1"/>
      <c r="D2" s="851"/>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07" t="s">
        <v>1771</v>
      </c>
      <c r="S4" s="3408"/>
      <c r="T4" s="3407" t="s">
        <v>1772</v>
      </c>
      <c r="U4" s="3408"/>
      <c r="V4" s="3432" t="s">
        <v>1773</v>
      </c>
      <c r="W4" s="3432"/>
      <c r="X4" s="1262"/>
      <c r="Y4" s="3407" t="s">
        <v>1775</v>
      </c>
      <c r="Z4" s="3408"/>
      <c r="AA4" s="3402" t="s">
        <v>1771</v>
      </c>
      <c r="AB4" s="3403" t="s">
        <v>1772</v>
      </c>
      <c r="AC4" s="3402" t="s">
        <v>1773</v>
      </c>
    </row>
    <row r="5" spans="1:29">
      <c r="A5" s="347"/>
      <c r="B5" s="348"/>
      <c r="C5" s="3413" t="s">
        <v>1673</v>
      </c>
      <c r="D5" s="3414"/>
      <c r="E5" s="3411" t="s">
        <v>1674</v>
      </c>
      <c r="F5" s="3412"/>
      <c r="G5" s="3413" t="s">
        <v>1675</v>
      </c>
      <c r="H5" s="3414"/>
      <c r="I5" s="3413" t="s">
        <v>1676</v>
      </c>
      <c r="J5" s="3414"/>
      <c r="K5" s="536"/>
      <c r="L5" s="2484"/>
      <c r="M5" s="2485"/>
      <c r="N5" s="2485"/>
      <c r="O5" s="2485"/>
      <c r="P5" s="3426"/>
      <c r="Q5" s="3427"/>
      <c r="R5" s="3409"/>
      <c r="S5" s="3410"/>
      <c r="T5" s="3409"/>
      <c r="U5" s="3410"/>
      <c r="V5" s="3432"/>
      <c r="W5" s="3432"/>
      <c r="X5" s="1262"/>
      <c r="Y5" s="3409"/>
      <c r="Z5" s="3410"/>
      <c r="AA5" s="3403"/>
      <c r="AB5" s="3403"/>
      <c r="AC5" s="3403"/>
    </row>
    <row r="6" spans="1:29" ht="15" thickBot="1">
      <c r="A6" s="349"/>
      <c r="B6" s="350"/>
      <c r="C6" s="3415" t="s">
        <v>1677</v>
      </c>
      <c r="D6" s="3416"/>
      <c r="E6" s="3417" t="s">
        <v>1677</v>
      </c>
      <c r="F6" s="3418"/>
      <c r="G6" s="3415" t="s">
        <v>1677</v>
      </c>
      <c r="H6" s="3416"/>
      <c r="I6" s="3415" t="s">
        <v>1677</v>
      </c>
      <c r="J6" s="3416"/>
      <c r="K6" s="536" t="s">
        <v>1678</v>
      </c>
      <c r="L6" s="2484"/>
      <c r="M6" s="2485"/>
      <c r="N6" s="2485"/>
      <c r="O6" s="2485"/>
      <c r="P6" s="3428"/>
      <c r="Q6" s="3429"/>
      <c r="R6" s="3409"/>
      <c r="S6" s="3410"/>
      <c r="T6" s="3430"/>
      <c r="U6" s="3431"/>
      <c r="V6" s="3432"/>
      <c r="W6" s="3432"/>
      <c r="X6" s="1262"/>
      <c r="Y6" s="3430"/>
      <c r="Z6" s="3431"/>
      <c r="AA6" s="3404"/>
      <c r="AB6" s="3404"/>
      <c r="AC6" s="3404"/>
    </row>
    <row r="7" spans="1:29" s="101" customFormat="1" ht="15" thickBot="1">
      <c r="A7" s="351" t="s">
        <v>1679</v>
      </c>
      <c r="B7" s="352"/>
      <c r="C7" s="353">
        <f>'数据-取费表'!B2</f>
        <v>45737</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05" t="s">
        <v>1680</v>
      </c>
      <c r="Q7" s="3433"/>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7" t="s">
        <v>1686</v>
      </c>
      <c r="Q9" s="529"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135</v>
      </c>
      <c r="G10" s="401"/>
      <c r="H10" s="118">
        <f>ROUND(100/'数据-取费表'!G16,0)</f>
        <v>135</v>
      </c>
      <c r="I10" s="401"/>
      <c r="J10" s="118">
        <f>ROUND(100/'数据-取费表'!G16,0)</f>
        <v>135</v>
      </c>
      <c r="K10" s="591"/>
      <c r="L10" s="2487"/>
      <c r="M10" s="2488"/>
      <c r="N10" s="2488"/>
      <c r="O10" s="2539"/>
      <c r="P10" s="3437"/>
      <c r="Q10" s="529" t="str">
        <f t="shared" si="6"/>
        <v>土地使用年限（年）</v>
      </c>
      <c r="R10" s="663" t="s">
        <v>14</v>
      </c>
      <c r="S10" s="664">
        <f t="shared" si="0"/>
        <v>135</v>
      </c>
      <c r="T10" s="663" t="s">
        <v>14</v>
      </c>
      <c r="U10" s="664">
        <f t="shared" si="1"/>
        <v>135</v>
      </c>
      <c r="V10" s="663" t="s">
        <v>14</v>
      </c>
      <c r="W10" s="664">
        <f t="shared" si="2"/>
        <v>135</v>
      </c>
      <c r="X10" s="665"/>
      <c r="Y10" s="3330"/>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37"/>
      <c r="Q11" s="529"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37"/>
      <c r="Q12" s="529" t="str">
        <f t="shared" si="6"/>
        <v>配建</v>
      </c>
      <c r="R12" s="663" t="s">
        <v>14</v>
      </c>
      <c r="S12" s="664">
        <f t="shared" si="0"/>
        <v>100</v>
      </c>
      <c r="T12" s="663" t="s">
        <v>14</v>
      </c>
      <c r="U12" s="664">
        <f t="shared" si="1"/>
        <v>100</v>
      </c>
      <c r="V12" s="663" t="s">
        <v>14</v>
      </c>
      <c r="W12" s="664">
        <f t="shared" si="2"/>
        <v>100</v>
      </c>
      <c r="X12" s="665"/>
      <c r="Y12" s="333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37"/>
      <c r="Q13" s="529">
        <f t="shared" si="6"/>
        <v>111</v>
      </c>
      <c r="R13" s="663" t="s">
        <v>14</v>
      </c>
      <c r="S13" s="664">
        <f t="shared" si="0"/>
        <v>100</v>
      </c>
      <c r="T13" s="663" t="s">
        <v>14</v>
      </c>
      <c r="U13" s="664">
        <f t="shared" si="1"/>
        <v>100</v>
      </c>
      <c r="V13" s="663" t="s">
        <v>14</v>
      </c>
      <c r="W13" s="664">
        <f t="shared" si="2"/>
        <v>100</v>
      </c>
      <c r="X13" s="665"/>
      <c r="Y13" s="3330"/>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37"/>
      <c r="Q14" s="529">
        <f t="shared" si="6"/>
        <v>111</v>
      </c>
      <c r="R14" s="663" t="s">
        <v>14</v>
      </c>
      <c r="S14" s="664">
        <f t="shared" si="0"/>
        <v>100</v>
      </c>
      <c r="T14" s="663" t="s">
        <v>14</v>
      </c>
      <c r="U14" s="664">
        <f t="shared" si="1"/>
        <v>100</v>
      </c>
      <c r="V14" s="663" t="s">
        <v>14</v>
      </c>
      <c r="W14" s="664">
        <f t="shared" si="2"/>
        <v>100</v>
      </c>
      <c r="X14" s="665"/>
      <c r="Y14" s="3330"/>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38" t="s">
        <v>1691</v>
      </c>
      <c r="Q15" s="1260" t="str">
        <f t="shared" si="6"/>
        <v>居住社区成熟度</v>
      </c>
      <c r="R15" s="666" t="s">
        <v>14</v>
      </c>
      <c r="S15" s="667">
        <f t="shared" si="0"/>
        <v>100</v>
      </c>
      <c r="T15" s="666" t="s">
        <v>14</v>
      </c>
      <c r="U15" s="667">
        <f t="shared" si="1"/>
        <v>100</v>
      </c>
      <c r="V15" s="666" t="s">
        <v>14</v>
      </c>
      <c r="W15" s="667">
        <f t="shared" si="2"/>
        <v>100</v>
      </c>
      <c r="X15" s="1262"/>
      <c r="Y15" s="3438"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39"/>
      <c r="Q16" s="1260"/>
      <c r="R16" s="666"/>
      <c r="S16" s="667"/>
      <c r="T16" s="666"/>
      <c r="U16" s="667"/>
      <c r="V16" s="666"/>
      <c r="W16" s="667"/>
      <c r="X16" s="1262"/>
      <c r="Y16" s="3439"/>
      <c r="Z16" s="1261"/>
      <c r="AA16" s="1261">
        <v>1</v>
      </c>
      <c r="AB16" s="1261">
        <v>1</v>
      </c>
      <c r="AC16" s="1261">
        <v>1</v>
      </c>
    </row>
    <row r="17" spans="1:29" ht="15">
      <c r="A17" s="366"/>
      <c r="B17" s="389" t="s">
        <v>1777</v>
      </c>
      <c r="C17" s="1803">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39"/>
      <c r="Q17" s="1260" t="str">
        <f>B17</f>
        <v>商业繁华度</v>
      </c>
      <c r="R17" s="666" t="s">
        <v>14</v>
      </c>
      <c r="S17" s="667">
        <f>F17</f>
        <v>100</v>
      </c>
      <c r="T17" s="666" t="s">
        <v>14</v>
      </c>
      <c r="U17" s="667">
        <f>H17</f>
        <v>100</v>
      </c>
      <c r="V17" s="666" t="s">
        <v>14</v>
      </c>
      <c r="W17" s="667">
        <f>J17</f>
        <v>100</v>
      </c>
      <c r="X17" s="1262"/>
      <c r="Y17" s="3439"/>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39"/>
      <c r="Q18" s="1260"/>
      <c r="R18" s="666"/>
      <c r="S18" s="667"/>
      <c r="T18" s="666"/>
      <c r="U18" s="667"/>
      <c r="V18" s="666"/>
      <c r="W18" s="667"/>
      <c r="X18" s="1262"/>
      <c r="Y18" s="3439"/>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39"/>
      <c r="Q19" s="1260" t="str">
        <f>B19</f>
        <v>办公集聚程度</v>
      </c>
      <c r="R19" s="666" t="s">
        <v>14</v>
      </c>
      <c r="S19" s="667">
        <f>F19</f>
        <v>100</v>
      </c>
      <c r="T19" s="666" t="s">
        <v>14</v>
      </c>
      <c r="U19" s="667">
        <f>H19</f>
        <v>100</v>
      </c>
      <c r="V19" s="666" t="s">
        <v>14</v>
      </c>
      <c r="W19" s="667">
        <f>J19</f>
        <v>100</v>
      </c>
      <c r="X19" s="1262"/>
      <c r="Y19" s="3439"/>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39"/>
      <c r="Q20" s="1260"/>
      <c r="R20" s="666"/>
      <c r="S20" s="667"/>
      <c r="T20" s="666"/>
      <c r="U20" s="667"/>
      <c r="V20" s="666"/>
      <c r="W20" s="667"/>
      <c r="X20" s="1262"/>
      <c r="Y20" s="3439"/>
      <c r="Z20" s="1261"/>
      <c r="AA20" s="1261">
        <v>1</v>
      </c>
      <c r="AB20" s="1261">
        <v>1</v>
      </c>
      <c r="AC20" s="1261">
        <v>1</v>
      </c>
    </row>
    <row r="21" spans="1:29" ht="15">
      <c r="A21" s="366"/>
      <c r="B21" s="389" t="s">
        <v>1833</v>
      </c>
      <c r="C21" s="1751">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39"/>
      <c r="Q21" s="1260" t="str">
        <f>B21</f>
        <v>交通便捷度</v>
      </c>
      <c r="R21" s="666" t="s">
        <v>14</v>
      </c>
      <c r="S21" s="667">
        <f>F21</f>
        <v>100</v>
      </c>
      <c r="T21" s="666" t="s">
        <v>14</v>
      </c>
      <c r="U21" s="667">
        <f>H21</f>
        <v>100</v>
      </c>
      <c r="V21" s="666" t="s">
        <v>14</v>
      </c>
      <c r="W21" s="667">
        <f>J21</f>
        <v>100</v>
      </c>
      <c r="X21" s="1262"/>
      <c r="Y21" s="3439"/>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39"/>
      <c r="Q22" s="1260"/>
      <c r="R22" s="666"/>
      <c r="S22" s="667"/>
      <c r="T22" s="666"/>
      <c r="U22" s="667"/>
      <c r="V22" s="666"/>
      <c r="W22" s="667"/>
      <c r="X22" s="1262"/>
      <c r="Y22" s="3439"/>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39"/>
      <c r="Q23" s="1260" t="str">
        <f t="shared" ref="Q23:Q37" si="8">B23</f>
        <v>区域土地利用方向</v>
      </c>
      <c r="R23" s="666" t="s">
        <v>14</v>
      </c>
      <c r="S23" s="667">
        <f>F23</f>
        <v>100</v>
      </c>
      <c r="T23" s="666" t="s">
        <v>14</v>
      </c>
      <c r="U23" s="667">
        <f>H23</f>
        <v>100</v>
      </c>
      <c r="V23" s="666" t="s">
        <v>14</v>
      </c>
      <c r="W23" s="667">
        <f>J23</f>
        <v>100</v>
      </c>
      <c r="X23" s="1262"/>
      <c r="Y23" s="3439"/>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5"/>
      <c r="L24" s="2490"/>
      <c r="M24" s="2485"/>
      <c r="N24" s="2485"/>
      <c r="O24" s="2540"/>
      <c r="P24" s="3439"/>
      <c r="Q24" s="1260"/>
      <c r="R24" s="666"/>
      <c r="S24" s="667"/>
      <c r="T24" s="666"/>
      <c r="U24" s="667"/>
      <c r="V24" s="666"/>
      <c r="W24" s="667"/>
      <c r="X24" s="1262"/>
      <c r="Y24" s="3439"/>
      <c r="Z24" s="1261"/>
      <c r="AA24" s="1261"/>
      <c r="AB24" s="1261"/>
      <c r="AC24" s="1261"/>
    </row>
    <row r="25" spans="1:29" ht="28.8">
      <c r="A25" s="347"/>
      <c r="B25" s="585" t="s">
        <v>1872</v>
      </c>
      <c r="C25" s="1803">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39"/>
      <c r="Q25" s="1260" t="str">
        <f t="shared" si="8"/>
        <v>自然及人文环境状况</v>
      </c>
      <c r="R25" s="666" t="s">
        <v>14</v>
      </c>
      <c r="S25" s="667">
        <f>F25</f>
        <v>100</v>
      </c>
      <c r="T25" s="666" t="s">
        <v>14</v>
      </c>
      <c r="U25" s="667">
        <f>H25</f>
        <v>100</v>
      </c>
      <c r="V25" s="666" t="s">
        <v>14</v>
      </c>
      <c r="W25" s="667">
        <f>J25</f>
        <v>100</v>
      </c>
      <c r="X25" s="1262"/>
      <c r="Y25" s="3439"/>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39"/>
      <c r="Q26" s="1260"/>
      <c r="R26" s="666"/>
      <c r="S26" s="667"/>
      <c r="T26" s="666"/>
      <c r="U26" s="667"/>
      <c r="V26" s="666"/>
      <c r="W26" s="667"/>
      <c r="X26" s="1262"/>
      <c r="Y26" s="3439"/>
      <c r="Z26" s="1261"/>
      <c r="AA26" s="1261">
        <v>1</v>
      </c>
      <c r="AB26" s="1261">
        <v>1</v>
      </c>
      <c r="AC26" s="1261">
        <v>1</v>
      </c>
    </row>
    <row r="27" spans="1:29" s="101" customFormat="1" ht="15">
      <c r="A27" s="442"/>
      <c r="B27" s="585" t="s">
        <v>1778</v>
      </c>
      <c r="C27" s="1751">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39"/>
      <c r="Q27" s="529" t="str">
        <f t="shared" si="8"/>
        <v>公共配套设施</v>
      </c>
      <c r="R27" s="663" t="s">
        <v>14</v>
      </c>
      <c r="S27" s="664">
        <f>F27</f>
        <v>100</v>
      </c>
      <c r="T27" s="663" t="s">
        <v>14</v>
      </c>
      <c r="U27" s="664">
        <f>H27</f>
        <v>100</v>
      </c>
      <c r="V27" s="663" t="s">
        <v>14</v>
      </c>
      <c r="W27" s="664">
        <f>J27</f>
        <v>100</v>
      </c>
      <c r="X27" s="665"/>
      <c r="Y27" s="3439"/>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6"/>
      <c r="M28" s="2437"/>
      <c r="N28" s="2437"/>
      <c r="O28" s="2538"/>
      <c r="P28" s="3439"/>
      <c r="Q28" s="529"/>
      <c r="R28" s="663"/>
      <c r="S28" s="664"/>
      <c r="T28" s="663"/>
      <c r="U28" s="664"/>
      <c r="V28" s="663"/>
      <c r="W28" s="664"/>
      <c r="X28" s="665"/>
      <c r="Y28" s="3439"/>
      <c r="Z28" s="50"/>
      <c r="AA28" s="1261">
        <v>1</v>
      </c>
      <c r="AB28" s="1261">
        <v>1</v>
      </c>
      <c r="AC28" s="1261">
        <v>1</v>
      </c>
    </row>
    <row r="29" spans="1:29" s="101" customFormat="1" ht="15">
      <c r="A29" s="442"/>
      <c r="B29" s="585" t="s">
        <v>1779</v>
      </c>
      <c r="C29" s="1751">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39"/>
      <c r="Q29" s="529" t="str">
        <f t="shared" ref="Q29" si="9">B29</f>
        <v>基础设施水平</v>
      </c>
      <c r="R29" s="663" t="s">
        <v>14</v>
      </c>
      <c r="S29" s="664">
        <f>F29</f>
        <v>100</v>
      </c>
      <c r="T29" s="663" t="s">
        <v>14</v>
      </c>
      <c r="U29" s="664">
        <f>H29</f>
        <v>100</v>
      </c>
      <c r="V29" s="663" t="s">
        <v>14</v>
      </c>
      <c r="W29" s="664">
        <f>J29</f>
        <v>100</v>
      </c>
      <c r="X29" s="665"/>
      <c r="Y29" s="3439"/>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6"/>
      <c r="M30" s="2437"/>
      <c r="N30" s="2437"/>
      <c r="O30" s="2538"/>
      <c r="P30" s="3439"/>
      <c r="Q30" s="529"/>
      <c r="R30" s="663"/>
      <c r="S30" s="664"/>
      <c r="T30" s="663"/>
      <c r="U30" s="664"/>
      <c r="V30" s="663"/>
      <c r="W30" s="664"/>
      <c r="X30" s="665"/>
      <c r="Y30" s="3439"/>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39"/>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39"/>
      <c r="Z31" s="1261" t="str">
        <f t="shared" ref="Z31:Z45" si="13">Q31</f>
        <v>临街状况</v>
      </c>
      <c r="AA31" s="1261">
        <f t="shared" si="3"/>
        <v>1</v>
      </c>
      <c r="AB31" s="1261">
        <f t="shared" si="4"/>
        <v>1</v>
      </c>
      <c r="AC31" s="1261">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39"/>
      <c r="Q32" s="1260" t="str">
        <f t="shared" si="8"/>
        <v>毗邻道路的类型与等级</v>
      </c>
      <c r="R32" s="666" t="s">
        <v>14</v>
      </c>
      <c r="S32" s="667">
        <f t="shared" si="10"/>
        <v>100</v>
      </c>
      <c r="T32" s="666" t="s">
        <v>14</v>
      </c>
      <c r="U32" s="667">
        <f t="shared" si="11"/>
        <v>100</v>
      </c>
      <c r="V32" s="666" t="s">
        <v>14</v>
      </c>
      <c r="W32" s="667">
        <f t="shared" si="12"/>
        <v>100</v>
      </c>
      <c r="X32" s="1262"/>
      <c r="Y32" s="3439"/>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39"/>
      <c r="Q33" s="1260"/>
      <c r="R33" s="666"/>
      <c r="S33" s="667"/>
      <c r="T33" s="666"/>
      <c r="U33" s="667"/>
      <c r="V33" s="666"/>
      <c r="W33" s="667"/>
      <c r="X33" s="1262"/>
      <c r="Y33" s="3439"/>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39"/>
      <c r="Q34" s="1260" t="str">
        <f t="shared" si="8"/>
        <v>土地级别</v>
      </c>
      <c r="R34" s="666" t="s">
        <v>14</v>
      </c>
      <c r="S34" s="667">
        <f t="shared" si="10"/>
        <v>100</v>
      </c>
      <c r="T34" s="666" t="s">
        <v>14</v>
      </c>
      <c r="U34" s="667">
        <f t="shared" si="11"/>
        <v>100</v>
      </c>
      <c r="V34" s="666" t="s">
        <v>14</v>
      </c>
      <c r="W34" s="667">
        <f t="shared" si="12"/>
        <v>100</v>
      </c>
      <c r="X34" s="1262"/>
      <c r="Y34" s="3439"/>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39"/>
      <c r="Q35" s="1260">
        <f t="shared" si="8"/>
        <v>111</v>
      </c>
      <c r="R35" s="666" t="s">
        <v>14</v>
      </c>
      <c r="S35" s="667">
        <f t="shared" si="10"/>
        <v>100</v>
      </c>
      <c r="T35" s="666" t="s">
        <v>14</v>
      </c>
      <c r="U35" s="667">
        <f t="shared" si="11"/>
        <v>100</v>
      </c>
      <c r="V35" s="666" t="s">
        <v>14</v>
      </c>
      <c r="W35" s="667">
        <f t="shared" si="12"/>
        <v>100</v>
      </c>
      <c r="X35" s="1262"/>
      <c r="Y35" s="3439"/>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2" t="s">
        <v>1696</v>
      </c>
      <c r="Q36" s="1260">
        <f t="shared" si="8"/>
        <v>111</v>
      </c>
      <c r="R36" s="666" t="s">
        <v>14</v>
      </c>
      <c r="S36" s="667">
        <f t="shared" si="10"/>
        <v>100</v>
      </c>
      <c r="T36" s="666" t="s">
        <v>14</v>
      </c>
      <c r="U36" s="667">
        <f t="shared" si="11"/>
        <v>100</v>
      </c>
      <c r="V36" s="666" t="s">
        <v>14</v>
      </c>
      <c r="W36" s="667">
        <f t="shared" si="12"/>
        <v>100</v>
      </c>
      <c r="X36" s="1262"/>
      <c r="Y36" s="3443" t="s">
        <v>1696</v>
      </c>
      <c r="Z36" s="1261">
        <f t="shared" si="13"/>
        <v>111</v>
      </c>
      <c r="AA36" s="1261">
        <f t="shared" si="3"/>
        <v>1</v>
      </c>
      <c r="AB36" s="1261">
        <f t="shared" si="4"/>
        <v>1</v>
      </c>
      <c r="AC36" s="1261">
        <f t="shared" si="5"/>
        <v>1</v>
      </c>
    </row>
    <row r="37" spans="1:29" s="407" customFormat="1" ht="15.6"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43"/>
      <c r="Q37" s="1260">
        <f t="shared" si="8"/>
        <v>111</v>
      </c>
      <c r="R37" s="668" t="s">
        <v>14</v>
      </c>
      <c r="S37" s="669">
        <f t="shared" si="10"/>
        <v>100</v>
      </c>
      <c r="T37" s="668" t="s">
        <v>14</v>
      </c>
      <c r="U37" s="669">
        <f t="shared" si="11"/>
        <v>100</v>
      </c>
      <c r="V37" s="668" t="s">
        <v>14</v>
      </c>
      <c r="W37" s="669">
        <f t="shared" si="12"/>
        <v>100</v>
      </c>
      <c r="X37" s="670"/>
      <c r="Y37" s="3443"/>
      <c r="Z37" s="671">
        <f t="shared" si="13"/>
        <v>111</v>
      </c>
      <c r="AA37" s="1261">
        <f t="shared" si="3"/>
        <v>1</v>
      </c>
      <c r="AB37" s="1261">
        <f t="shared" si="4"/>
        <v>1</v>
      </c>
      <c r="AC37" s="1261">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43"/>
      <c r="Q38" s="1260" t="str">
        <f>B38</f>
        <v>宗地面积</v>
      </c>
      <c r="R38" s="666" t="s">
        <v>14</v>
      </c>
      <c r="S38" s="667" t="e">
        <f t="shared" si="10"/>
        <v>#N/A</v>
      </c>
      <c r="T38" s="666" t="s">
        <v>14</v>
      </c>
      <c r="U38" s="667" t="e">
        <f t="shared" si="11"/>
        <v>#N/A</v>
      </c>
      <c r="V38" s="666" t="s">
        <v>14</v>
      </c>
      <c r="W38" s="667" t="e">
        <f t="shared" si="12"/>
        <v>#N/A</v>
      </c>
      <c r="X38" s="1262"/>
      <c r="Y38" s="3443"/>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43"/>
      <c r="Q39" s="1260" t="str">
        <f t="shared" ref="Q39:Q45" si="14">B39</f>
        <v>宗地形状</v>
      </c>
      <c r="R39" s="666" t="s">
        <v>14</v>
      </c>
      <c r="S39" s="667">
        <f t="shared" si="10"/>
        <v>100</v>
      </c>
      <c r="T39" s="666" t="s">
        <v>14</v>
      </c>
      <c r="U39" s="667">
        <f t="shared" si="11"/>
        <v>100</v>
      </c>
      <c r="V39" s="666" t="s">
        <v>14</v>
      </c>
      <c r="W39" s="667">
        <f t="shared" si="12"/>
        <v>100</v>
      </c>
      <c r="X39" s="1262"/>
      <c r="Y39" s="3443"/>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43"/>
      <c r="Q40" s="1260" t="str">
        <f t="shared" si="14"/>
        <v>临街宽度及深度</v>
      </c>
      <c r="R40" s="666" t="s">
        <v>14</v>
      </c>
      <c r="S40" s="667">
        <f t="shared" si="10"/>
        <v>100</v>
      </c>
      <c r="T40" s="666" t="s">
        <v>14</v>
      </c>
      <c r="U40" s="667">
        <f t="shared" si="11"/>
        <v>100</v>
      </c>
      <c r="V40" s="666" t="s">
        <v>14</v>
      </c>
      <c r="W40" s="667">
        <f t="shared" si="12"/>
        <v>100</v>
      </c>
      <c r="X40" s="1262"/>
      <c r="Y40" s="3443"/>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43"/>
      <c r="Q41" s="1260" t="str">
        <f t="shared" si="14"/>
        <v>宗地开发程度</v>
      </c>
      <c r="R41" s="663" t="s">
        <v>14</v>
      </c>
      <c r="S41" s="664">
        <f t="shared" si="10"/>
        <v>100</v>
      </c>
      <c r="T41" s="663" t="s">
        <v>14</v>
      </c>
      <c r="U41" s="664">
        <f t="shared" si="11"/>
        <v>100</v>
      </c>
      <c r="V41" s="663" t="s">
        <v>14</v>
      </c>
      <c r="W41" s="664">
        <f t="shared" si="12"/>
        <v>100</v>
      </c>
      <c r="X41" s="665"/>
      <c r="Y41" s="3443"/>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43" t="s">
        <v>1696</v>
      </c>
      <c r="Q42" s="1260" t="str">
        <f t="shared" si="14"/>
        <v>工程地质条件</v>
      </c>
      <c r="R42" s="666" t="s">
        <v>14</v>
      </c>
      <c r="S42" s="667">
        <f t="shared" si="10"/>
        <v>100</v>
      </c>
      <c r="T42" s="666" t="s">
        <v>14</v>
      </c>
      <c r="U42" s="667">
        <f t="shared" si="11"/>
        <v>100</v>
      </c>
      <c r="V42" s="666" t="s">
        <v>14</v>
      </c>
      <c r="W42" s="667">
        <f t="shared" si="12"/>
        <v>100</v>
      </c>
      <c r="X42" s="1262"/>
      <c r="Y42" s="3443"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43"/>
      <c r="Q43" s="1260">
        <f t="shared" si="14"/>
        <v>111</v>
      </c>
      <c r="R43" s="666" t="s">
        <v>14</v>
      </c>
      <c r="S43" s="667">
        <f t="shared" si="10"/>
        <v>100</v>
      </c>
      <c r="T43" s="666" t="s">
        <v>14</v>
      </c>
      <c r="U43" s="667">
        <f t="shared" si="11"/>
        <v>100</v>
      </c>
      <c r="V43" s="666" t="s">
        <v>14</v>
      </c>
      <c r="W43" s="667">
        <f t="shared" si="12"/>
        <v>100</v>
      </c>
      <c r="X43" s="1262"/>
      <c r="Y43" s="3443"/>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43"/>
      <c r="Q44" s="1260">
        <f t="shared" si="14"/>
        <v>111</v>
      </c>
      <c r="R44" s="666" t="s">
        <v>14</v>
      </c>
      <c r="S44" s="667">
        <f t="shared" si="10"/>
        <v>100</v>
      </c>
      <c r="T44" s="666" t="s">
        <v>14</v>
      </c>
      <c r="U44" s="667">
        <f t="shared" si="11"/>
        <v>100</v>
      </c>
      <c r="V44" s="666" t="s">
        <v>14</v>
      </c>
      <c r="W44" s="667">
        <f t="shared" si="12"/>
        <v>100</v>
      </c>
      <c r="X44" s="1262"/>
      <c r="Y44" s="3443"/>
      <c r="Z44" s="1261">
        <f t="shared" si="13"/>
        <v>111</v>
      </c>
      <c r="AA44" s="1261">
        <f t="shared" si="3"/>
        <v>1</v>
      </c>
      <c r="AB44" s="1261">
        <f t="shared" si="4"/>
        <v>1</v>
      </c>
      <c r="AC44" s="1261">
        <f t="shared" si="5"/>
        <v>1</v>
      </c>
    </row>
    <row r="45" spans="1:29" s="407" customFormat="1" ht="15.6"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43"/>
      <c r="Q45" s="1260">
        <f t="shared" si="14"/>
        <v>111</v>
      </c>
      <c r="R45" s="668" t="s">
        <v>14</v>
      </c>
      <c r="S45" s="669">
        <f t="shared" si="10"/>
        <v>100</v>
      </c>
      <c r="T45" s="668" t="s">
        <v>14</v>
      </c>
      <c r="U45" s="669">
        <f t="shared" si="11"/>
        <v>100</v>
      </c>
      <c r="V45" s="668" t="s">
        <v>14</v>
      </c>
      <c r="W45" s="669">
        <f t="shared" si="12"/>
        <v>100</v>
      </c>
      <c r="X45" s="670"/>
      <c r="Y45" s="3443"/>
      <c r="Z45" s="671">
        <f t="shared" si="13"/>
        <v>111</v>
      </c>
      <c r="AA45" s="1261">
        <f t="shared" si="3"/>
        <v>1</v>
      </c>
      <c r="AB45" s="1261">
        <f t="shared" si="4"/>
        <v>1</v>
      </c>
      <c r="AC45" s="1261">
        <f t="shared" si="5"/>
        <v>1</v>
      </c>
    </row>
    <row r="46" spans="1:29" ht="14.4">
      <c r="A46" s="415" t="s">
        <v>1844</v>
      </c>
      <c r="B46" s="1827" t="s">
        <v>1879</v>
      </c>
      <c r="C46" s="601" t="s">
        <v>0</v>
      </c>
      <c r="D46" s="417"/>
      <c r="E46" s="418"/>
      <c r="F46" s="419"/>
      <c r="G46" s="420"/>
      <c r="H46" s="421"/>
      <c r="I46" s="418"/>
      <c r="J46" s="421"/>
      <c r="K46" s="673"/>
      <c r="L46" s="2492"/>
      <c r="M46" s="2485"/>
      <c r="N46" s="2485"/>
      <c r="O46" s="2485"/>
      <c r="P46" s="3437" t="str">
        <f>A46</f>
        <v>成交单价</v>
      </c>
      <c r="Q46" s="3437"/>
      <c r="R46" s="3432">
        <f>E46</f>
        <v>0</v>
      </c>
      <c r="S46" s="3432"/>
      <c r="T46" s="3432">
        <f>G46</f>
        <v>0</v>
      </c>
      <c r="U46" s="3432"/>
      <c r="V46" s="3432">
        <f>I46</f>
        <v>0</v>
      </c>
      <c r="W46" s="3432"/>
      <c r="X46" s="384"/>
      <c r="Y46" s="672"/>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2"/>
      <c r="M47" s="2485"/>
      <c r="N47" s="2485"/>
      <c r="O47" s="2485"/>
      <c r="P47" s="3437" t="str">
        <f>A47</f>
        <v>比较价值（元/平方米）</v>
      </c>
      <c r="Q47" s="3437"/>
      <c r="R47" s="3464" t="e">
        <f>ROUND(PRODUCT(R46,AA7:AA45),0)</f>
        <v>#DIV/0!</v>
      </c>
      <c r="S47" s="3464"/>
      <c r="T47" s="3464" t="e">
        <f>ROUND(PRODUCT(T46,AB7:AB45),0)</f>
        <v>#DIV/0!</v>
      </c>
      <c r="U47" s="3464"/>
      <c r="V47" s="3464" t="e">
        <f>ROUND(PRODUCT(V46,AC7:AC45),0)</f>
        <v>#DIV/0!</v>
      </c>
      <c r="W47" s="3464"/>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434" t="str">
        <f>A48</f>
        <v>估价对象XX用房的比较价值（楼面单价，元/平方米）</v>
      </c>
      <c r="Q48" s="3435"/>
      <c r="R48" s="3465" t="e">
        <f>ROUND(IF(D47="简单平均",AVERAGE(R47:W47),R47*F47+T47*H47+V47*J47),0)</f>
        <v>#DIV/0!</v>
      </c>
      <c r="S48" s="3465"/>
      <c r="T48" s="3465"/>
      <c r="U48" s="3465"/>
      <c r="V48" s="3465"/>
      <c r="W48" s="3465"/>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4" t="s">
        <v>1886</v>
      </c>
      <c r="G55" s="3420" t="s">
        <v>1887</v>
      </c>
      <c r="H55" s="3466"/>
      <c r="I55" s="126"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7">
        <v>1</v>
      </c>
      <c r="E56" s="609">
        <f>'数据-汇总表'!E8+'数据-汇总表'!E9</f>
        <v>28883.19</v>
      </c>
      <c r="F56" s="830" t="e">
        <f t="shared" ref="F56:F64" si="15">ROUND(B56*E56/10000,0)</f>
        <v>#DIV/0!</v>
      </c>
      <c r="G56" s="3419"/>
      <c r="H56" s="3437"/>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88">
        <v>0.25</v>
      </c>
      <c r="E57" s="613"/>
      <c r="F57" s="830" t="e">
        <f t="shared" si="15"/>
        <v>#DIV/0!</v>
      </c>
      <c r="G57" s="2748" t="s">
        <v>1892</v>
      </c>
      <c r="H57" s="831" t="str">
        <f>项目基本情况!B37</f>
        <v>二级</v>
      </c>
      <c r="I57" s="835">
        <f>SUMIF(修正!A57:A68,H57,修正!B57:B68)</f>
        <v>0.7</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88">
        <v>0.25</v>
      </c>
      <c r="E58" s="613"/>
      <c r="F58" s="830" t="e">
        <f t="shared" si="15"/>
        <v>#DIV/0!</v>
      </c>
      <c r="G58" s="2749"/>
      <c r="H58" s="831" t="str">
        <f>项目基本情况!B37</f>
        <v>二级</v>
      </c>
      <c r="I58" s="835">
        <f>SUMIF(修正!A57:A68,H58,修正!C57:C68)</f>
        <v>0.4</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88">
        <v>0.25</v>
      </c>
      <c r="E59" s="613"/>
      <c r="F59" s="830" t="e">
        <f t="shared" si="15"/>
        <v>#DIV/0!</v>
      </c>
      <c r="G59" s="2749"/>
      <c r="H59" s="831" t="str">
        <f>项目基本情况!B37</f>
        <v>二级</v>
      </c>
      <c r="I59" s="835">
        <f>SUMIF(修正!A57:A68,H59,修正!D57:D68)</f>
        <v>0.3</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88">
        <v>0.25</v>
      </c>
      <c r="E60" s="208">
        <f>'数据-汇总表'!E11</f>
        <v>0</v>
      </c>
      <c r="F60" s="830" t="e">
        <f t="shared" si="15"/>
        <v>#DIV/0!</v>
      </c>
      <c r="G60" s="1832" t="s">
        <v>1896</v>
      </c>
      <c r="H60" s="831" t="str">
        <f>项目基本情况!C37</f>
        <v>二级</v>
      </c>
      <c r="I60" s="835">
        <f>SUMIF(修正!A57:A68,H60,修正!E57:E68)</f>
        <v>0.3</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88">
        <v>0.25</v>
      </c>
      <c r="E61" s="208">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8">
        <v>0.25</v>
      </c>
      <c r="E62" s="208">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88">
        <v>0.25</v>
      </c>
      <c r="E63" s="208">
        <f>'数据-汇总表'!E14</f>
        <v>0</v>
      </c>
      <c r="F63" s="830" t="e">
        <f t="shared" si="15"/>
        <v>#DIV/0!</v>
      </c>
      <c r="G63" s="1832" t="s">
        <v>1892</v>
      </c>
      <c r="H63" s="831" t="str">
        <f>项目基本情况!B37</f>
        <v>二级</v>
      </c>
      <c r="I63" s="835">
        <f>SUMIF(修正!A57:A68,H63,修正!G57:G68)</f>
        <v>0.2</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0.2</v>
      </c>
      <c r="D64" s="888">
        <v>0.25</v>
      </c>
      <c r="E64" s="208">
        <f>'数据-汇总表'!E15</f>
        <v>6564.97</v>
      </c>
      <c r="F64" s="830" t="e">
        <f t="shared" si="15"/>
        <v>#DIV/0!</v>
      </c>
      <c r="G64" s="1833" t="s">
        <v>1896</v>
      </c>
      <c r="H64" s="841" t="str">
        <f>项目基本情况!C37</f>
        <v>二级</v>
      </c>
      <c r="I64" s="837">
        <f>SUMIF(修正!A57:A68,H64,修正!G57:G68)</f>
        <v>0.2</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35448.159999999996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1" customFormat="1" ht="14.4">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4" t="s">
        <v>1905</v>
      </c>
      <c r="B70" s="279" t="str">
        <f>"北京市平均增长率"&amp;TEXT(SUMIF('基准地价修正-商业'!N25:N29,A70,'基准地价修正-商业'!P25:P29),"0.00%")</f>
        <v>北京市平均增长率0.00%</v>
      </c>
      <c r="C70" s="529">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6"/>
      <c r="P71" s="2506"/>
      <c r="Q71" s="2506"/>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2"/>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2"/>
      <c r="D2" s="852"/>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4.4">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07" t="s">
        <v>1771</v>
      </c>
      <c r="S4" s="3408"/>
      <c r="T4" s="3407" t="s">
        <v>1772</v>
      </c>
      <c r="U4" s="3408"/>
      <c r="V4" s="3432" t="s">
        <v>1773</v>
      </c>
      <c r="W4" s="3432"/>
      <c r="X4" s="1262"/>
      <c r="Y4" s="3407" t="s">
        <v>1775</v>
      </c>
      <c r="Z4" s="3408"/>
      <c r="AA4" s="3402" t="s">
        <v>1771</v>
      </c>
      <c r="AB4" s="3403" t="s">
        <v>1772</v>
      </c>
      <c r="AC4" s="3402" t="s">
        <v>1773</v>
      </c>
    </row>
    <row r="5" spans="1:29">
      <c r="A5" s="347"/>
      <c r="B5" s="348"/>
      <c r="C5" s="3413" t="s">
        <v>1673</v>
      </c>
      <c r="D5" s="3414"/>
      <c r="E5" s="3411" t="s">
        <v>1674</v>
      </c>
      <c r="F5" s="3412"/>
      <c r="G5" s="3413" t="s">
        <v>1675</v>
      </c>
      <c r="H5" s="3414"/>
      <c r="I5" s="3413" t="s">
        <v>1676</v>
      </c>
      <c r="J5" s="3414"/>
      <c r="K5" s="536"/>
      <c r="L5" s="2484"/>
      <c r="M5" s="2485"/>
      <c r="N5" s="2485"/>
      <c r="O5" s="2485"/>
      <c r="P5" s="3426"/>
      <c r="Q5" s="3427"/>
      <c r="R5" s="3409"/>
      <c r="S5" s="3410"/>
      <c r="T5" s="3409"/>
      <c r="U5" s="3410"/>
      <c r="V5" s="3432"/>
      <c r="W5" s="3432"/>
      <c r="X5" s="1262"/>
      <c r="Y5" s="3409"/>
      <c r="Z5" s="3410"/>
      <c r="AA5" s="3403"/>
      <c r="AB5" s="3403"/>
      <c r="AC5" s="3403"/>
    </row>
    <row r="6" spans="1:29" ht="15" thickBot="1">
      <c r="A6" s="349"/>
      <c r="B6" s="350"/>
      <c r="C6" s="3467" t="s">
        <v>1919</v>
      </c>
      <c r="D6" s="3468"/>
      <c r="E6" s="3469" t="s">
        <v>1919</v>
      </c>
      <c r="F6" s="3470"/>
      <c r="G6" s="3467" t="s">
        <v>1919</v>
      </c>
      <c r="H6" s="3468"/>
      <c r="I6" s="3467" t="s">
        <v>1919</v>
      </c>
      <c r="J6" s="3468"/>
      <c r="K6" s="536" t="s">
        <v>1678</v>
      </c>
      <c r="L6" s="2484"/>
      <c r="M6" s="2485"/>
      <c r="N6" s="2485"/>
      <c r="O6" s="2485"/>
      <c r="P6" s="3428"/>
      <c r="Q6" s="3429"/>
      <c r="R6" s="3409"/>
      <c r="S6" s="3410"/>
      <c r="T6" s="3430"/>
      <c r="U6" s="3431"/>
      <c r="V6" s="3432"/>
      <c r="W6" s="3432"/>
      <c r="X6" s="1262"/>
      <c r="Y6" s="3430"/>
      <c r="Z6" s="3431"/>
      <c r="AA6" s="3404"/>
      <c r="AB6" s="3404"/>
      <c r="AC6" s="3404"/>
    </row>
    <row r="7" spans="1:29" s="101" customFormat="1" ht="15" thickBot="1">
      <c r="A7" s="351" t="s">
        <v>1679</v>
      </c>
      <c r="B7" s="352"/>
      <c r="C7" s="353">
        <f>'数据-取费表'!B2</f>
        <v>45737</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05" t="s">
        <v>1680</v>
      </c>
      <c r="Q7" s="3433"/>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7" t="s">
        <v>1686</v>
      </c>
      <c r="Q9" s="529"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135</v>
      </c>
      <c r="G10" s="370"/>
      <c r="H10" s="118">
        <f>ROUND(100/'数据-取费表'!G16,0)</f>
        <v>135</v>
      </c>
      <c r="I10" s="370"/>
      <c r="J10" s="118">
        <f>ROUND(100/'数据-取费表'!G16,0)</f>
        <v>135</v>
      </c>
      <c r="K10" s="591"/>
      <c r="L10" s="2487"/>
      <c r="M10" s="2488"/>
      <c r="N10" s="2488"/>
      <c r="O10" s="2539"/>
      <c r="P10" s="3437"/>
      <c r="Q10" s="529" t="str">
        <f t="shared" si="6"/>
        <v>土地使用年限（年）</v>
      </c>
      <c r="R10" s="663" t="s">
        <v>14</v>
      </c>
      <c r="S10" s="664">
        <f t="shared" si="0"/>
        <v>135</v>
      </c>
      <c r="T10" s="663" t="s">
        <v>14</v>
      </c>
      <c r="U10" s="664">
        <f t="shared" si="1"/>
        <v>135</v>
      </c>
      <c r="V10" s="663" t="s">
        <v>14</v>
      </c>
      <c r="W10" s="664">
        <f t="shared" si="2"/>
        <v>135</v>
      </c>
      <c r="X10" s="665"/>
      <c r="Y10" s="3330"/>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37"/>
      <c r="Q11" s="529"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37"/>
      <c r="Q12" s="529">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37"/>
      <c r="Q13" s="529">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37"/>
      <c r="Q14" s="529">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8" t="s">
        <v>1690</v>
      </c>
      <c r="B15" s="553"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38" t="s">
        <v>1691</v>
      </c>
      <c r="Q15" s="1260" t="str">
        <f t="shared" si="6"/>
        <v>产业集聚程度</v>
      </c>
      <c r="R15" s="666" t="s">
        <v>14</v>
      </c>
      <c r="S15" s="667">
        <f t="shared" si="0"/>
        <v>100</v>
      </c>
      <c r="T15" s="666" t="s">
        <v>14</v>
      </c>
      <c r="U15" s="667">
        <f t="shared" si="1"/>
        <v>100</v>
      </c>
      <c r="V15" s="666" t="s">
        <v>14</v>
      </c>
      <c r="W15" s="667">
        <f t="shared" si="2"/>
        <v>100</v>
      </c>
      <c r="X15" s="1262"/>
      <c r="Y15" s="3438"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39"/>
      <c r="Q16" s="1260"/>
      <c r="R16" s="666"/>
      <c r="S16" s="667"/>
      <c r="T16" s="666"/>
      <c r="U16" s="667"/>
      <c r="V16" s="666"/>
      <c r="W16" s="667"/>
      <c r="X16" s="1262"/>
      <c r="Y16" s="3439"/>
      <c r="Z16" s="1261"/>
      <c r="AA16" s="1261">
        <v>1</v>
      </c>
      <c r="AB16" s="1261">
        <v>1</v>
      </c>
      <c r="AC16" s="1261">
        <v>1</v>
      </c>
    </row>
    <row r="17" spans="1:29" ht="15">
      <c r="A17" s="366"/>
      <c r="B17" s="555"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39"/>
      <c r="Q17" s="1260" t="str">
        <f>B17</f>
        <v>交通便捷度</v>
      </c>
      <c r="R17" s="666" t="s">
        <v>14</v>
      </c>
      <c r="S17" s="667">
        <f>F17</f>
        <v>100</v>
      </c>
      <c r="T17" s="666" t="s">
        <v>14</v>
      </c>
      <c r="U17" s="667">
        <f>H17</f>
        <v>100</v>
      </c>
      <c r="V17" s="666" t="s">
        <v>14</v>
      </c>
      <c r="W17" s="667">
        <f>J17</f>
        <v>100</v>
      </c>
      <c r="X17" s="1262"/>
      <c r="Y17" s="3439"/>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39"/>
      <c r="Q18" s="1260"/>
      <c r="R18" s="666"/>
      <c r="S18" s="667"/>
      <c r="T18" s="666"/>
      <c r="U18" s="667"/>
      <c r="V18" s="666"/>
      <c r="W18" s="667"/>
      <c r="X18" s="1262"/>
      <c r="Y18" s="3439"/>
      <c r="Z18" s="1261"/>
      <c r="AA18" s="1261">
        <v>1</v>
      </c>
      <c r="AB18" s="1261">
        <v>1</v>
      </c>
      <c r="AC18" s="1261">
        <v>1</v>
      </c>
    </row>
    <row r="19" spans="1:29" ht="28.8">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39"/>
      <c r="Q19" s="1260" t="str">
        <f t="shared" ref="Q19:Q33" si="8">B19</f>
        <v>区域土地利用方向</v>
      </c>
      <c r="R19" s="666" t="s">
        <v>14</v>
      </c>
      <c r="S19" s="667">
        <f>F19</f>
        <v>100</v>
      </c>
      <c r="T19" s="666" t="s">
        <v>14</v>
      </c>
      <c r="U19" s="667">
        <f>H19</f>
        <v>100</v>
      </c>
      <c r="V19" s="666" t="s">
        <v>14</v>
      </c>
      <c r="W19" s="667">
        <f>J19</f>
        <v>100</v>
      </c>
      <c r="X19" s="1262"/>
      <c r="Y19" s="3439"/>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5"/>
      <c r="L20" s="2490"/>
      <c r="M20" s="2485"/>
      <c r="N20" s="2485"/>
      <c r="O20" s="2540"/>
      <c r="P20" s="3439"/>
      <c r="Q20" s="1260"/>
      <c r="R20" s="666"/>
      <c r="S20" s="667"/>
      <c r="T20" s="666"/>
      <c r="U20" s="667"/>
      <c r="V20" s="666"/>
      <c r="W20" s="667"/>
      <c r="X20" s="1262"/>
      <c r="Y20" s="3439"/>
      <c r="Z20" s="1261"/>
      <c r="AA20" s="1261"/>
      <c r="AB20" s="1261"/>
      <c r="AC20" s="1261"/>
    </row>
    <row r="21" spans="1:29" ht="15">
      <c r="A21" s="347"/>
      <c r="B21" s="555"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39"/>
      <c r="Q21" s="1260" t="str">
        <f t="shared" si="8"/>
        <v>环境状况</v>
      </c>
      <c r="R21" s="666" t="s">
        <v>14</v>
      </c>
      <c r="S21" s="667">
        <f>F21</f>
        <v>100</v>
      </c>
      <c r="T21" s="666" t="s">
        <v>14</v>
      </c>
      <c r="U21" s="667">
        <f>H21</f>
        <v>100</v>
      </c>
      <c r="V21" s="666" t="s">
        <v>14</v>
      </c>
      <c r="W21" s="667">
        <f>J21</f>
        <v>100</v>
      </c>
      <c r="X21" s="1262"/>
      <c r="Y21" s="3439"/>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39"/>
      <c r="Q22" s="1260"/>
      <c r="R22" s="666"/>
      <c r="S22" s="667"/>
      <c r="T22" s="666"/>
      <c r="U22" s="667"/>
      <c r="V22" s="666"/>
      <c r="W22" s="667"/>
      <c r="X22" s="1262"/>
      <c r="Y22" s="3439"/>
      <c r="Z22" s="1261"/>
      <c r="AA22" s="1261">
        <v>1</v>
      </c>
      <c r="AB22" s="1261">
        <v>1</v>
      </c>
      <c r="AC22" s="1261">
        <v>1</v>
      </c>
    </row>
    <row r="23" spans="1:29" s="101" customFormat="1" ht="15">
      <c r="A23" s="442"/>
      <c r="B23" s="556"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39"/>
      <c r="Q23" s="529" t="str">
        <f t="shared" si="8"/>
        <v>公共配套设施</v>
      </c>
      <c r="R23" s="663" t="s">
        <v>14</v>
      </c>
      <c r="S23" s="664">
        <f>F23</f>
        <v>100</v>
      </c>
      <c r="T23" s="663" t="s">
        <v>14</v>
      </c>
      <c r="U23" s="664">
        <f>H23</f>
        <v>100</v>
      </c>
      <c r="V23" s="663" t="s">
        <v>14</v>
      </c>
      <c r="W23" s="664">
        <f>J23</f>
        <v>100</v>
      </c>
      <c r="X23" s="665"/>
      <c r="Y23" s="3439"/>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6"/>
      <c r="M24" s="2437"/>
      <c r="N24" s="2437"/>
      <c r="O24" s="2538"/>
      <c r="P24" s="3439"/>
      <c r="Q24" s="529"/>
      <c r="R24" s="663"/>
      <c r="S24" s="664"/>
      <c r="T24" s="663"/>
      <c r="U24" s="664"/>
      <c r="V24" s="663"/>
      <c r="W24" s="664"/>
      <c r="X24" s="665"/>
      <c r="Y24" s="3439"/>
      <c r="Z24" s="50"/>
      <c r="AA24" s="50">
        <v>1</v>
      </c>
      <c r="AB24" s="50">
        <v>1</v>
      </c>
      <c r="AC24" s="50">
        <v>1</v>
      </c>
    </row>
    <row r="25" spans="1:29" s="101" customFormat="1" ht="15">
      <c r="A25" s="442"/>
      <c r="B25" s="556"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39"/>
      <c r="Q25" s="529" t="str">
        <f t="shared" ref="Q25" si="9">B25</f>
        <v>基础设施水平</v>
      </c>
      <c r="R25" s="663" t="s">
        <v>14</v>
      </c>
      <c r="S25" s="664">
        <f>F25</f>
        <v>100</v>
      </c>
      <c r="T25" s="663" t="s">
        <v>14</v>
      </c>
      <c r="U25" s="664">
        <f>H25</f>
        <v>100</v>
      </c>
      <c r="V25" s="663" t="s">
        <v>14</v>
      </c>
      <c r="W25" s="664">
        <f>J25</f>
        <v>100</v>
      </c>
      <c r="X25" s="665"/>
      <c r="Y25" s="3439"/>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6"/>
      <c r="M26" s="2437"/>
      <c r="N26" s="2437"/>
      <c r="O26" s="2538"/>
      <c r="P26" s="3439"/>
      <c r="Q26" s="529"/>
      <c r="R26" s="663"/>
      <c r="S26" s="664"/>
      <c r="T26" s="663"/>
      <c r="U26" s="664"/>
      <c r="V26" s="663"/>
      <c r="W26" s="664"/>
      <c r="X26" s="665"/>
      <c r="Y26" s="343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39"/>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39"/>
      <c r="Z27" s="1261" t="str">
        <f t="shared" ref="Z27:Z40" si="13">Q27</f>
        <v>临街状况</v>
      </c>
      <c r="AA27" s="1261">
        <f t="shared" si="3"/>
        <v>1</v>
      </c>
      <c r="AB27" s="1261">
        <f t="shared" si="4"/>
        <v>1</v>
      </c>
      <c r="AC27" s="1261">
        <f t="shared" si="5"/>
        <v>1</v>
      </c>
    </row>
    <row r="28" spans="1:29" ht="28.8">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39"/>
      <c r="Q28" s="1260" t="str">
        <f t="shared" si="8"/>
        <v>毗邻道路的类型与等级</v>
      </c>
      <c r="R28" s="666" t="s">
        <v>14</v>
      </c>
      <c r="S28" s="667">
        <f t="shared" si="10"/>
        <v>100</v>
      </c>
      <c r="T28" s="666" t="s">
        <v>14</v>
      </c>
      <c r="U28" s="667">
        <f t="shared" si="11"/>
        <v>100</v>
      </c>
      <c r="V28" s="666" t="s">
        <v>14</v>
      </c>
      <c r="W28" s="667">
        <f t="shared" si="12"/>
        <v>100</v>
      </c>
      <c r="X28" s="1262"/>
      <c r="Y28" s="3439"/>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39"/>
      <c r="Q29" s="1260"/>
      <c r="R29" s="666"/>
      <c r="S29" s="667"/>
      <c r="T29" s="666"/>
      <c r="U29" s="667"/>
      <c r="V29" s="666"/>
      <c r="W29" s="667"/>
      <c r="X29" s="1262"/>
      <c r="Y29" s="3439"/>
      <c r="Z29" s="1261"/>
      <c r="AA29" s="1261">
        <v>1</v>
      </c>
      <c r="AB29" s="1261">
        <v>1</v>
      </c>
      <c r="AC29" s="1261">
        <v>1</v>
      </c>
    </row>
    <row r="30" spans="1:29" ht="15">
      <c r="A30" s="366"/>
      <c r="B30" s="118" t="s">
        <v>1873</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39"/>
      <c r="Q30" s="1260" t="str">
        <f t="shared" si="8"/>
        <v>土地级别</v>
      </c>
      <c r="R30" s="666" t="s">
        <v>14</v>
      </c>
      <c r="S30" s="667">
        <f t="shared" si="10"/>
        <v>100</v>
      </c>
      <c r="T30" s="666" t="s">
        <v>14</v>
      </c>
      <c r="U30" s="667">
        <f t="shared" si="11"/>
        <v>100</v>
      </c>
      <c r="V30" s="666" t="s">
        <v>14</v>
      </c>
      <c r="W30" s="667">
        <f t="shared" si="12"/>
        <v>100</v>
      </c>
      <c r="X30" s="1262"/>
      <c r="Y30" s="3439"/>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39"/>
      <c r="Q31" s="1260">
        <f t="shared" si="8"/>
        <v>111</v>
      </c>
      <c r="R31" s="666" t="s">
        <v>14</v>
      </c>
      <c r="S31" s="667">
        <f t="shared" si="10"/>
        <v>100</v>
      </c>
      <c r="T31" s="666" t="s">
        <v>14</v>
      </c>
      <c r="U31" s="667">
        <f t="shared" si="11"/>
        <v>100</v>
      </c>
      <c r="V31" s="666" t="s">
        <v>14</v>
      </c>
      <c r="W31" s="667">
        <f t="shared" si="12"/>
        <v>100</v>
      </c>
      <c r="X31" s="1262"/>
      <c r="Y31" s="3439"/>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2" t="s">
        <v>1696</v>
      </c>
      <c r="Q32" s="1260">
        <f t="shared" si="8"/>
        <v>111</v>
      </c>
      <c r="R32" s="666" t="s">
        <v>14</v>
      </c>
      <c r="S32" s="667">
        <f t="shared" si="10"/>
        <v>100</v>
      </c>
      <c r="T32" s="666" t="s">
        <v>14</v>
      </c>
      <c r="U32" s="667">
        <f t="shared" si="11"/>
        <v>100</v>
      </c>
      <c r="V32" s="666" t="s">
        <v>14</v>
      </c>
      <c r="W32" s="667">
        <f t="shared" si="12"/>
        <v>100</v>
      </c>
      <c r="X32" s="1262"/>
      <c r="Y32" s="3443" t="s">
        <v>1696</v>
      </c>
      <c r="Z32" s="1261">
        <f t="shared" si="13"/>
        <v>111</v>
      </c>
      <c r="AA32" s="1261">
        <f t="shared" si="3"/>
        <v>1</v>
      </c>
      <c r="AB32" s="1261">
        <f t="shared" si="4"/>
        <v>1</v>
      </c>
      <c r="AC32" s="1261">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43"/>
      <c r="Q33" s="1260">
        <f t="shared" si="8"/>
        <v>111</v>
      </c>
      <c r="R33" s="668" t="s">
        <v>14</v>
      </c>
      <c r="S33" s="669">
        <f t="shared" si="10"/>
        <v>100</v>
      </c>
      <c r="T33" s="668" t="s">
        <v>14</v>
      </c>
      <c r="U33" s="669">
        <f t="shared" si="11"/>
        <v>100</v>
      </c>
      <c r="V33" s="668" t="s">
        <v>14</v>
      </c>
      <c r="W33" s="669">
        <f t="shared" si="12"/>
        <v>100</v>
      </c>
      <c r="X33" s="670"/>
      <c r="Y33" s="3443"/>
      <c r="Z33" s="671">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43"/>
      <c r="Q34" s="1260" t="str">
        <f>B34</f>
        <v>宗地面积</v>
      </c>
      <c r="R34" s="666" t="s">
        <v>14</v>
      </c>
      <c r="S34" s="667" t="e">
        <f t="shared" si="10"/>
        <v>#N/A</v>
      </c>
      <c r="T34" s="666" t="s">
        <v>14</v>
      </c>
      <c r="U34" s="667" t="e">
        <f t="shared" si="11"/>
        <v>#N/A</v>
      </c>
      <c r="V34" s="666" t="s">
        <v>14</v>
      </c>
      <c r="W34" s="667" t="e">
        <f t="shared" si="12"/>
        <v>#N/A</v>
      </c>
      <c r="X34" s="1262"/>
      <c r="Y34" s="3443"/>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43"/>
      <c r="Q35" s="1260" t="str">
        <f t="shared" ref="Q35:Q40" si="14">B35</f>
        <v>宗地形状</v>
      </c>
      <c r="R35" s="666" t="s">
        <v>14</v>
      </c>
      <c r="S35" s="667">
        <f t="shared" si="10"/>
        <v>100</v>
      </c>
      <c r="T35" s="666" t="s">
        <v>14</v>
      </c>
      <c r="U35" s="667">
        <f t="shared" si="11"/>
        <v>100</v>
      </c>
      <c r="V35" s="666" t="s">
        <v>14</v>
      </c>
      <c r="W35" s="667">
        <f t="shared" si="12"/>
        <v>100</v>
      </c>
      <c r="X35" s="1262"/>
      <c r="Y35" s="3443"/>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43"/>
      <c r="Q36" s="1260" t="str">
        <f t="shared" si="14"/>
        <v>宗地开发程度</v>
      </c>
      <c r="R36" s="663" t="s">
        <v>14</v>
      </c>
      <c r="S36" s="664">
        <f t="shared" si="10"/>
        <v>100</v>
      </c>
      <c r="T36" s="663" t="s">
        <v>14</v>
      </c>
      <c r="U36" s="664">
        <f t="shared" si="11"/>
        <v>100</v>
      </c>
      <c r="V36" s="663" t="s">
        <v>14</v>
      </c>
      <c r="W36" s="664">
        <f t="shared" si="12"/>
        <v>100</v>
      </c>
      <c r="X36" s="665"/>
      <c r="Y36" s="3443"/>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43" t="s">
        <v>1696</v>
      </c>
      <c r="Q37" s="1260" t="str">
        <f t="shared" si="14"/>
        <v>工程地质条件</v>
      </c>
      <c r="R37" s="666" t="s">
        <v>14</v>
      </c>
      <c r="S37" s="667">
        <f t="shared" si="10"/>
        <v>100</v>
      </c>
      <c r="T37" s="666" t="s">
        <v>14</v>
      </c>
      <c r="U37" s="667">
        <f t="shared" si="11"/>
        <v>100</v>
      </c>
      <c r="V37" s="666" t="s">
        <v>14</v>
      </c>
      <c r="W37" s="667">
        <f t="shared" si="12"/>
        <v>100</v>
      </c>
      <c r="X37" s="1262"/>
      <c r="Y37" s="3443"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43"/>
      <c r="Q38" s="1260">
        <f t="shared" si="14"/>
        <v>111</v>
      </c>
      <c r="R38" s="666" t="s">
        <v>14</v>
      </c>
      <c r="S38" s="667">
        <f t="shared" si="10"/>
        <v>100</v>
      </c>
      <c r="T38" s="666" t="s">
        <v>14</v>
      </c>
      <c r="U38" s="667">
        <f t="shared" si="11"/>
        <v>100</v>
      </c>
      <c r="V38" s="666" t="s">
        <v>14</v>
      </c>
      <c r="W38" s="667">
        <f t="shared" si="12"/>
        <v>100</v>
      </c>
      <c r="X38" s="1262"/>
      <c r="Y38" s="3443"/>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43"/>
      <c r="Q39" s="1260">
        <f t="shared" si="14"/>
        <v>111</v>
      </c>
      <c r="R39" s="666" t="s">
        <v>14</v>
      </c>
      <c r="S39" s="667">
        <f t="shared" si="10"/>
        <v>100</v>
      </c>
      <c r="T39" s="666" t="s">
        <v>14</v>
      </c>
      <c r="U39" s="667">
        <f t="shared" si="11"/>
        <v>100</v>
      </c>
      <c r="V39" s="666" t="s">
        <v>14</v>
      </c>
      <c r="W39" s="667">
        <f t="shared" si="12"/>
        <v>100</v>
      </c>
      <c r="X39" s="1262"/>
      <c r="Y39" s="3443"/>
      <c r="Z39" s="1261">
        <f t="shared" si="13"/>
        <v>111</v>
      </c>
      <c r="AA39" s="1261">
        <f t="shared" si="3"/>
        <v>1</v>
      </c>
      <c r="AB39" s="1261">
        <f t="shared" si="4"/>
        <v>1</v>
      </c>
      <c r="AC39" s="1261">
        <f t="shared" si="5"/>
        <v>1</v>
      </c>
    </row>
    <row r="40" spans="1:31" s="407" customFormat="1" ht="15.6"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43"/>
      <c r="Q40" s="1260">
        <f t="shared" si="14"/>
        <v>111</v>
      </c>
      <c r="R40" s="668" t="s">
        <v>14</v>
      </c>
      <c r="S40" s="669">
        <f t="shared" si="10"/>
        <v>100</v>
      </c>
      <c r="T40" s="668" t="s">
        <v>14</v>
      </c>
      <c r="U40" s="669">
        <f t="shared" si="11"/>
        <v>100</v>
      </c>
      <c r="V40" s="668" t="s">
        <v>14</v>
      </c>
      <c r="W40" s="669">
        <f t="shared" si="12"/>
        <v>100</v>
      </c>
      <c r="X40" s="670"/>
      <c r="Y40" s="3443"/>
      <c r="Z40" s="671">
        <f t="shared" si="13"/>
        <v>111</v>
      </c>
      <c r="AA40" s="1261">
        <f t="shared" si="3"/>
        <v>1</v>
      </c>
      <c r="AB40" s="1261">
        <f t="shared" si="4"/>
        <v>1</v>
      </c>
      <c r="AC40" s="1261">
        <f t="shared" si="5"/>
        <v>1</v>
      </c>
    </row>
    <row r="41" spans="1:31" ht="14.4">
      <c r="A41" s="415" t="s">
        <v>1844</v>
      </c>
      <c r="B41" s="1827" t="s">
        <v>1922</v>
      </c>
      <c r="C41" s="601" t="s">
        <v>0</v>
      </c>
      <c r="D41" s="417"/>
      <c r="E41" s="418"/>
      <c r="F41" s="419"/>
      <c r="G41" s="420"/>
      <c r="H41" s="421"/>
      <c r="I41" s="418"/>
      <c r="J41" s="421"/>
      <c r="K41" s="673"/>
      <c r="L41" s="2492"/>
      <c r="M41" s="2485"/>
      <c r="N41" s="2485"/>
      <c r="O41" s="2485"/>
      <c r="P41" s="3437" t="str">
        <f>A41</f>
        <v>成交单价</v>
      </c>
      <c r="Q41" s="3437"/>
      <c r="R41" s="3432">
        <f>E41</f>
        <v>0</v>
      </c>
      <c r="S41" s="3432"/>
      <c r="T41" s="3432">
        <f>G41</f>
        <v>0</v>
      </c>
      <c r="U41" s="3432"/>
      <c r="V41" s="3432">
        <f>I41</f>
        <v>0</v>
      </c>
      <c r="W41" s="3432"/>
      <c r="X41" s="384"/>
      <c r="Y41" s="672"/>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2"/>
      <c r="M42" s="2485"/>
      <c r="N42" s="2485"/>
      <c r="O42" s="2485"/>
      <c r="P42" s="3437" t="str">
        <f>A42</f>
        <v>比较价值（元/平方米）</v>
      </c>
      <c r="Q42" s="3437"/>
      <c r="R42" s="3464" t="e">
        <f>ROUND(PRODUCT(R41,AA7:AA40),0)</f>
        <v>#DIV/0!</v>
      </c>
      <c r="S42" s="3464"/>
      <c r="T42" s="3464" t="e">
        <f>ROUND(PRODUCT(T41,AB7:AB40),0)</f>
        <v>#DIV/0!</v>
      </c>
      <c r="U42" s="3464"/>
      <c r="V42" s="3464" t="e">
        <f>ROUND(PRODUCT(V41,AC7:AC40),0)</f>
        <v>#DIV/0!</v>
      </c>
      <c r="W42" s="3464"/>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434" t="str">
        <f>A43</f>
        <v>估价对象XX用房的比较价值（楼面单价，元/平方米）</v>
      </c>
      <c r="Q43" s="3435"/>
      <c r="R43" s="3465" t="e">
        <f>ROUND(IF(D42="简单平均",AVERAGE(R42:W42),R42*F42+T42*H42+V42*J42),0)</f>
        <v>#DIV/0!</v>
      </c>
      <c r="S43" s="3465"/>
      <c r="T43" s="3465"/>
      <c r="U43" s="3465"/>
      <c r="V43" s="3465"/>
      <c r="W43" s="3465"/>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28" t="s">
        <v>1883</v>
      </c>
      <c r="D50" s="1829" t="s">
        <v>1884</v>
      </c>
      <c r="E50" s="605" t="s">
        <v>1885</v>
      </c>
      <c r="F50" s="606" t="s">
        <v>1886</v>
      </c>
      <c r="G50" s="3420" t="s">
        <v>1887</v>
      </c>
      <c r="H50" s="3466"/>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7">
        <v>1</v>
      </c>
      <c r="E51" s="609">
        <f>'数据-汇总表'!E8+'数据-汇总表'!E9</f>
        <v>28883.19</v>
      </c>
      <c r="F51" s="610" t="e">
        <f t="shared" ref="F51:F60" si="15">ROUND(B51*E51/10000,0)</f>
        <v>#DIV/0!</v>
      </c>
      <c r="G51" s="3419"/>
      <c r="H51" s="3437"/>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88">
        <v>0.25</v>
      </c>
      <c r="E52" s="613"/>
      <c r="F52" s="610" t="e">
        <f t="shared" si="15"/>
        <v>#DIV/0!</v>
      </c>
      <c r="G52" s="2748" t="s">
        <v>1892</v>
      </c>
      <c r="H52" s="831" t="str">
        <f>项目基本情况!B37</f>
        <v>二级</v>
      </c>
      <c r="I52" s="724">
        <f>SUMIF(修正!A57:A68,H52,修正!B57:B68)</f>
        <v>0.7</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88">
        <v>0.25</v>
      </c>
      <c r="E53" s="613"/>
      <c r="F53" s="610" t="e">
        <f t="shared" si="15"/>
        <v>#DIV/0!</v>
      </c>
      <c r="G53" s="2749"/>
      <c r="H53" s="831" t="str">
        <f>项目基本情况!B37</f>
        <v>二级</v>
      </c>
      <c r="I53" s="724">
        <f>SUMIF(修正!A57:A68,H53,修正!C57:C68)</f>
        <v>0.4</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88">
        <v>0.25</v>
      </c>
      <c r="E54" s="613"/>
      <c r="F54" s="610" t="e">
        <f t="shared" si="15"/>
        <v>#DIV/0!</v>
      </c>
      <c r="G54" s="2749"/>
      <c r="H54" s="831" t="str">
        <f>项目基本情况!B37</f>
        <v>二级</v>
      </c>
      <c r="I54" s="724">
        <f>SUMIF(修正!A57:A68,H54,修正!D57:D68)</f>
        <v>0.3</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8"/>
      <c r="E55" s="613"/>
      <c r="F55" s="610"/>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88">
        <v>0.25</v>
      </c>
      <c r="E56" s="208">
        <f>'数据-汇总表'!E11</f>
        <v>0</v>
      </c>
      <c r="F56" s="610" t="e">
        <f t="shared" si="15"/>
        <v>#DIV/0!</v>
      </c>
      <c r="G56" s="1832" t="s">
        <v>1896</v>
      </c>
      <c r="H56" s="831" t="str">
        <f>项目基本情况!C37</f>
        <v>二级</v>
      </c>
      <c r="I56" s="724">
        <f>SUMIF(修正!A57:A68,H56,修正!E57:E68)</f>
        <v>0.3</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88">
        <v>0.25</v>
      </c>
      <c r="E57" s="208">
        <f>'数据-汇总表'!E12</f>
        <v>0</v>
      </c>
      <c r="F57" s="610" t="e">
        <f t="shared" si="15"/>
        <v>#DIV/0!</v>
      </c>
      <c r="G57" s="836" t="s">
        <v>1898</v>
      </c>
      <c r="H57" s="831" t="str">
        <f>IF(G57="商业",项目基本情况!B37,IF(G57="办公",项目基本情况!C37,IF(G57="住宅",项目基本情况!D37,项目基本情况!E37)))</f>
        <v>二级</v>
      </c>
      <c r="I57" s="724">
        <f>SUMIF(修正!A57:A68,H57,修正!F57:F68)</f>
        <v>0.3</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8">
        <v>0.25</v>
      </c>
      <c r="E58" s="208">
        <f>'数据-汇总表'!E13</f>
        <v>0</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88">
        <v>0.25</v>
      </c>
      <c r="E59" s="208">
        <f>'数据-汇总表'!E14</f>
        <v>0</v>
      </c>
      <c r="F59" s="610" t="e">
        <f t="shared" si="15"/>
        <v>#DIV/0!</v>
      </c>
      <c r="G59" s="1832" t="s">
        <v>1892</v>
      </c>
      <c r="H59" s="831" t="str">
        <f>项目基本情况!B37</f>
        <v>二级</v>
      </c>
      <c r="I59" s="724">
        <f>SUMIF(修正!A57:A68,H59,修正!G57:G68)</f>
        <v>0.2</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0.2</v>
      </c>
      <c r="D60" s="888">
        <v>0.25</v>
      </c>
      <c r="E60" s="208">
        <f>'数据-汇总表'!E15</f>
        <v>6564.97</v>
      </c>
      <c r="F60" s="610" t="e">
        <f t="shared" si="15"/>
        <v>#DIV/0!</v>
      </c>
      <c r="G60" s="1833" t="s">
        <v>1896</v>
      </c>
      <c r="H60" s="841" t="str">
        <f>项目基本情况!C37</f>
        <v>二级</v>
      </c>
      <c r="I60" s="724">
        <f>SUMIF(修正!A57:A68,H60,修正!G57:G68)</f>
        <v>0.2</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8274.56</v>
      </c>
      <c r="F61" s="616"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3"/>
      <c r="P64" s="2535"/>
      <c r="Q64" s="2506"/>
      <c r="R64" s="2485"/>
      <c r="S64" s="2485"/>
      <c r="T64" s="2485"/>
      <c r="U64" s="2485"/>
      <c r="V64" s="2485"/>
      <c r="W64" s="2485"/>
      <c r="X64" s="2485"/>
      <c r="Y64" s="2485"/>
      <c r="Z64" s="2485"/>
      <c r="AA64" s="2485"/>
      <c r="AB64" s="2485"/>
      <c r="AC64" s="2485"/>
      <c r="AD64" s="2485"/>
      <c r="AE64" s="2485"/>
    </row>
    <row r="65" spans="1:31" s="441" customFormat="1" ht="14.4">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1924</v>
      </c>
      <c r="B66" s="279" t="str">
        <f>"北京市平均增长率"&amp;TEXT('基准地价修正-商业'!P28,"0.00%")</f>
        <v>北京市平均增长率0.00%</v>
      </c>
      <c r="C66" s="529">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88"/>
      <c r="B4" s="3170" t="s">
        <v>917</v>
      </c>
      <c r="C4" s="3170"/>
      <c r="D4" s="3170"/>
      <c r="E4" s="1388"/>
    </row>
    <row r="5" spans="1:5" ht="16.2" thickTop="1">
      <c r="B5" s="3168" t="s">
        <v>909</v>
      </c>
      <c r="C5" s="1389" t="s">
        <v>910</v>
      </c>
      <c r="D5" s="794">
        <f ca="1">结果表!H101</f>
        <v>119178</v>
      </c>
    </row>
    <row r="6" spans="1:5" ht="31.2">
      <c r="B6" s="3168"/>
      <c r="C6" s="1389" t="s">
        <v>911</v>
      </c>
      <c r="D6" s="794" t="str">
        <f ca="1">NUMBERSTRING(INT(D5*10000),2)&amp;"元整"</f>
        <v>壹拾壹亿玖仟壹佰柒拾捌万元整</v>
      </c>
    </row>
    <row r="7" spans="1:5" ht="15.6">
      <c r="B7" s="3173"/>
      <c r="C7" s="1390" t="s">
        <v>912</v>
      </c>
      <c r="D7" s="795">
        <f ca="1">结果表!H102</f>
        <v>29761</v>
      </c>
    </row>
    <row r="8" spans="1:5" ht="15.6">
      <c r="B8" s="3174" t="str">
        <f>结果表!E103</f>
        <v>2.估价师知悉的法定优先受偿款</v>
      </c>
      <c r="C8" s="1391" t="s">
        <v>913</v>
      </c>
      <c r="D8" s="795">
        <f>结果表!H103</f>
        <v>0</v>
      </c>
    </row>
    <row r="9" spans="1:5" ht="15.6">
      <c r="B9" s="3176"/>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67" t="str">
        <f>结果表!E107</f>
        <v>3.房地产抵押价值</v>
      </c>
      <c r="C13" s="1394" t="s">
        <v>910</v>
      </c>
      <c r="D13" s="797">
        <f ca="1">结果表!H107</f>
        <v>119178</v>
      </c>
    </row>
    <row r="14" spans="1:5" ht="31.2">
      <c r="B14" s="3168"/>
      <c r="C14" s="1389" t="s">
        <v>911</v>
      </c>
      <c r="D14" s="794" t="str">
        <f ca="1">NUMBERSTRING(INT(D13*10000),2)&amp;"元整"</f>
        <v>壹拾壹亿玖仟壹佰柒拾捌万元整</v>
      </c>
    </row>
    <row r="15" spans="1:5" ht="15.6">
      <c r="B15" s="3173"/>
      <c r="C15" s="1390" t="s">
        <v>921</v>
      </c>
      <c r="D15" s="803">
        <f ca="1">结果表!H108</f>
        <v>29761</v>
      </c>
    </row>
    <row r="16" spans="1:5" ht="15.6">
      <c r="B16" s="3174" t="str">
        <f>结果表!E109</f>
        <v>——</v>
      </c>
      <c r="C16" s="1394" t="s">
        <v>922</v>
      </c>
      <c r="D16" s="1395" t="str">
        <f>结果表!H109</f>
        <v>——</v>
      </c>
    </row>
    <row r="17" spans="1:5" ht="15.6">
      <c r="B17" s="3175"/>
      <c r="C17" s="1389" t="s">
        <v>923</v>
      </c>
      <c r="D17" s="794" t="e">
        <f>NUMBERSTRING(INT(D16*10000),2)&amp;"元整"</f>
        <v>#VALUE!</v>
      </c>
    </row>
    <row r="18" spans="1:5" ht="15.6">
      <c r="B18" s="3176"/>
      <c r="C18" s="1390" t="s">
        <v>912</v>
      </c>
      <c r="D18" s="803" t="str">
        <f>结果表!H110</f>
        <v>——</v>
      </c>
    </row>
    <row r="19" spans="1:5" ht="15.6">
      <c r="B19" s="3167" t="str">
        <f>结果表!E111</f>
        <v>4.抵押净值</v>
      </c>
      <c r="C19" s="1394" t="s">
        <v>910</v>
      </c>
      <c r="D19" s="795">
        <f ca="1">结果表!H111</f>
        <v>99292</v>
      </c>
    </row>
    <row r="20" spans="1:5" ht="15.6">
      <c r="B20" s="3168"/>
      <c r="C20" s="1389" t="s">
        <v>923</v>
      </c>
      <c r="D20" s="794" t="str">
        <f ca="1">NUMBERSTRING(INT(D19*10000),2)&amp;"元整"</f>
        <v>玖亿玖仟贰佰玖拾贰万元整</v>
      </c>
    </row>
    <row r="21" spans="1:5" ht="16.2" thickBot="1">
      <c r="B21" s="3169"/>
      <c r="C21" s="1396" t="s">
        <v>921</v>
      </c>
      <c r="D21" s="804">
        <f ca="1">结果表!H112</f>
        <v>24795</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6" t="s">
        <v>2083</v>
      </c>
      <c r="C1" s="3474" t="s">
        <v>2084</v>
      </c>
      <c r="D1" s="3475"/>
      <c r="E1" s="3475"/>
      <c r="F1" s="3475"/>
      <c r="G1" s="3475"/>
      <c r="H1" s="3475"/>
      <c r="I1" s="3475"/>
      <c r="J1" s="3475"/>
      <c r="K1" s="3475"/>
      <c r="L1" s="3475"/>
      <c r="M1" s="3475"/>
      <c r="N1" s="3475"/>
      <c r="O1" s="3475"/>
      <c r="P1" s="3475"/>
      <c r="Q1" s="3475"/>
      <c r="R1" s="3475"/>
      <c r="S1" s="3476"/>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1" t="s">
        <v>2096</v>
      </c>
      <c r="B20" s="285" t="e">
        <f ca="1">IF(D20="——",S22,S22-F20)</f>
        <v>#REF!</v>
      </c>
      <c r="C20" s="150"/>
      <c r="D20" s="1986"/>
      <c r="E20" s="1251"/>
      <c r="F20" s="926" t="e">
        <f ca="1">SUMIF(INDIRECT("'"&amp;H20&amp;"'"&amp;"!A:A"),"承租人权益价值",INDIRECT("'"&amp;H20&amp;"'"&amp;"!c:c"))</f>
        <v>#REF!</v>
      </c>
      <c r="G20" s="926" t="s">
        <v>2097</v>
      </c>
      <c r="H20" s="1987"/>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2081</v>
      </c>
      <c r="B1" s="4"/>
      <c r="C1" s="4"/>
      <c r="D1" s="4"/>
      <c r="E1" s="4"/>
      <c r="F1" s="2542"/>
      <c r="G1" s="2542"/>
      <c r="H1" s="2542"/>
      <c r="I1" s="2542"/>
      <c r="J1" s="2542"/>
      <c r="K1" s="2542"/>
      <c r="L1" s="2542"/>
      <c r="M1" s="2542"/>
      <c r="N1" s="2542"/>
      <c r="O1" s="2542"/>
      <c r="P1" s="2542"/>
    </row>
    <row r="2" spans="1:16" ht="15.6">
      <c r="A2" s="1981" t="s">
        <v>2073</v>
      </c>
      <c r="B2" s="2385">
        <f ca="1">SUMIF(B6:B13,"&lt;&gt;#ref!",B6:B13)</f>
        <v>0</v>
      </c>
      <c r="C2" s="1981" t="s">
        <v>2074</v>
      </c>
      <c r="D2" s="1981" t="s">
        <v>2075</v>
      </c>
      <c r="E2" s="2395">
        <f ca="1">SUMIF(E6:E13,"&lt;&gt;#ref!",E6:E13)</f>
        <v>0</v>
      </c>
      <c r="F2" s="2542"/>
      <c r="G2" s="2542"/>
      <c r="H2" s="2542"/>
      <c r="I2" s="2542"/>
      <c r="J2" s="2542"/>
      <c r="K2" s="2542"/>
      <c r="L2" s="2542"/>
      <c r="M2" s="2542"/>
      <c r="N2" s="2542"/>
      <c r="O2" s="2542"/>
      <c r="P2" s="2542"/>
    </row>
    <row r="3" spans="1:16" ht="15.6">
      <c r="A3" s="1981" t="s">
        <v>2076</v>
      </c>
      <c r="B3" s="2385" t="e">
        <f ca="1">ROUND(B2*10000/E2,0)</f>
        <v>#DIV/0!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t="e">
        <f ca="1">SUMIF(INDIRECT("'"&amp;A6&amp;"'"&amp;"!A:A"),"总价",INDIRECT("'"&amp;A6&amp;"'"&amp;"!B:B"))</f>
        <v>#REF!</v>
      </c>
      <c r="C6" s="1981" t="s">
        <v>2074</v>
      </c>
      <c r="D6" s="2542"/>
      <c r="E6" s="2395" t="e">
        <f ca="1">SUMIF(INDIRECT("'"&amp;A6&amp;"'"&amp;"!C:C"),"建筑面积",INDIRECT("'"&amp;A6&amp;"'"&amp;"!D:D"))</f>
        <v>#REF!</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84" t="s">
        <v>2598</v>
      </c>
      <c r="B20" s="3477" t="s">
        <v>2619</v>
      </c>
      <c r="C20" s="2840" t="s">
        <v>2430</v>
      </c>
      <c r="D20" s="2841"/>
      <c r="E20" s="2842">
        <v>1</v>
      </c>
      <c r="F20" s="2843" t="s">
        <v>2431</v>
      </c>
      <c r="G20" s="2843"/>
    </row>
    <row r="21" spans="1:13" ht="19.5" customHeight="1">
      <c r="A21" s="3485"/>
      <c r="B21" s="3478"/>
      <c r="C21" s="2844" t="s">
        <v>2432</v>
      </c>
      <c r="D21" s="2845"/>
      <c r="E21" s="2846">
        <v>1</v>
      </c>
      <c r="F21" s="2843" t="s">
        <v>2433</v>
      </c>
      <c r="G21" s="2843"/>
    </row>
    <row r="22" spans="1:13" ht="19.5" customHeight="1">
      <c r="A22" s="3485"/>
      <c r="B22" s="3478"/>
      <c r="C22" s="2844" t="s">
        <v>2434</v>
      </c>
      <c r="D22" s="2845"/>
      <c r="E22" s="2846">
        <v>0.9</v>
      </c>
      <c r="F22" s="2843" t="s">
        <v>2435</v>
      </c>
      <c r="G22" s="2843"/>
    </row>
    <row r="23" spans="1:13" ht="19.5" customHeight="1">
      <c r="A23" s="3485"/>
      <c r="B23" s="3478"/>
      <c r="C23" s="2844" t="s">
        <v>2436</v>
      </c>
      <c r="D23" s="2845"/>
      <c r="E23" s="2846">
        <v>0.9</v>
      </c>
      <c r="F23" s="2843" t="s">
        <v>2437</v>
      </c>
      <c r="G23" s="2843"/>
    </row>
    <row r="24" spans="1:13" ht="19.5" customHeight="1">
      <c r="A24" s="3485"/>
      <c r="B24" s="3478"/>
      <c r="C24" s="2844" t="s">
        <v>2438</v>
      </c>
      <c r="D24" s="2845"/>
      <c r="E24" s="2846">
        <v>0.8</v>
      </c>
      <c r="F24" s="2843" t="s">
        <v>2439</v>
      </c>
      <c r="G24" s="2843"/>
    </row>
    <row r="25" spans="1:13" ht="19.5" customHeight="1" thickBot="1">
      <c r="A25" s="3486"/>
      <c r="B25" s="3479"/>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480" t="s">
        <v>2622</v>
      </c>
      <c r="B27" s="3477" t="s">
        <v>2603</v>
      </c>
      <c r="C27" s="2840" t="s">
        <v>2443</v>
      </c>
      <c r="D27" s="2841"/>
      <c r="E27" s="2842">
        <v>1</v>
      </c>
      <c r="F27" s="2843" t="s">
        <v>2444</v>
      </c>
      <c r="G27" s="2843"/>
    </row>
    <row r="28" spans="1:13" ht="19.5" customHeight="1">
      <c r="A28" s="3481"/>
      <c r="B28" s="3478"/>
      <c r="C28" s="2844" t="s">
        <v>2445</v>
      </c>
      <c r="D28" s="2845"/>
      <c r="E28" s="2846">
        <v>1</v>
      </c>
      <c r="F28" s="2843" t="s">
        <v>2446</v>
      </c>
      <c r="G28" s="2843"/>
    </row>
    <row r="29" spans="1:13" ht="19.5" customHeight="1">
      <c r="A29" s="3481"/>
      <c r="B29" s="3478"/>
      <c r="C29" s="2844" t="s">
        <v>2447</v>
      </c>
      <c r="D29" s="2845"/>
      <c r="E29" s="2846">
        <v>0.8</v>
      </c>
      <c r="F29" s="2843" t="s">
        <v>2448</v>
      </c>
      <c r="G29" s="2843"/>
    </row>
    <row r="30" spans="1:13" ht="19.5" customHeight="1">
      <c r="A30" s="3481"/>
      <c r="B30" s="3478"/>
      <c r="C30" s="2844" t="s">
        <v>2449</v>
      </c>
      <c r="D30" s="2845"/>
      <c r="E30" s="2846">
        <v>0.8</v>
      </c>
      <c r="F30" s="2843" t="s">
        <v>2450</v>
      </c>
      <c r="G30" s="2843"/>
    </row>
    <row r="31" spans="1:13" ht="19.5" customHeight="1">
      <c r="A31" s="3481"/>
      <c r="B31" s="3478"/>
      <c r="C31" s="2844" t="s">
        <v>2451</v>
      </c>
      <c r="D31" s="2845"/>
      <c r="E31" s="2846">
        <v>0.8</v>
      </c>
      <c r="F31" s="2843" t="s">
        <v>2452</v>
      </c>
      <c r="G31" s="2843"/>
    </row>
    <row r="32" spans="1:13" ht="19.5" customHeight="1">
      <c r="A32" s="3481"/>
      <c r="B32" s="3478"/>
      <c r="C32" s="2844" t="s">
        <v>2453</v>
      </c>
      <c r="D32" s="2845"/>
      <c r="E32" s="2846">
        <v>0.7</v>
      </c>
      <c r="F32" s="2843" t="s">
        <v>2454</v>
      </c>
      <c r="G32" s="2843"/>
    </row>
    <row r="33" spans="1:7" ht="19.5" customHeight="1">
      <c r="A33" s="3481"/>
      <c r="B33" s="3478"/>
      <c r="C33" s="2844" t="s">
        <v>2455</v>
      </c>
      <c r="D33" s="2845"/>
      <c r="E33" s="2846">
        <v>0.8</v>
      </c>
      <c r="F33" s="2843" t="s">
        <v>2456</v>
      </c>
      <c r="G33" s="2843"/>
    </row>
    <row r="34" spans="1:7" ht="19.5" customHeight="1">
      <c r="A34" s="3481"/>
      <c r="B34" s="3478"/>
      <c r="C34" s="2844" t="s">
        <v>2457</v>
      </c>
      <c r="D34" s="2845"/>
      <c r="E34" s="2846">
        <v>0.6</v>
      </c>
      <c r="F34" s="2843" t="s">
        <v>2458</v>
      </c>
      <c r="G34" s="2843"/>
    </row>
    <row r="35" spans="1:7" ht="19.5" customHeight="1">
      <c r="A35" s="3481"/>
      <c r="B35" s="3478"/>
      <c r="C35" s="2844" t="s">
        <v>2459</v>
      </c>
      <c r="D35" s="2845"/>
      <c r="E35" s="2846">
        <v>0.2</v>
      </c>
      <c r="F35" s="2843" t="s">
        <v>2460</v>
      </c>
      <c r="G35" s="2843"/>
    </row>
    <row r="36" spans="1:7" ht="19.5" customHeight="1">
      <c r="A36" s="3481"/>
      <c r="B36" s="3478"/>
      <c r="C36" s="2844" t="s">
        <v>2461</v>
      </c>
      <c r="D36" s="2845"/>
      <c r="E36" s="2846">
        <v>0.2</v>
      </c>
      <c r="F36" s="2843" t="s">
        <v>2462</v>
      </c>
      <c r="G36" s="2843"/>
    </row>
    <row r="37" spans="1:7" ht="19.5" customHeight="1">
      <c r="A37" s="3481"/>
      <c r="B37" s="3483" t="s">
        <v>2623</v>
      </c>
      <c r="C37" s="2844" t="s">
        <v>2463</v>
      </c>
      <c r="D37" s="2845"/>
      <c r="E37" s="2846">
        <v>0.6</v>
      </c>
      <c r="F37" s="2843" t="s">
        <v>2464</v>
      </c>
      <c r="G37" s="2843"/>
    </row>
    <row r="38" spans="1:7" ht="19.5" customHeight="1">
      <c r="A38" s="3481"/>
      <c r="B38" s="3478"/>
      <c r="C38" s="2844" t="s">
        <v>2465</v>
      </c>
      <c r="D38" s="2845"/>
      <c r="E38" s="2846">
        <v>0.6</v>
      </c>
      <c r="F38" s="2843" t="s">
        <v>2466</v>
      </c>
      <c r="G38" s="2843"/>
    </row>
    <row r="39" spans="1:7" ht="19.5" customHeight="1" thickBot="1">
      <c r="A39" s="3482"/>
      <c r="B39" s="3479"/>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484" t="s">
        <v>2601</v>
      </c>
      <c r="B41" s="3477" t="s">
        <v>2625</v>
      </c>
      <c r="C41" s="2840" t="s">
        <v>2470</v>
      </c>
      <c r="D41" s="2841"/>
      <c r="E41" s="2842">
        <v>1</v>
      </c>
      <c r="F41" s="2843" t="s">
        <v>2471</v>
      </c>
      <c r="G41" s="2843"/>
    </row>
    <row r="42" spans="1:7" ht="19.5" customHeight="1">
      <c r="A42" s="3485"/>
      <c r="B42" s="3478"/>
      <c r="C42" s="2844" t="s">
        <v>2472</v>
      </c>
      <c r="D42" s="2845"/>
      <c r="E42" s="2846">
        <v>1</v>
      </c>
      <c r="F42" s="2843" t="s">
        <v>2473</v>
      </c>
      <c r="G42" s="2843"/>
    </row>
    <row r="43" spans="1:7" ht="19.5" customHeight="1">
      <c r="A43" s="3485"/>
      <c r="B43" s="3487"/>
      <c r="C43" s="2844" t="s">
        <v>2474</v>
      </c>
      <c r="D43" s="2845"/>
      <c r="E43" s="2846">
        <v>1.5</v>
      </c>
      <c r="F43" s="2843" t="s">
        <v>2475</v>
      </c>
      <c r="G43" s="2843"/>
    </row>
    <row r="44" spans="1:7" ht="19.5" customHeight="1">
      <c r="A44" s="3485"/>
      <c r="B44" s="2855" t="s">
        <v>2626</v>
      </c>
      <c r="C44" s="2844" t="s">
        <v>2627</v>
      </c>
      <c r="D44" s="2845"/>
      <c r="E44" s="2846">
        <v>2</v>
      </c>
      <c r="F44" s="2843" t="s">
        <v>2476</v>
      </c>
      <c r="G44" s="2843"/>
    </row>
    <row r="45" spans="1:7" ht="19.5" customHeight="1">
      <c r="A45" s="3485"/>
      <c r="B45" s="3483" t="s">
        <v>2628</v>
      </c>
      <c r="C45" s="2844" t="s">
        <v>2477</v>
      </c>
      <c r="D45" s="2845"/>
      <c r="E45" s="2846">
        <v>1</v>
      </c>
      <c r="F45" s="2843" t="s">
        <v>2478</v>
      </c>
      <c r="G45" s="2843"/>
    </row>
    <row r="46" spans="1:7" ht="19.5" customHeight="1">
      <c r="A46" s="3485"/>
      <c r="B46" s="3478"/>
      <c r="C46" s="2844" t="s">
        <v>2479</v>
      </c>
      <c r="D46" s="2845"/>
      <c r="E46" s="2846">
        <v>1</v>
      </c>
      <c r="F46" s="2843" t="s">
        <v>2480</v>
      </c>
      <c r="G46" s="2843"/>
    </row>
    <row r="47" spans="1:7" ht="19.5" customHeight="1">
      <c r="A47" s="3485"/>
      <c r="B47" s="3478"/>
      <c r="C47" s="2844" t="s">
        <v>2481</v>
      </c>
      <c r="D47" s="2845"/>
      <c r="E47" s="2846">
        <v>1</v>
      </c>
      <c r="F47" s="2843" t="s">
        <v>2482</v>
      </c>
      <c r="G47" s="2843"/>
    </row>
    <row r="48" spans="1:7" ht="19.5" customHeight="1">
      <c r="A48" s="3485"/>
      <c r="B48" s="3478"/>
      <c r="C48" s="2844" t="s">
        <v>2483</v>
      </c>
      <c r="D48" s="2845"/>
      <c r="E48" s="2846">
        <v>1</v>
      </c>
      <c r="F48" s="2843" t="s">
        <v>2484</v>
      </c>
      <c r="G48" s="2843"/>
    </row>
    <row r="49" spans="1:7" ht="19.5" customHeight="1">
      <c r="A49" s="3485"/>
      <c r="B49" s="3478"/>
      <c r="C49" s="2844" t="s">
        <v>2485</v>
      </c>
      <c r="D49" s="2845"/>
      <c r="E49" s="2846">
        <v>1</v>
      </c>
      <c r="F49" s="2843" t="s">
        <v>2486</v>
      </c>
      <c r="G49" s="2843"/>
    </row>
    <row r="50" spans="1:7" ht="19.5" customHeight="1">
      <c r="A50" s="3485"/>
      <c r="B50" s="3478"/>
      <c r="C50" s="2844" t="s">
        <v>2487</v>
      </c>
      <c r="D50" s="2845"/>
      <c r="E50" s="2846">
        <v>1</v>
      </c>
      <c r="F50" s="2843" t="s">
        <v>2488</v>
      </c>
      <c r="G50" s="2843"/>
    </row>
    <row r="51" spans="1:7" ht="19.5" customHeight="1" thickBot="1">
      <c r="A51" s="3486"/>
      <c r="B51" s="3479"/>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4.4">
      <c r="A72" s="2855"/>
      <c r="B72" s="2855"/>
      <c r="C72" s="2855" t="s">
        <v>2641</v>
      </c>
      <c r="D72" s="2855"/>
      <c r="E72" s="2855" t="s">
        <v>2612</v>
      </c>
      <c r="F72" s="2855" t="s">
        <v>2612</v>
      </c>
    </row>
    <row r="73" spans="1:7" ht="14.4">
      <c r="A73" s="2855">
        <v>1</v>
      </c>
      <c r="B73" s="3483" t="s">
        <v>2642</v>
      </c>
      <c r="C73" s="2829" t="s">
        <v>2643</v>
      </c>
      <c r="D73" s="2829" t="s">
        <v>2644</v>
      </c>
      <c r="E73" s="2855">
        <v>0.2</v>
      </c>
      <c r="F73" s="2855">
        <v>25</v>
      </c>
    </row>
    <row r="74" spans="1:7" ht="24">
      <c r="A74" s="2855">
        <v>2</v>
      </c>
      <c r="B74" s="3478"/>
      <c r="C74" s="2829" t="s">
        <v>2645</v>
      </c>
      <c r="D74" s="2829" t="s">
        <v>2646</v>
      </c>
      <c r="E74" s="2855">
        <v>0.2</v>
      </c>
      <c r="F74" s="2855">
        <v>25</v>
      </c>
    </row>
    <row r="75" spans="1:7" ht="24">
      <c r="A75" s="2855">
        <v>3</v>
      </c>
      <c r="B75" s="3478"/>
      <c r="C75" s="2829" t="s">
        <v>2647</v>
      </c>
      <c r="D75" s="2829" t="s">
        <v>2648</v>
      </c>
      <c r="E75" s="2855">
        <v>0.2</v>
      </c>
      <c r="F75" s="2855">
        <v>25</v>
      </c>
    </row>
    <row r="76" spans="1:7" ht="14.4">
      <c r="A76" s="2855">
        <v>4</v>
      </c>
      <c r="B76" s="3478"/>
      <c r="C76" s="2829" t="s">
        <v>2649</v>
      </c>
      <c r="D76" s="2829" t="s">
        <v>2650</v>
      </c>
      <c r="E76" s="2855">
        <v>0.15</v>
      </c>
      <c r="F76" s="2855">
        <v>20</v>
      </c>
    </row>
    <row r="77" spans="1:7" ht="24">
      <c r="A77" s="2855">
        <v>5</v>
      </c>
      <c r="B77" s="3478"/>
      <c r="C77" s="2829" t="s">
        <v>2651</v>
      </c>
      <c r="D77" s="2829" t="s">
        <v>2652</v>
      </c>
      <c r="E77" s="2855">
        <v>0.15</v>
      </c>
      <c r="F77" s="2855">
        <v>20</v>
      </c>
    </row>
    <row r="78" spans="1:7" ht="24">
      <c r="A78" s="2855">
        <v>6</v>
      </c>
      <c r="B78" s="3478"/>
      <c r="C78" s="2829" t="s">
        <v>2653</v>
      </c>
      <c r="D78" s="2829" t="s">
        <v>2654</v>
      </c>
      <c r="E78" s="2855">
        <v>0.15</v>
      </c>
      <c r="F78" s="2855">
        <v>20</v>
      </c>
    </row>
    <row r="79" spans="1:7" ht="24">
      <c r="A79" s="2855">
        <v>7</v>
      </c>
      <c r="B79" s="3478"/>
      <c r="C79" s="2829" t="s">
        <v>2655</v>
      </c>
      <c r="D79" s="2829" t="s">
        <v>2656</v>
      </c>
      <c r="E79" s="2855">
        <v>0.15</v>
      </c>
      <c r="F79" s="2855">
        <v>20</v>
      </c>
    </row>
    <row r="80" spans="1:7" ht="24">
      <c r="A80" s="2855">
        <v>8</v>
      </c>
      <c r="B80" s="3478"/>
      <c r="C80" s="2829" t="s">
        <v>2657</v>
      </c>
      <c r="D80" s="2829" t="s">
        <v>2658</v>
      </c>
      <c r="E80" s="2855">
        <v>0.1</v>
      </c>
      <c r="F80" s="2855">
        <v>15</v>
      </c>
    </row>
    <row r="81" spans="1:6" ht="24">
      <c r="A81" s="2855">
        <v>9</v>
      </c>
      <c r="B81" s="3478"/>
      <c r="C81" s="2829" t="s">
        <v>2659</v>
      </c>
      <c r="D81" s="2829" t="s">
        <v>2660</v>
      </c>
      <c r="E81" s="2855">
        <v>0.1</v>
      </c>
      <c r="F81" s="2855">
        <v>15</v>
      </c>
    </row>
    <row r="82" spans="1:6" ht="24">
      <c r="A82" s="2855">
        <v>10</v>
      </c>
      <c r="B82" s="3478"/>
      <c r="C82" s="2829" t="s">
        <v>2661</v>
      </c>
      <c r="D82" s="2829" t="s">
        <v>2662</v>
      </c>
      <c r="E82" s="2855">
        <v>0.1</v>
      </c>
      <c r="F82" s="2855">
        <v>15</v>
      </c>
    </row>
    <row r="83" spans="1:6" ht="24">
      <c r="A83" s="2855">
        <v>11</v>
      </c>
      <c r="B83" s="3478"/>
      <c r="C83" s="2829" t="s">
        <v>2663</v>
      </c>
      <c r="D83" s="2829" t="s">
        <v>2664</v>
      </c>
      <c r="E83" s="2855">
        <v>0.1</v>
      </c>
      <c r="F83" s="2855">
        <v>15</v>
      </c>
    </row>
    <row r="84" spans="1:6" ht="24">
      <c r="A84" s="2855">
        <v>12</v>
      </c>
      <c r="B84" s="3478"/>
      <c r="C84" s="2829" t="s">
        <v>2665</v>
      </c>
      <c r="D84" s="2829" t="s">
        <v>2666</v>
      </c>
      <c r="E84" s="2855">
        <v>0.1</v>
      </c>
      <c r="F84" s="2855">
        <v>15</v>
      </c>
    </row>
    <row r="85" spans="1:6" ht="24">
      <c r="A85" s="2855">
        <v>13</v>
      </c>
      <c r="B85" s="3478"/>
      <c r="C85" s="2829" t="s">
        <v>2667</v>
      </c>
      <c r="D85" s="2829" t="s">
        <v>2668</v>
      </c>
      <c r="E85" s="2855">
        <v>0.1</v>
      </c>
      <c r="F85" s="2855">
        <v>15</v>
      </c>
    </row>
    <row r="86" spans="1:6" ht="24">
      <c r="A86" s="2855">
        <v>14</v>
      </c>
      <c r="B86" s="3478"/>
      <c r="C86" s="2829" t="s">
        <v>2669</v>
      </c>
      <c r="D86" s="2829" t="s">
        <v>2670</v>
      </c>
      <c r="E86" s="2855">
        <v>0.1</v>
      </c>
      <c r="F86" s="2855">
        <v>15</v>
      </c>
    </row>
    <row r="87" spans="1:6" ht="24">
      <c r="A87" s="2855">
        <v>15</v>
      </c>
      <c r="B87" s="3478"/>
      <c r="C87" s="2829" t="s">
        <v>2671</v>
      </c>
      <c r="D87" s="2829" t="s">
        <v>2672</v>
      </c>
      <c r="E87" s="2855">
        <v>0.1</v>
      </c>
      <c r="F87" s="2855">
        <v>15</v>
      </c>
    </row>
    <row r="88" spans="1:6" ht="24">
      <c r="A88" s="2855">
        <v>16</v>
      </c>
      <c r="B88" s="3478"/>
      <c r="C88" s="2829" t="s">
        <v>2673</v>
      </c>
      <c r="D88" s="2829" t="s">
        <v>2674</v>
      </c>
      <c r="E88" s="2855">
        <v>0.1</v>
      </c>
      <c r="F88" s="2855">
        <v>15</v>
      </c>
    </row>
    <row r="89" spans="1:6" ht="24">
      <c r="A89" s="2855">
        <v>17</v>
      </c>
      <c r="B89" s="3487"/>
      <c r="C89" s="2829" t="s">
        <v>2675</v>
      </c>
      <c r="D89" s="2829" t="s">
        <v>2676</v>
      </c>
      <c r="E89" s="2855">
        <v>0.1</v>
      </c>
      <c r="F89" s="2855">
        <v>15</v>
      </c>
    </row>
    <row r="90" spans="1:6" ht="14.4">
      <c r="A90" s="2855">
        <v>18</v>
      </c>
      <c r="B90" s="3483" t="s">
        <v>2677</v>
      </c>
      <c r="C90" s="2829" t="s">
        <v>2678</v>
      </c>
      <c r="D90" s="2829" t="s">
        <v>2679</v>
      </c>
      <c r="E90" s="2855">
        <v>0.2</v>
      </c>
      <c r="F90" s="2855">
        <v>25</v>
      </c>
    </row>
    <row r="91" spans="1:6" ht="24">
      <c r="A91" s="2855">
        <v>19</v>
      </c>
      <c r="B91" s="3478"/>
      <c r="C91" s="2829" t="s">
        <v>2680</v>
      </c>
      <c r="D91" s="2829" t="s">
        <v>2681</v>
      </c>
      <c r="E91" s="2855">
        <v>0.2</v>
      </c>
      <c r="F91" s="2855">
        <v>25</v>
      </c>
    </row>
    <row r="92" spans="1:6" ht="14.4">
      <c r="A92" s="2855">
        <v>20</v>
      </c>
      <c r="B92" s="3478"/>
      <c r="C92" s="2829" t="s">
        <v>2682</v>
      </c>
      <c r="D92" s="2829" t="s">
        <v>2683</v>
      </c>
      <c r="E92" s="2855">
        <v>0.15</v>
      </c>
      <c r="F92" s="2855">
        <v>20</v>
      </c>
    </row>
    <row r="93" spans="1:6" ht="24">
      <c r="A93" s="2855">
        <v>21</v>
      </c>
      <c r="B93" s="3478"/>
      <c r="C93" s="2829" t="s">
        <v>2684</v>
      </c>
      <c r="D93" s="2829" t="s">
        <v>2685</v>
      </c>
      <c r="E93" s="2855">
        <v>0.15</v>
      </c>
      <c r="F93" s="2855">
        <v>20</v>
      </c>
    </row>
    <row r="94" spans="1:6" ht="24">
      <c r="A94" s="2855">
        <v>22</v>
      </c>
      <c r="B94" s="3478"/>
      <c r="C94" s="2829" t="s">
        <v>2686</v>
      </c>
      <c r="D94" s="2829" t="s">
        <v>2687</v>
      </c>
      <c r="E94" s="2855">
        <v>0.15</v>
      </c>
      <c r="F94" s="2855">
        <v>20</v>
      </c>
    </row>
    <row r="95" spans="1:6" ht="36">
      <c r="A95" s="2855">
        <v>23</v>
      </c>
      <c r="B95" s="3478"/>
      <c r="C95" s="2829" t="s">
        <v>2688</v>
      </c>
      <c r="D95" s="2829" t="s">
        <v>2689</v>
      </c>
      <c r="E95" s="2855">
        <v>0.15</v>
      </c>
      <c r="F95" s="2855">
        <v>20</v>
      </c>
    </row>
    <row r="96" spans="1:6" ht="24">
      <c r="A96" s="2855">
        <v>24</v>
      </c>
      <c r="B96" s="3478"/>
      <c r="C96" s="2829" t="s">
        <v>2690</v>
      </c>
      <c r="D96" s="2829" t="s">
        <v>2691</v>
      </c>
      <c r="E96" s="2855">
        <v>0.1</v>
      </c>
      <c r="F96" s="2855">
        <v>15</v>
      </c>
    </row>
    <row r="97" spans="1:6" ht="24">
      <c r="A97" s="2855">
        <v>25</v>
      </c>
      <c r="B97" s="3478"/>
      <c r="C97" s="2829" t="s">
        <v>2692</v>
      </c>
      <c r="D97" s="2829" t="s">
        <v>2693</v>
      </c>
      <c r="E97" s="2855">
        <v>0.1</v>
      </c>
      <c r="F97" s="2855">
        <v>15</v>
      </c>
    </row>
    <row r="98" spans="1:6" ht="24">
      <c r="A98" s="2855">
        <v>26</v>
      </c>
      <c r="B98" s="3478"/>
      <c r="C98" s="2829" t="s">
        <v>2694</v>
      </c>
      <c r="D98" s="2829" t="s">
        <v>2695</v>
      </c>
      <c r="E98" s="2855">
        <v>0.1</v>
      </c>
      <c r="F98" s="2855">
        <v>15</v>
      </c>
    </row>
    <row r="99" spans="1:6" ht="24">
      <c r="A99" s="2855">
        <v>27</v>
      </c>
      <c r="B99" s="3478"/>
      <c r="C99" s="2829" t="s">
        <v>2696</v>
      </c>
      <c r="D99" s="2829" t="s">
        <v>2697</v>
      </c>
      <c r="E99" s="2855">
        <v>0.1</v>
      </c>
      <c r="F99" s="2855">
        <v>15</v>
      </c>
    </row>
    <row r="100" spans="1:6" ht="24">
      <c r="A100" s="2855">
        <v>28</v>
      </c>
      <c r="B100" s="3478"/>
      <c r="C100" s="2829" t="s">
        <v>2698</v>
      </c>
      <c r="D100" s="2829" t="s">
        <v>2699</v>
      </c>
      <c r="E100" s="2855">
        <v>0.1</v>
      </c>
      <c r="F100" s="2855">
        <v>15</v>
      </c>
    </row>
    <row r="101" spans="1:6" ht="24">
      <c r="A101" s="2855">
        <v>29</v>
      </c>
      <c r="B101" s="3478"/>
      <c r="C101" s="2829" t="s">
        <v>2700</v>
      </c>
      <c r="D101" s="2829" t="s">
        <v>2701</v>
      </c>
      <c r="E101" s="2855">
        <v>0.1</v>
      </c>
      <c r="F101" s="2855">
        <v>15</v>
      </c>
    </row>
    <row r="102" spans="1:6" ht="24">
      <c r="A102" s="2855">
        <v>30</v>
      </c>
      <c r="B102" s="3478"/>
      <c r="C102" s="2829" t="s">
        <v>2702</v>
      </c>
      <c r="D102" s="2829" t="s">
        <v>2703</v>
      </c>
      <c r="E102" s="2855">
        <v>0.1</v>
      </c>
      <c r="F102" s="2855">
        <v>15</v>
      </c>
    </row>
    <row r="103" spans="1:6" ht="24">
      <c r="A103" s="2855">
        <v>31</v>
      </c>
      <c r="B103" s="3478"/>
      <c r="C103" s="2829" t="s">
        <v>2704</v>
      </c>
      <c r="D103" s="2829" t="s">
        <v>2705</v>
      </c>
      <c r="E103" s="2855">
        <v>0.1</v>
      </c>
      <c r="F103" s="2855">
        <v>15</v>
      </c>
    </row>
    <row r="104" spans="1:6" ht="24">
      <c r="A104" s="2855">
        <v>32</v>
      </c>
      <c r="B104" s="3478"/>
      <c r="C104" s="2829" t="s">
        <v>2706</v>
      </c>
      <c r="D104" s="2829" t="s">
        <v>2707</v>
      </c>
      <c r="E104" s="2855">
        <v>0.1</v>
      </c>
      <c r="F104" s="2855">
        <v>15</v>
      </c>
    </row>
    <row r="105" spans="1:6" ht="24">
      <c r="A105" s="2855">
        <v>33</v>
      </c>
      <c r="B105" s="3478"/>
      <c r="C105" s="2829" t="s">
        <v>2708</v>
      </c>
      <c r="D105" s="2829" t="s">
        <v>2709</v>
      </c>
      <c r="E105" s="2855">
        <v>0.1</v>
      </c>
      <c r="F105" s="2855">
        <v>15</v>
      </c>
    </row>
    <row r="106" spans="1:6" ht="24">
      <c r="A106" s="2855">
        <v>34</v>
      </c>
      <c r="B106" s="3487"/>
      <c r="C106" s="2829" t="s">
        <v>2710</v>
      </c>
      <c r="D106" s="2829" t="s">
        <v>2711</v>
      </c>
      <c r="E106" s="2855">
        <v>0.1</v>
      </c>
      <c r="F106" s="2855">
        <v>15</v>
      </c>
    </row>
    <row r="107" spans="1:6" ht="36">
      <c r="A107" s="2855">
        <v>35</v>
      </c>
      <c r="B107" s="3483" t="s">
        <v>2712</v>
      </c>
      <c r="C107" s="2855" t="s">
        <v>2713</v>
      </c>
      <c r="D107" s="2829" t="s">
        <v>2714</v>
      </c>
      <c r="E107" s="2855">
        <v>0.15</v>
      </c>
      <c r="F107" s="2855">
        <v>20</v>
      </c>
    </row>
    <row r="108" spans="1:6" ht="24">
      <c r="A108" s="2855">
        <v>36</v>
      </c>
      <c r="B108" s="3478"/>
      <c r="C108" s="2855" t="s">
        <v>2715</v>
      </c>
      <c r="D108" s="2829" t="s">
        <v>2716</v>
      </c>
      <c r="E108" s="2855">
        <v>0.15</v>
      </c>
      <c r="F108" s="2855">
        <v>20</v>
      </c>
    </row>
    <row r="109" spans="1:6" ht="24">
      <c r="A109" s="2855">
        <v>37</v>
      </c>
      <c r="B109" s="3478"/>
      <c r="C109" s="2855" t="s">
        <v>2717</v>
      </c>
      <c r="D109" s="2829" t="s">
        <v>2718</v>
      </c>
      <c r="E109" s="2855">
        <v>0.15</v>
      </c>
      <c r="F109" s="2855">
        <v>20</v>
      </c>
    </row>
    <row r="110" spans="1:6" ht="24">
      <c r="A110" s="2855">
        <v>38</v>
      </c>
      <c r="B110" s="3478"/>
      <c r="C110" s="2855" t="s">
        <v>2719</v>
      </c>
      <c r="D110" s="2829" t="s">
        <v>2720</v>
      </c>
      <c r="E110" s="2855">
        <v>0.1</v>
      </c>
      <c r="F110" s="2855">
        <v>15</v>
      </c>
    </row>
    <row r="111" spans="1:6" ht="24">
      <c r="A111" s="2855">
        <v>39</v>
      </c>
      <c r="B111" s="3478"/>
      <c r="C111" s="2855" t="s">
        <v>2721</v>
      </c>
      <c r="D111" s="2829" t="s">
        <v>2722</v>
      </c>
      <c r="E111" s="2855">
        <v>0.1</v>
      </c>
      <c r="F111" s="2855">
        <v>15</v>
      </c>
    </row>
    <row r="112" spans="1:6" ht="24">
      <c r="A112" s="2855">
        <v>40</v>
      </c>
      <c r="B112" s="3487"/>
      <c r="C112" s="2855" t="s">
        <v>2723</v>
      </c>
      <c r="D112" s="2829" t="s">
        <v>2724</v>
      </c>
      <c r="E112" s="2855">
        <v>0.1</v>
      </c>
      <c r="F112" s="2855">
        <v>15</v>
      </c>
    </row>
    <row r="113" spans="1:6" ht="24">
      <c r="A113" s="2855">
        <v>41</v>
      </c>
      <c r="B113" s="3488" t="s">
        <v>2725</v>
      </c>
      <c r="C113" s="2855" t="s">
        <v>2726</v>
      </c>
      <c r="D113" s="2829" t="s">
        <v>2727</v>
      </c>
      <c r="E113" s="2855">
        <v>0.1</v>
      </c>
      <c r="F113" s="2855">
        <v>15</v>
      </c>
    </row>
    <row r="114" spans="1:6" ht="24">
      <c r="A114" s="2855">
        <v>42</v>
      </c>
      <c r="B114" s="3488"/>
      <c r="C114" s="2855" t="s">
        <v>2728</v>
      </c>
      <c r="D114" s="2829" t="s">
        <v>2729</v>
      </c>
      <c r="E114" s="2855">
        <v>0.1</v>
      </c>
      <c r="F114" s="2855">
        <v>15</v>
      </c>
    </row>
    <row r="115" spans="1:6" ht="24">
      <c r="A115" s="2855">
        <v>43</v>
      </c>
      <c r="B115" s="3488"/>
      <c r="C115" s="2855" t="s">
        <v>2730</v>
      </c>
      <c r="D115" s="2829" t="s">
        <v>2731</v>
      </c>
      <c r="E115" s="2855">
        <v>0.1</v>
      </c>
      <c r="F115" s="2855">
        <v>15</v>
      </c>
    </row>
    <row r="116" spans="1:6" ht="24">
      <c r="A116" s="2855">
        <v>44</v>
      </c>
      <c r="B116" s="3483" t="s">
        <v>2732</v>
      </c>
      <c r="C116" s="2855" t="s">
        <v>2733</v>
      </c>
      <c r="D116" s="2829" t="s">
        <v>2734</v>
      </c>
      <c r="E116" s="2855">
        <v>0.1</v>
      </c>
      <c r="F116" s="2855">
        <v>15</v>
      </c>
    </row>
    <row r="117" spans="1:6" ht="24">
      <c r="A117" s="2855">
        <v>45</v>
      </c>
      <c r="B117" s="3487"/>
      <c r="C117" s="2829" t="s">
        <v>2735</v>
      </c>
      <c r="D117" s="2829" t="s">
        <v>2736</v>
      </c>
      <c r="E117" s="2855">
        <v>0.1</v>
      </c>
      <c r="F117" s="2855">
        <v>15</v>
      </c>
    </row>
    <row r="118" spans="1:6" ht="24">
      <c r="A118" s="2855">
        <v>46</v>
      </c>
      <c r="B118" s="3483" t="s">
        <v>2737</v>
      </c>
      <c r="C118" s="2855" t="s">
        <v>2738</v>
      </c>
      <c r="D118" s="2829" t="s">
        <v>2739</v>
      </c>
      <c r="E118" s="2855">
        <v>0.1</v>
      </c>
      <c r="F118" s="2855">
        <v>15</v>
      </c>
    </row>
    <row r="119" spans="1:6" ht="24">
      <c r="A119" s="2855">
        <v>47</v>
      </c>
      <c r="B119" s="3487"/>
      <c r="C119" s="2855" t="s">
        <v>2740</v>
      </c>
      <c r="D119" s="2829" t="s">
        <v>2741</v>
      </c>
      <c r="E119" s="2855">
        <v>0.1</v>
      </c>
      <c r="F119" s="2855">
        <v>15</v>
      </c>
    </row>
    <row r="120" spans="1:6" ht="24">
      <c r="A120" s="2855">
        <v>48</v>
      </c>
      <c r="B120" s="3483" t="s">
        <v>2742</v>
      </c>
      <c r="C120" s="2855" t="s">
        <v>2743</v>
      </c>
      <c r="D120" s="2829" t="s">
        <v>2744</v>
      </c>
      <c r="E120" s="2855">
        <v>0.1</v>
      </c>
      <c r="F120" s="2855">
        <v>15</v>
      </c>
    </row>
    <row r="121" spans="1:6" ht="24">
      <c r="A121" s="2855">
        <v>49</v>
      </c>
      <c r="B121" s="3487"/>
      <c r="C121" s="2855" t="s">
        <v>2745</v>
      </c>
      <c r="D121" s="2829" t="s">
        <v>2746</v>
      </c>
      <c r="E121" s="2855">
        <v>0.1</v>
      </c>
      <c r="F121" s="2855">
        <v>15</v>
      </c>
    </row>
    <row r="122" spans="1:6" ht="24">
      <c r="A122" s="2855">
        <v>50</v>
      </c>
      <c r="B122" s="3488" t="s">
        <v>2747</v>
      </c>
      <c r="C122" s="2855" t="s">
        <v>2748</v>
      </c>
      <c r="D122" s="2829" t="s">
        <v>2749</v>
      </c>
      <c r="E122" s="2855">
        <v>0.1</v>
      </c>
      <c r="F122" s="2855">
        <v>15</v>
      </c>
    </row>
    <row r="123" spans="1:6" ht="24">
      <c r="A123" s="2855">
        <v>51</v>
      </c>
      <c r="B123" s="3488"/>
      <c r="C123" s="2855" t="s">
        <v>2750</v>
      </c>
      <c r="D123" s="2829" t="s">
        <v>2751</v>
      </c>
      <c r="E123" s="2855">
        <v>0.1</v>
      </c>
      <c r="F123" s="2855">
        <v>15</v>
      </c>
    </row>
    <row r="124" spans="1:6" ht="24">
      <c r="A124" s="2855">
        <v>52</v>
      </c>
      <c r="B124" s="3488" t="s">
        <v>2752</v>
      </c>
      <c r="C124" s="2855" t="s">
        <v>2753</v>
      </c>
      <c r="D124" s="2829" t="s">
        <v>2754</v>
      </c>
      <c r="E124" s="2855">
        <v>0.1</v>
      </c>
      <c r="F124" s="2855">
        <v>15</v>
      </c>
    </row>
    <row r="125" spans="1:6" ht="24">
      <c r="A125" s="2855">
        <v>53</v>
      </c>
      <c r="B125" s="3488"/>
      <c r="C125" s="2855" t="s">
        <v>2755</v>
      </c>
      <c r="D125" s="2829" t="s">
        <v>2756</v>
      </c>
      <c r="E125" s="2855">
        <v>0.1</v>
      </c>
      <c r="F125" s="2855">
        <v>15</v>
      </c>
    </row>
    <row r="126" spans="1:6" ht="24">
      <c r="A126" s="2855">
        <v>54</v>
      </c>
      <c r="B126" s="2855" t="s">
        <v>2757</v>
      </c>
      <c r="C126" s="2855" t="s">
        <v>2758</v>
      </c>
      <c r="D126" s="2829" t="s">
        <v>2759</v>
      </c>
      <c r="E126" s="2855">
        <v>0.1</v>
      </c>
      <c r="F126" s="2855">
        <v>15</v>
      </c>
    </row>
    <row r="127" spans="1:6" ht="24">
      <c r="A127" s="2855">
        <v>55</v>
      </c>
      <c r="B127" s="3488" t="s">
        <v>2760</v>
      </c>
      <c r="C127" s="2855" t="s">
        <v>2761</v>
      </c>
      <c r="D127" s="2829" t="s">
        <v>2762</v>
      </c>
      <c r="E127" s="2855">
        <v>0.1</v>
      </c>
      <c r="F127" s="2855">
        <v>15</v>
      </c>
    </row>
    <row r="128" spans="1:6" ht="24">
      <c r="A128" s="2855">
        <v>56</v>
      </c>
      <c r="B128" s="3488"/>
      <c r="C128" s="2855" t="s">
        <v>2763</v>
      </c>
      <c r="D128" s="2829" t="s">
        <v>2764</v>
      </c>
      <c r="E128" s="2855">
        <v>0.1</v>
      </c>
      <c r="F128" s="2855">
        <v>15</v>
      </c>
    </row>
    <row r="129" spans="1:6" ht="24">
      <c r="A129" s="2855">
        <v>57</v>
      </c>
      <c r="B129" s="3488"/>
      <c r="C129" s="2855" t="s">
        <v>2765</v>
      </c>
      <c r="D129" s="2829" t="s">
        <v>2766</v>
      </c>
      <c r="E129" s="2855">
        <v>0.1</v>
      </c>
      <c r="F129" s="2855">
        <v>15</v>
      </c>
    </row>
    <row r="130" spans="1:6" ht="24">
      <c r="A130" s="2855">
        <v>58</v>
      </c>
      <c r="B130" s="3488" t="s">
        <v>2767</v>
      </c>
      <c r="C130" s="2855" t="s">
        <v>2768</v>
      </c>
      <c r="D130" s="2829" t="s">
        <v>2769</v>
      </c>
      <c r="E130" s="2855">
        <v>0.1</v>
      </c>
      <c r="F130" s="2855">
        <v>15</v>
      </c>
    </row>
    <row r="131" spans="1:6" ht="24">
      <c r="A131" s="2855">
        <v>59</v>
      </c>
      <c r="B131" s="3488"/>
      <c r="C131" s="2855" t="s">
        <v>2770</v>
      </c>
      <c r="D131" s="2829" t="s">
        <v>2771</v>
      </c>
      <c r="E131" s="2855">
        <v>0.1</v>
      </c>
      <c r="F131" s="2855">
        <v>15</v>
      </c>
    </row>
    <row r="132" spans="1:6" ht="24">
      <c r="A132" s="2855">
        <v>60</v>
      </c>
      <c r="B132" s="3483" t="s">
        <v>2772</v>
      </c>
      <c r="C132" s="2855" t="s">
        <v>2773</v>
      </c>
      <c r="D132" s="2829" t="s">
        <v>2774</v>
      </c>
      <c r="E132" s="2855">
        <v>0.1</v>
      </c>
      <c r="F132" s="2855">
        <v>15</v>
      </c>
    </row>
    <row r="133" spans="1:6" ht="24">
      <c r="A133" s="2855">
        <v>61</v>
      </c>
      <c r="B133" s="3487"/>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24">
      <c r="A135" s="2855">
        <v>63</v>
      </c>
      <c r="B135" s="3488" t="s">
        <v>2780</v>
      </c>
      <c r="C135" s="2855" t="s">
        <v>2781</v>
      </c>
      <c r="D135" s="2829" t="s">
        <v>2782</v>
      </c>
      <c r="E135" s="2855">
        <v>0.1</v>
      </c>
      <c r="F135" s="2855">
        <v>15</v>
      </c>
    </row>
    <row r="136" spans="1:6" ht="24">
      <c r="A136" s="2855">
        <v>64</v>
      </c>
      <c r="B136" s="3488"/>
      <c r="C136" s="2855" t="s">
        <v>2783</v>
      </c>
      <c r="D136" s="2829" t="s">
        <v>2784</v>
      </c>
      <c r="E136" s="2855">
        <v>0.1</v>
      </c>
      <c r="F136" s="2855">
        <v>15</v>
      </c>
    </row>
    <row r="137" spans="1:6" ht="24">
      <c r="A137" s="2855">
        <v>65</v>
      </c>
      <c r="B137" s="2855" t="s">
        <v>2785</v>
      </c>
      <c r="C137" s="2855" t="s">
        <v>2786</v>
      </c>
      <c r="D137" s="2829" t="s">
        <v>2787</v>
      </c>
      <c r="E137" s="2855">
        <v>0.1</v>
      </c>
      <c r="F137" s="2855">
        <v>15</v>
      </c>
    </row>
    <row r="138" spans="1:6" ht="14.4">
      <c r="A138" s="2855"/>
      <c r="B138" s="2855"/>
      <c r="C138" s="2855"/>
      <c r="D138" s="2855"/>
      <c r="E138" s="2855" t="s">
        <v>2788</v>
      </c>
      <c r="F138" s="2855"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2789</v>
      </c>
      <c r="B1" s="2863"/>
      <c r="C1" s="2863"/>
      <c r="D1" s="2863"/>
      <c r="E1" s="2863"/>
      <c r="F1" s="2863"/>
      <c r="G1" s="2863"/>
      <c r="H1" s="2863"/>
      <c r="I1" s="2863"/>
      <c r="J1" s="2863"/>
      <c r="K1" s="2863"/>
      <c r="L1" s="2863"/>
      <c r="M1" s="2863"/>
      <c r="N1" s="704"/>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SUMPRODUCT((A95:A184=ROUNDDOWN('基准地价修正-商业'!G3,1))*(B94:M94='基准地价修正-商业'!G2)*(B95:M184))</f>
        <v>1.004</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SUMPRODUCT((A371:A460=ROUNDDOWN('基准地价修正-商业'!G3,1))*(B370:M370='基准地价修正-商业'!G2)*(B371:M460))</f>
        <v>0.95089999999999997</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57574</v>
      </c>
      <c r="C2" s="2" t="s">
        <v>106</v>
      </c>
      <c r="D2" s="190"/>
      <c r="E2" s="190"/>
      <c r="F2" s="190"/>
      <c r="G2" s="190"/>
    </row>
    <row r="3" spans="1:7" s="191" customFormat="1" ht="18" customHeight="1" thickBot="1">
      <c r="A3" s="194" t="s">
        <v>58</v>
      </c>
      <c r="B3" s="195">
        <f ca="1">ROUND(B2*10000/'数据-汇总表'!E3,0)</f>
        <v>14377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160</v>
      </c>
      <c r="F9" s="212"/>
      <c r="G9" s="217"/>
    </row>
    <row r="10" spans="1:7" s="205" customFormat="1" ht="13.5" customHeight="1">
      <c r="A10" s="730" t="s">
        <v>356</v>
      </c>
      <c r="B10" s="215" t="s">
        <v>67</v>
      </c>
      <c r="C10" s="216">
        <f>ROUND(D10*E10/10000,0)</f>
        <v>801</v>
      </c>
      <c r="D10" s="792">
        <f>'数据-汇总表'!E6</f>
        <v>40045.229999999996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801</v>
      </c>
      <c r="D19" s="203">
        <f>'数据-汇总表'!E3</f>
        <v>40045.229999999996</v>
      </c>
      <c r="E19" s="202">
        <f>'数据-取费表'!B31</f>
        <v>200</v>
      </c>
      <c r="F19" s="222"/>
      <c r="G19" s="1" t="s">
        <v>436</v>
      </c>
    </row>
    <row r="20" spans="1:7" s="205" customFormat="1" ht="13.5" customHeight="1">
      <c r="A20" s="728" t="s">
        <v>419</v>
      </c>
      <c r="B20" s="201" t="s">
        <v>77</v>
      </c>
      <c r="C20" s="223">
        <f>ROUND((C5+C19)*F20,0)</f>
        <v>428</v>
      </c>
      <c r="D20" s="223"/>
      <c r="E20" s="223"/>
      <c r="F20" s="224">
        <f>'数据-取费表'!B37</f>
        <v>0.02</v>
      </c>
      <c r="G20" s="1001" t="s">
        <v>430</v>
      </c>
    </row>
    <row r="21" spans="1:7" s="205" customFormat="1" ht="13.5" customHeight="1">
      <c r="A21" s="728" t="s">
        <v>421</v>
      </c>
      <c r="B21" s="201" t="s">
        <v>78</v>
      </c>
      <c r="C21" s="226">
        <f>F21</f>
        <v>0.03</v>
      </c>
      <c r="D21" s="227" t="s">
        <v>99</v>
      </c>
      <c r="E21" s="223"/>
      <c r="F21" s="224">
        <f>'数据-取费表'!B38</f>
        <v>0.03</v>
      </c>
      <c r="G21" s="225" t="s">
        <v>79</v>
      </c>
    </row>
    <row r="22" spans="1:7" s="205" customFormat="1" ht="13.5" customHeight="1">
      <c r="A22" s="728" t="s">
        <v>341</v>
      </c>
      <c r="B22" s="201" t="s">
        <v>80</v>
      </c>
      <c r="C22" s="1038">
        <f ca="1">ROUND(SUM(C23:C25),0)</f>
        <v>1361</v>
      </c>
      <c r="D22" s="226">
        <f ca="1">C26</f>
        <v>8.9999999999999998E-4</v>
      </c>
      <c r="E22" s="227" t="s">
        <v>99</v>
      </c>
      <c r="F22" s="228">
        <f ca="1">'数据-取费表'!B40</f>
        <v>3.1E-2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1298</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50</v>
      </c>
      <c r="D24" s="229"/>
      <c r="E24" s="229"/>
      <c r="F24" s="230"/>
      <c r="G24" s="231" t="s">
        <v>82</v>
      </c>
    </row>
    <row r="25" spans="1:7" s="205" customFormat="1" ht="24">
      <c r="A25" s="731" t="s">
        <v>348</v>
      </c>
      <c r="B25" s="206" t="s">
        <v>420</v>
      </c>
      <c r="C25" s="1039">
        <f ca="1">ROUND(IF('数据-取费表'!B22&lt;=1,C20*F22*'数据-取费表'!B23/2,C20*(POWER((1+F22),'数据-取费表'!B23/2)-1)),0)</f>
        <v>13</v>
      </c>
      <c r="D25" s="229"/>
      <c r="E25" s="232"/>
      <c r="F25" s="230"/>
      <c r="G25" s="233" t="s">
        <v>83</v>
      </c>
    </row>
    <row r="26" spans="1:7" s="205" customFormat="1">
      <c r="A26" s="731" t="s">
        <v>350</v>
      </c>
      <c r="B26" s="206" t="s">
        <v>422</v>
      </c>
      <c r="C26" s="229">
        <f ca="1">ROUND(IF('数据-取费表'!B22&lt;=1,F21*F22*'数据-取费表'!B23/2,F21*(POWER((1+F22),'数据-取费表'!B23/2)-1)),4)</f>
        <v>8.9999999999999998E-4</v>
      </c>
      <c r="D26" s="229"/>
      <c r="E26" s="232"/>
      <c r="F26" s="230"/>
      <c r="G26" s="234"/>
    </row>
    <row r="27" spans="1:7" s="205" customFormat="1" ht="26.4">
      <c r="A27" s="728" t="s">
        <v>342</v>
      </c>
      <c r="B27" s="235" t="s">
        <v>85</v>
      </c>
      <c r="C27" s="236">
        <f>C28</f>
        <v>3494</v>
      </c>
      <c r="D27" s="226">
        <f>C29</f>
        <v>4.7999999999999996E-3</v>
      </c>
      <c r="E27" s="227" t="s">
        <v>99</v>
      </c>
      <c r="F27" s="237">
        <f>'数据-取费表'!Q16</f>
        <v>0.16</v>
      </c>
      <c r="G27" s="238" t="s">
        <v>431</v>
      </c>
    </row>
    <row r="28" spans="1:7" s="205" customFormat="1" ht="13.5" customHeight="1">
      <c r="A28" s="731" t="s">
        <v>349</v>
      </c>
      <c r="B28" s="239" t="s">
        <v>424</v>
      </c>
      <c r="C28" s="240">
        <f>ROUND((C5+C19+C20)*F27*'数据-取费表'!B21/'数据-取费表'!B20,0)</f>
        <v>3494</v>
      </c>
      <c r="D28" s="226"/>
      <c r="E28" s="227"/>
      <c r="F28" s="237"/>
      <c r="G28" s="238"/>
    </row>
    <row r="29" spans="1:7" s="205" customFormat="1" ht="13.5" customHeight="1">
      <c r="A29" s="731" t="s">
        <v>347</v>
      </c>
      <c r="B29" s="239" t="s">
        <v>425</v>
      </c>
      <c r="C29" s="229">
        <f>ROUND(C21*F27*'数据-取费表'!B21/'数据-取费表'!B20,4)</f>
        <v>4.7999999999999996E-3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29303</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24368</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22025</v>
      </c>
      <c r="D34" s="208"/>
      <c r="E34" s="211"/>
      <c r="F34" s="248">
        <f>IF('数据-取费表'!B24=0,1,'数据-取费表'!N16)</f>
        <v>1</v>
      </c>
      <c r="G34" s="210" t="s">
        <v>89</v>
      </c>
    </row>
    <row r="35" spans="1:7" ht="13.5" customHeight="1">
      <c r="A35" s="731" t="s">
        <v>351</v>
      </c>
      <c r="B35" s="206" t="s">
        <v>33</v>
      </c>
      <c r="C35" s="211">
        <f>ROUND(C34*F35,0)</f>
        <v>1101</v>
      </c>
      <c r="D35" s="211"/>
      <c r="E35" s="211"/>
      <c r="F35" s="250">
        <f>'数据-取费表'!B33</f>
        <v>0.05</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801</v>
      </c>
      <c r="D37" s="208">
        <f>'数据-汇总表'!E3</f>
        <v>40045.229999999996</v>
      </c>
      <c r="E37" s="240">
        <f>'数据-取费表'!B35</f>
        <v>200</v>
      </c>
      <c r="F37" s="250"/>
      <c r="G37" s="252" t="s">
        <v>92</v>
      </c>
    </row>
    <row r="38" spans="1:7" ht="13.5" customHeight="1">
      <c r="A38" s="731" t="s">
        <v>354</v>
      </c>
      <c r="B38" s="206" t="s">
        <v>36</v>
      </c>
      <c r="C38" s="211">
        <f>ROUND(C34*F38,0)</f>
        <v>441</v>
      </c>
      <c r="D38" s="211"/>
      <c r="E38" s="211"/>
      <c r="F38" s="250">
        <f>'数据-取费表'!B36</f>
        <v>0.02</v>
      </c>
      <c r="G38" s="210" t="s">
        <v>90</v>
      </c>
    </row>
    <row r="39" spans="1:7" s="205" customFormat="1" ht="13.5" customHeight="1">
      <c r="A39" s="728" t="s">
        <v>338</v>
      </c>
      <c r="B39" s="201" t="s">
        <v>77</v>
      </c>
      <c r="C39" s="223">
        <f>ROUND(C33*F20,0)</f>
        <v>487</v>
      </c>
      <c r="D39" s="223"/>
      <c r="E39" s="223"/>
      <c r="F39" s="224"/>
      <c r="G39" s="1001" t="s">
        <v>433</v>
      </c>
    </row>
    <row r="40" spans="1:7" s="205" customFormat="1" ht="13.5" customHeight="1">
      <c r="A40" s="728" t="s">
        <v>339</v>
      </c>
      <c r="B40" s="201" t="s">
        <v>78</v>
      </c>
      <c r="C40" s="253">
        <f>F21</f>
        <v>0.03</v>
      </c>
      <c r="D40" s="227" t="s">
        <v>102</v>
      </c>
      <c r="E40" s="223"/>
      <c r="F40" s="224"/>
      <c r="G40" s="225" t="s">
        <v>93</v>
      </c>
    </row>
    <row r="41" spans="1:7" s="205" customFormat="1" ht="13.5" customHeight="1">
      <c r="A41" s="728" t="s">
        <v>340</v>
      </c>
      <c r="B41" s="201" t="s">
        <v>80</v>
      </c>
      <c r="C41" s="223">
        <f ca="1">ROUND(SUM(C42:C43),0)</f>
        <v>770</v>
      </c>
      <c r="D41" s="226">
        <f ca="1">C44</f>
        <v>8.9999999999999998E-4</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755</v>
      </c>
      <c r="D42" s="229"/>
      <c r="E42" s="229"/>
      <c r="F42" s="230"/>
      <c r="G42" s="3354" t="s">
        <v>94</v>
      </c>
    </row>
    <row r="43" spans="1:7" ht="13.5" customHeight="1">
      <c r="A43" s="731" t="s">
        <v>347</v>
      </c>
      <c r="B43" s="206" t="s">
        <v>426</v>
      </c>
      <c r="C43" s="229">
        <f ca="1">ROUND(IF('数据-取费表'!B22&lt;=1,C39*F22*'数据-取费表'!B21/2,C39*(POWER((1+F22),'数据-取费表'!B21/2)-1)),0)</f>
        <v>15</v>
      </c>
      <c r="D43" s="229"/>
      <c r="E43" s="229"/>
      <c r="F43" s="230"/>
      <c r="G43" s="3355"/>
    </row>
    <row r="44" spans="1:7" ht="13.5" customHeight="1">
      <c r="A44" s="731" t="s">
        <v>348</v>
      </c>
      <c r="B44" s="206" t="s">
        <v>428</v>
      </c>
      <c r="C44" s="229">
        <f ca="1">ROUND(IF('数据-取费表'!B22&lt;=1,C40*F22*'数据-取费表'!B21/2,C40*(POWER((1+F22),'数据-取费表'!B21/2)-1)),4)</f>
        <v>8.9999999999999998E-4</v>
      </c>
      <c r="D44" s="229"/>
      <c r="E44" s="229"/>
      <c r="F44" s="230"/>
      <c r="G44" s="3356"/>
    </row>
    <row r="45" spans="1:7" s="205" customFormat="1" ht="13.5" customHeight="1">
      <c r="A45" s="728" t="s">
        <v>341</v>
      </c>
      <c r="B45" s="235" t="s">
        <v>85</v>
      </c>
      <c r="C45" s="236">
        <f>C46</f>
        <v>3977</v>
      </c>
      <c r="D45" s="226">
        <f>C47</f>
        <v>4.7999999999999996E-3</v>
      </c>
      <c r="E45" s="227" t="s">
        <v>102</v>
      </c>
      <c r="F45" s="237"/>
      <c r="G45" s="238" t="s">
        <v>434</v>
      </c>
    </row>
    <row r="46" spans="1:7" s="205" customFormat="1" ht="13.5" customHeight="1">
      <c r="A46" s="731" t="s">
        <v>349</v>
      </c>
      <c r="B46" s="239" t="s">
        <v>427</v>
      </c>
      <c r="C46" s="240">
        <f>ROUND((C33+C39)*F27,0)</f>
        <v>3977</v>
      </c>
      <c r="D46" s="254"/>
      <c r="E46" s="227"/>
      <c r="F46" s="237"/>
      <c r="G46" s="238"/>
    </row>
    <row r="47" spans="1:7" s="205" customFormat="1" ht="13.5" customHeight="1">
      <c r="A47" s="731" t="s">
        <v>347</v>
      </c>
      <c r="B47" s="239" t="s">
        <v>429</v>
      </c>
      <c r="C47" s="229">
        <f>ROUND(C40*F27,4)</f>
        <v>4.7999999999999996E-3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32495</v>
      </c>
      <c r="D49" s="223"/>
      <c r="E49" s="223"/>
      <c r="F49" s="255"/>
      <c r="G49" s="225" t="s">
        <v>435</v>
      </c>
    </row>
    <row r="50" spans="1:7" s="249" customFormat="1" ht="24">
      <c r="A50" s="728" t="s">
        <v>344</v>
      </c>
      <c r="B50" s="201" t="s">
        <v>97</v>
      </c>
      <c r="C50" s="223"/>
      <c r="D50" s="223"/>
      <c r="E50" s="223"/>
      <c r="F50" s="255">
        <f>IF('数据-取费表'!B24=0,'数据-取费表'!N16,1)</f>
        <v>0.87</v>
      </c>
      <c r="G50" s="238" t="s">
        <v>98</v>
      </c>
    </row>
    <row r="51" spans="1:7" ht="16.5" customHeight="1">
      <c r="A51" s="728" t="s">
        <v>345</v>
      </c>
      <c r="B51" s="201" t="s">
        <v>105</v>
      </c>
      <c r="C51" s="223">
        <f ca="1">ROUND(C49*F50,0)</f>
        <v>28271</v>
      </c>
      <c r="D51" s="223"/>
      <c r="E51" s="223"/>
      <c r="F51" s="255"/>
      <c r="G51" s="225" t="s">
        <v>37</v>
      </c>
    </row>
    <row r="52" spans="1:7" s="199" customFormat="1" ht="16.8" thickBot="1">
      <c r="A52" s="256" t="s">
        <v>38</v>
      </c>
      <c r="B52" s="257"/>
      <c r="C52" s="258">
        <f ca="1">C31+C51</f>
        <v>57574</v>
      </c>
      <c r="D52" s="257"/>
      <c r="E52" s="257"/>
      <c r="F52" s="257"/>
      <c r="G52" s="259"/>
    </row>
    <row r="55" spans="1:7" ht="15">
      <c r="B55" s="261" t="s">
        <v>39</v>
      </c>
      <c r="C55" s="262"/>
    </row>
    <row r="56" spans="1:7">
      <c r="B56" s="264" t="s">
        <v>40</v>
      </c>
      <c r="C56" s="265">
        <f ca="1">ROUND(C51/C52,3)</f>
        <v>0.49099999999999999</v>
      </c>
    </row>
    <row r="57" spans="1:7">
      <c r="B57" s="264" t="s">
        <v>41</v>
      </c>
      <c r="C57" s="266">
        <f ca="1">1-C56</f>
        <v>0.50900000000000001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1" t="s">
        <v>2830</v>
      </c>
      <c r="B1" s="3491"/>
      <c r="C1" s="3491"/>
      <c r="D1" s="3491"/>
      <c r="E1" s="3491"/>
      <c r="F1" s="3491"/>
      <c r="G1" s="3492"/>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1.4"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489"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1.4" thickBot="1">
      <c r="A4" s="3490"/>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1.4"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1.4"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1.4"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1.4"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3" t="s">
        <v>3172</v>
      </c>
      <c r="B1" s="3493"/>
    </row>
    <row r="2" spans="1:7" ht="15" thickBot="1">
      <c r="A2" s="2966"/>
      <c r="B2" s="2966"/>
    </row>
    <row r="3" spans="1:7" ht="15" thickBot="1">
      <c r="A3" s="2966"/>
      <c r="B3" s="2966"/>
      <c r="C3" s="2967" t="s">
        <v>2802</v>
      </c>
      <c r="D3" s="2967" t="s">
        <v>2858</v>
      </c>
      <c r="E3" s="2967" t="s">
        <v>2804</v>
      </c>
      <c r="F3" s="2967" t="s">
        <v>2859</v>
      </c>
      <c r="G3" s="2967" t="s">
        <v>2622</v>
      </c>
    </row>
    <row r="4" spans="1:7" ht="1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4" t="s">
        <v>3223</v>
      </c>
      <c r="B1" s="3494"/>
      <c r="C1" s="3494"/>
      <c r="D1" s="3494"/>
      <c r="E1" s="3494"/>
      <c r="F1" s="3495"/>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5">
        <f>'基准地价修正-商业'!G23</f>
        <v>45737</v>
      </c>
      <c r="B1" s="2927" t="s">
        <v>3371</v>
      </c>
      <c r="C1" s="2928"/>
      <c r="D1" s="2928"/>
      <c r="E1" s="2928"/>
      <c r="F1" s="2928"/>
      <c r="G1" s="2928"/>
      <c r="H1" s="2928"/>
      <c r="I1" s="2928"/>
      <c r="J1" s="2894"/>
      <c r="K1" s="2928" t="s">
        <v>454</v>
      </c>
      <c r="L1" s="2928"/>
      <c r="M1" s="2928"/>
      <c r="N1" s="2928"/>
      <c r="O1" s="2928"/>
      <c r="P1" s="2928"/>
      <c r="Q1" s="2894"/>
      <c r="R1" s="3496" t="s">
        <v>456</v>
      </c>
      <c r="S1" s="3497"/>
      <c r="T1" s="3497"/>
      <c r="U1" s="3497"/>
      <c r="V1" s="3497"/>
      <c r="W1" s="3497"/>
      <c r="X1" s="2894"/>
      <c r="Y1" s="3496" t="s">
        <v>457</v>
      </c>
      <c r="Z1" s="3497"/>
      <c r="AA1" s="3497"/>
      <c r="AB1" s="3497"/>
      <c r="AC1" s="3497"/>
      <c r="AD1" s="3497"/>
    </row>
    <row r="2" spans="1:30" s="2007" customFormat="1" ht="15" thickBot="1">
      <c r="B2" s="2879"/>
      <c r="C2" s="2880"/>
      <c r="D2" s="2008" t="s">
        <v>2801</v>
      </c>
      <c r="E2" s="2009" t="s">
        <v>2802</v>
      </c>
      <c r="F2" s="2009" t="s">
        <v>2803</v>
      </c>
      <c r="G2" s="2009" t="s">
        <v>2804</v>
      </c>
      <c r="H2" s="2009" t="s">
        <v>2805</v>
      </c>
      <c r="I2" s="2009" t="s">
        <v>2622</v>
      </c>
      <c r="J2" s="2881"/>
      <c r="K2" s="2008" t="s">
        <v>2801</v>
      </c>
      <c r="L2" s="2009" t="s">
        <v>2802</v>
      </c>
      <c r="M2" s="2009" t="s">
        <v>2803</v>
      </c>
      <c r="N2" s="2009" t="s">
        <v>2804</v>
      </c>
      <c r="O2" s="2009" t="s">
        <v>2806</v>
      </c>
      <c r="P2" s="2009" t="s">
        <v>2622</v>
      </c>
      <c r="Q2" s="2881"/>
      <c r="R2" s="2008" t="s">
        <v>2801</v>
      </c>
      <c r="S2" s="2009" t="s">
        <v>2802</v>
      </c>
      <c r="T2" s="2009" t="s">
        <v>2803</v>
      </c>
      <c r="U2" s="2009" t="s">
        <v>2807</v>
      </c>
      <c r="V2" s="2009" t="s">
        <v>2808</v>
      </c>
      <c r="W2" s="2009" t="s">
        <v>2622</v>
      </c>
      <c r="X2" s="2881"/>
      <c r="Y2" s="2008" t="s">
        <v>2801</v>
      </c>
      <c r="Z2" s="2009" t="s">
        <v>2802</v>
      </c>
      <c r="AA2" s="2009" t="s">
        <v>2803</v>
      </c>
      <c r="AB2" s="2009" t="s">
        <v>2809</v>
      </c>
      <c r="AC2" s="2009" t="s">
        <v>2808</v>
      </c>
      <c r="AD2" s="2009" t="s">
        <v>2622</v>
      </c>
    </row>
    <row r="3" spans="1:30" s="2884" customFormat="1" ht="13.2">
      <c r="A3" s="2882" t="s">
        <v>2810</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3367</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3376</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3375</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3368</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3366</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3362</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3361</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3359</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3358</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3357</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3355</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3346</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2811</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2812</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2813</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2814</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2815</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3374</v>
      </c>
    </row>
    <row r="24" spans="1:30">
      <c r="I24" s="1402" t="s">
        <v>2816</v>
      </c>
    </row>
    <row r="26" spans="1:30" s="2006" customFormat="1" ht="13.2">
      <c r="B26" s="2927" t="s">
        <v>3372</v>
      </c>
      <c r="C26" s="2928"/>
      <c r="D26" s="2928"/>
      <c r="E26" s="2928"/>
      <c r="F26" s="2928"/>
      <c r="G26" s="2928"/>
      <c r="H26" s="2928"/>
      <c r="I26" s="2928"/>
      <c r="J26" s="2894"/>
      <c r="K26" s="2928" t="s">
        <v>2817</v>
      </c>
      <c r="L26" s="2928"/>
      <c r="M26" s="2928"/>
      <c r="N26" s="2928"/>
      <c r="O26" s="2928"/>
      <c r="P26" s="2928"/>
      <c r="Q26" s="2894"/>
      <c r="R26" s="3496" t="s">
        <v>2818</v>
      </c>
      <c r="S26" s="3497"/>
      <c r="T26" s="3497"/>
      <c r="U26" s="3497"/>
      <c r="V26" s="3497"/>
      <c r="W26" s="3497"/>
      <c r="X26" s="2894"/>
      <c r="Y26" s="3496" t="s">
        <v>2819</v>
      </c>
      <c r="Z26" s="3497"/>
      <c r="AA26" s="3497"/>
      <c r="AB26" s="3497"/>
      <c r="AC26" s="3497"/>
      <c r="AD26" s="3497"/>
    </row>
    <row r="27" spans="1:30" s="2007" customFormat="1" ht="15" thickBot="1">
      <c r="B27" s="2879"/>
      <c r="C27" s="2880"/>
      <c r="D27" s="2008" t="s">
        <v>2820</v>
      </c>
      <c r="E27" s="2009" t="s">
        <v>2821</v>
      </c>
      <c r="F27" s="2009" t="s">
        <v>2822</v>
      </c>
      <c r="G27" s="2009" t="s">
        <v>2823</v>
      </c>
      <c r="H27" s="2009"/>
      <c r="I27" s="2009" t="s">
        <v>2824</v>
      </c>
      <c r="J27" s="2881"/>
      <c r="K27" s="2008" t="s">
        <v>2820</v>
      </c>
      <c r="L27" s="2009" t="s">
        <v>2821</v>
      </c>
      <c r="M27" s="2009" t="s">
        <v>2822</v>
      </c>
      <c r="N27" s="2009" t="s">
        <v>2823</v>
      </c>
      <c r="O27" s="2009"/>
      <c r="P27" s="2009" t="s">
        <v>2824</v>
      </c>
      <c r="Q27" s="2881"/>
      <c r="R27" s="2008" t="s">
        <v>2820</v>
      </c>
      <c r="S27" s="2009" t="s">
        <v>2821</v>
      </c>
      <c r="T27" s="2009" t="s">
        <v>2822</v>
      </c>
      <c r="U27" s="2009" t="s">
        <v>2823</v>
      </c>
      <c r="V27" s="2009"/>
      <c r="W27" s="2009" t="s">
        <v>2824</v>
      </c>
      <c r="X27" s="2881"/>
      <c r="Y27" s="2008" t="s">
        <v>2820</v>
      </c>
      <c r="Z27" s="2009" t="s">
        <v>2821</v>
      </c>
      <c r="AA27" s="2009" t="s">
        <v>2822</v>
      </c>
      <c r="AB27" s="2009" t="s">
        <v>2823</v>
      </c>
      <c r="AC27" s="2009"/>
      <c r="AD27" s="2009" t="s">
        <v>2824</v>
      </c>
    </row>
    <row r="28" spans="1:30" s="2884" customFormat="1" ht="13.2">
      <c r="A28" s="2882" t="s">
        <v>2825</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3367</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3369</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3364</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3370</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3365</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3363</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3361</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3360</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3358</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3357</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3356</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3346</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2826</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2827</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2828</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2829</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2815</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3373</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9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9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9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9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9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9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9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49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9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9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49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9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9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0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49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9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9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49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9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9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49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9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9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49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9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9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49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9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9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49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9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9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49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9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9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49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9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9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49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9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9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49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9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9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49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9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9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9"/>
      <c r="B3" s="3179"/>
      <c r="C3" s="3179"/>
      <c r="D3" s="798" t="s">
        <v>925</v>
      </c>
      <c r="E3" s="798" t="s">
        <v>931</v>
      </c>
      <c r="F3" s="798" t="s">
        <v>925</v>
      </c>
      <c r="G3" s="798" t="s">
        <v>926</v>
      </c>
      <c r="H3" s="798" t="s">
        <v>925</v>
      </c>
      <c r="I3" s="798" t="s">
        <v>926</v>
      </c>
    </row>
    <row r="4" spans="1:9" ht="15">
      <c r="A4" s="1400" t="str">
        <f>项目基本情况!S2</f>
        <v>北京市房地产</v>
      </c>
      <c r="B4" s="798">
        <f>项目基本情况!C17</f>
        <v>40045.229999999996</v>
      </c>
      <c r="C4" s="798">
        <f>项目基本情况!C18</f>
        <v>8274.56</v>
      </c>
      <c r="D4" s="798">
        <f ca="1">结果表!D118</f>
        <v>96296</v>
      </c>
      <c r="E4" s="798">
        <f ca="1">结果表!E118</f>
        <v>24047</v>
      </c>
      <c r="F4" s="798">
        <f ca="1">结果表!F118</f>
        <v>22882</v>
      </c>
      <c r="G4" s="798">
        <f ca="1">结果表!G118</f>
        <v>5714</v>
      </c>
      <c r="H4" s="798">
        <f ca="1">结果表!H118</f>
        <v>119178</v>
      </c>
      <c r="I4" s="798">
        <f ca="1">结果表!I118</f>
        <v>29761</v>
      </c>
    </row>
    <row r="5" spans="1:9" ht="30" customHeight="1">
      <c r="A5" s="3179" t="s">
        <v>927</v>
      </c>
      <c r="B5" s="3179"/>
      <c r="C5" s="3179"/>
      <c r="D5" s="3179" t="str">
        <f ca="1">结果表!D119</f>
        <v>玖亿陆仟贰佰玖拾陆万元整</v>
      </c>
      <c r="E5" s="3179"/>
      <c r="F5" s="3179" t="str">
        <f ca="1">结果表!F119</f>
        <v>贰亿贰仟捌佰捌拾贰万元整</v>
      </c>
      <c r="G5" s="3179"/>
      <c r="H5" s="3179" t="str">
        <f ca="1">结果表!H119</f>
        <v>壹拾壹亿玖仟壹佰柒拾捌万元整</v>
      </c>
      <c r="I5" s="3179"/>
    </row>
    <row r="6" spans="1:9" ht="15.6">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6">
      <c r="A8" s="3180" t="str">
        <f>结果表!A122</f>
        <v>房地产抵押价值</v>
      </c>
      <c r="B8" s="3180"/>
      <c r="C8" s="3180"/>
      <c r="D8" s="3180">
        <f ca="1">结果表!D122</f>
        <v>119178</v>
      </c>
      <c r="E8" s="3180"/>
      <c r="F8" s="3180"/>
      <c r="G8" s="3180"/>
      <c r="H8" s="3180"/>
      <c r="I8" s="3180"/>
    </row>
    <row r="9" spans="1:9" ht="15">
      <c r="A9" s="3179" t="s">
        <v>927</v>
      </c>
      <c r="B9" s="3179"/>
      <c r="C9" s="3179"/>
      <c r="D9" s="3179" t="str">
        <f ca="1">结果表!D123</f>
        <v>壹拾壹亿玖仟壹佰柒拾捌万元整</v>
      </c>
      <c r="E9" s="3179"/>
      <c r="F9" s="3179"/>
      <c r="G9" s="3179"/>
      <c r="H9" s="3179"/>
      <c r="I9" s="3179"/>
    </row>
    <row r="10" spans="1:9" ht="15.6">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6">
      <c r="A12" s="3180" t="str">
        <f>结果表!A126</f>
        <v>抵押净值</v>
      </c>
      <c r="B12" s="3180"/>
      <c r="C12" s="3180"/>
      <c r="D12" s="3180">
        <f ca="1">结果表!D126</f>
        <v>99292</v>
      </c>
      <c r="E12" s="3180"/>
      <c r="F12" s="3180"/>
      <c r="G12" s="3180"/>
      <c r="H12" s="3180"/>
      <c r="I12" s="3180"/>
    </row>
    <row r="13" spans="1:9" ht="15.6" thickBot="1">
      <c r="A13" s="3184" t="s">
        <v>927</v>
      </c>
      <c r="B13" s="3184"/>
      <c r="C13" s="3184"/>
      <c r="D13" s="3184" t="str">
        <f ca="1">结果表!D127</f>
        <v>玖亿玖仟贰佰玖拾贰万元整</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45737</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86" t="s">
        <v>949</v>
      </c>
      <c r="B1" s="3186"/>
      <c r="C1" s="3186"/>
      <c r="D1" s="3186"/>
    </row>
    <row r="2" spans="1:4" ht="17.399999999999999">
      <c r="A2" s="3187" t="s">
        <v>933</v>
      </c>
      <c r="B2" s="3187"/>
      <c r="C2" s="3187"/>
      <c r="D2" s="3187"/>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187" t="s">
        <v>939</v>
      </c>
      <c r="B6" s="3187"/>
      <c r="C6" s="3187"/>
      <c r="D6" s="3187"/>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188"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945</v>
      </c>
      <c r="B22" s="3194"/>
      <c r="C22" s="3194"/>
      <c r="D22" s="3194"/>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00" t="s">
        <v>956</v>
      </c>
      <c r="B15" s="3195" t="s">
        <v>109</v>
      </c>
      <c r="C15" s="3196"/>
    </row>
    <row r="16" spans="1:7" ht="14.4">
      <c r="A16" s="3201"/>
      <c r="B16" s="3195" t="s">
        <v>42</v>
      </c>
      <c r="C16" s="3196"/>
    </row>
    <row r="17" spans="1:3" ht="14.4">
      <c r="A17" s="3201"/>
      <c r="B17" s="3198" t="s">
        <v>957</v>
      </c>
      <c r="C17" s="1426" t="s">
        <v>956</v>
      </c>
    </row>
    <row r="18" spans="1:3" ht="14.4">
      <c r="A18" s="3201"/>
      <c r="B18" s="3198"/>
      <c r="C18" s="1426" t="s">
        <v>958</v>
      </c>
    </row>
    <row r="19" spans="1:3" ht="14.4">
      <c r="A19" s="3201"/>
      <c r="B19" s="3198"/>
      <c r="C19" s="1426" t="s">
        <v>959</v>
      </c>
    </row>
    <row r="20" spans="1:3" ht="14.4">
      <c r="A20" s="3202"/>
      <c r="B20" s="3197" t="s">
        <v>960</v>
      </c>
      <c r="C20" s="3196"/>
    </row>
    <row r="21" spans="1:3" ht="14.4">
      <c r="A21" s="1427" t="s">
        <v>961</v>
      </c>
      <c r="B21" s="1428"/>
      <c r="C21" s="1429"/>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6" t="s">
        <v>967</v>
      </c>
    </row>
    <row r="26" spans="1:3" ht="14.4">
      <c r="A26" s="3199"/>
      <c r="B26" s="3198"/>
      <c r="C26" s="1426" t="s">
        <v>968</v>
      </c>
    </row>
    <row r="27" spans="1:3" ht="14.4">
      <c r="A27" s="3199"/>
      <c r="B27" s="3198"/>
      <c r="C27" s="1426" t="s">
        <v>969</v>
      </c>
    </row>
    <row r="28" spans="1:3" ht="14.4">
      <c r="A28" s="3199"/>
      <c r="B28" s="3198"/>
      <c r="C28" s="1426" t="s">
        <v>970</v>
      </c>
    </row>
    <row r="29" spans="1:3" ht="14.4">
      <c r="A29" s="3199"/>
      <c r="B29" s="3198"/>
      <c r="C29" s="1426" t="s">
        <v>971</v>
      </c>
    </row>
    <row r="30" spans="1:3" ht="14.4">
      <c r="A30" s="3199"/>
      <c r="B30" s="3198"/>
      <c r="C30" s="1426" t="s">
        <v>972</v>
      </c>
    </row>
    <row r="31" spans="1:3" ht="14.4">
      <c r="A31" s="3199"/>
      <c r="B31" s="3198"/>
      <c r="C31" s="1426" t="s">
        <v>973</v>
      </c>
    </row>
    <row r="32" spans="1:3" ht="14.4">
      <c r="A32" s="3199"/>
      <c r="B32" s="3198"/>
      <c r="C32" s="1426" t="s">
        <v>974</v>
      </c>
    </row>
    <row r="33" spans="1:3" ht="14.4">
      <c r="A33" s="3199"/>
      <c r="B33" s="3198"/>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7"/>
      <c r="E18" s="3205" t="s">
        <v>2162</v>
      </c>
      <c r="F18" s="3204"/>
      <c r="G18" s="3204"/>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收益法-商业</vt:lpstr>
      <vt:lpstr>收益法 (元)</vt:lpstr>
      <vt:lpstr>收益法-酒店模型</vt:lpstr>
      <vt:lpstr>收益法-办公车库</vt:lpstr>
      <vt:lpstr>收益法（汇总）</vt:lpstr>
      <vt:lpstr>台账</vt:lpstr>
      <vt:lpstr>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2025-03-26T03:03:51Z</dcterms:modified>
</cp:coreProperties>
</file>