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350" yWindow="-45" windowWidth="12120" windowHeight="7410"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表" sheetId="75" r:id="rId17"/>
    <sheet name="结果表" sheetId="9" r:id="rId18"/>
    <sheet name="建安取值" sheetId="74" r:id="rId19"/>
    <sheet name="结果表汇总" sheetId="73" r:id="rId20"/>
    <sheet name="剩余法住宅"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基准地价商业" sheetId="68" state="hidden" r:id="rId31"/>
    <sheet name="基准地价办公" sheetId="69" state="hidden" r:id="rId32"/>
    <sheet name="不动产比较法-办公" sheetId="34" state="hidden" r:id="rId33"/>
    <sheet name="不动产收益法办公" sheetId="70" state="hidden" r:id="rId34"/>
    <sheet name="收益还原法" sheetId="44" state="hidden" r:id="rId35"/>
    <sheet name="不动产比较法-商业" sheetId="33" state="hidden" r:id="rId36"/>
    <sheet name="不动产收益法商业" sheetId="15" state="hidden" r:id="rId37"/>
    <sheet name="地价" sheetId="59" r:id="rId38"/>
    <sheet name="酒店收入计算" sheetId="57" state="hidden" r:id="rId39"/>
    <sheet name="成本逼近法" sheetId="11" state="hidden" r:id="rId40"/>
    <sheet name="不动产比较法-住宅" sheetId="21"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2" r:id="rId47"/>
    <sheet name="估价结果汇总表" sheetId="7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23" hidden="1">'比较法-工业'!$A$1:$L$45</definedName>
    <definedName name="_xlnm._FilterDatabase" localSheetId="22"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5"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6">'[1]不动产比较法-办公'!$B$119:$M$119</definedName>
    <definedName name="办公层高" localSheetId="19">'[2]不动产比较法-办公'!$B$119:$M$119</definedName>
    <definedName name="办公层高">'不动产比较法-办公'!$B$119:$M$119</definedName>
    <definedName name="办公朝向" localSheetId="46">'[1]不动产比较法-办公'!$B$91:$M$91</definedName>
    <definedName name="办公朝向" localSheetId="19">'[2]不动产比较法-办公'!$B$91:$M$91</definedName>
    <definedName name="办公朝向">'不动产比较法-办公'!$B$91:$M$91</definedName>
    <definedName name="办公道路级别" localSheetId="46">'[1]不动产比较法-办公'!$B$87:$M$87</definedName>
    <definedName name="办公道路级别" localSheetId="19">'[2]不动产比较法-办公'!$B$87:$M$87</definedName>
    <definedName name="办公道路级别">'不动产比较法-办公'!$B$87:$M$87</definedName>
    <definedName name="办公公共部分装修" localSheetId="46">'[1]不动产比较法-办公'!$B$108:$M$108</definedName>
    <definedName name="办公公共部分装修" localSheetId="19">'[2]不动产比较法-办公'!$B$108:$M$108</definedName>
    <definedName name="办公公共部分装修">'不动产比较法-办公'!$B$108:$M$108</definedName>
    <definedName name="办公基础设施水平" localSheetId="46">'[1]不动产比较法-办公'!$B$117:$M$117</definedName>
    <definedName name="办公基础设施水平" localSheetId="19">'[2]不动产比较法-办公'!$B$117:$M$117</definedName>
    <definedName name="办公基础设施水平">'不动产比较法-办公'!$B$117:$M$117</definedName>
    <definedName name="办公集聚程度" localSheetId="46">[1]定义!$M$1:$M$6</definedName>
    <definedName name="办公集聚程度" localSheetId="19">[2]定义!$M$1:$M$6</definedName>
    <definedName name="办公集聚程度">定义!$M$1:$M$6</definedName>
    <definedName name="办公建筑结构" localSheetId="46">'[1]不动产比较法-办公'!$B$106:$M$106</definedName>
    <definedName name="办公建筑结构" localSheetId="19">'[2]不动产比较法-办公'!$B$106:$M$106</definedName>
    <definedName name="办公建筑结构">'不动产比较法-办公'!$B$106:$M$106</definedName>
    <definedName name="办公建筑类型" localSheetId="46">'[1]不动产比较法-办公'!$B$101:$M$101</definedName>
    <definedName name="办公建筑类型" localSheetId="19">'[2]不动产比较法-办公'!$B$101:$M$101</definedName>
    <definedName name="办公建筑类型">'不动产比较法-办公'!$B$101:$M$101</definedName>
    <definedName name="办公交易情况" localSheetId="46">'[1]不动产比较法-办公'!$A$62:$M$62</definedName>
    <definedName name="办公交易情况" localSheetId="19">'[2]不动产比较法-办公'!$A$62:$M$62</definedName>
    <definedName name="办公交易情况">'不动产比较法-办公'!$A$62:$M$62</definedName>
    <definedName name="办公楼层" localSheetId="46">'[1]不动产比较法-办公'!$B$89:$M$89</definedName>
    <definedName name="办公楼层" localSheetId="19">'[2]不动产比较法-办公'!$B$89:$M$89</definedName>
    <definedName name="办公楼层">'不动产比较法-办公'!$B$89:$M$89</definedName>
    <definedName name="办公内部装修" localSheetId="46">'[1]不动产比较法-办公'!$B$123:$M$123</definedName>
    <definedName name="办公内部装修" localSheetId="19">'[2]不动产比较法-办公'!$B$123:$M$123</definedName>
    <definedName name="办公内部装修">'不动产比较法-办公'!$B$123:$M$123</definedName>
    <definedName name="办公物业管理" localSheetId="46">'[1]不动产比较法-办公'!$B$115:$M$115</definedName>
    <definedName name="办公物业管理" localSheetId="19">'[2]不动产比较法-办公'!$B$115:$M$115</definedName>
    <definedName name="办公物业管理">'不动产比较法-办公'!$B$115:$M$115</definedName>
    <definedName name="办公用途" localSheetId="46">'[1]不动产比较法-办公'!$B$64:$M$64</definedName>
    <definedName name="办公用途" localSheetId="19">'[2]不动产比较法-办公'!$B$64:$M$64</definedName>
    <definedName name="办公用途">'不动产比较法-办公'!$B$64:$M$64</definedName>
    <definedName name="仓储公共部分装修" localSheetId="46">'[1]不动产比较法-仓储'!$B$77:$M$77</definedName>
    <definedName name="仓储公共部分装修" localSheetId="19">'[2]不动产比较法-仓储'!$B$77:$M$77</definedName>
    <definedName name="仓储公共部分装修">'不动产比较法-仓储'!$B$77:$M$77</definedName>
    <definedName name="仓储交易情况" localSheetId="46">'[1]不动产比较法-仓储'!$A$49:$M$49</definedName>
    <definedName name="仓储交易情况" localSheetId="19">'[2]不动产比较法-仓储'!$A$49:$M$49</definedName>
    <definedName name="仓储交易情况">'不动产比较法-仓储'!$A$49:$M$49</definedName>
    <definedName name="仓储楼层" localSheetId="46">'[1]不动产比较法-仓储'!$B$69:$M$69</definedName>
    <definedName name="仓储楼层" localSheetId="19">'[2]不动产比较法-仓储'!$B$69:$M$69</definedName>
    <definedName name="仓储楼层">'不动产比较法-仓储'!$B$69:$M$69</definedName>
    <definedName name="仓储物业等级" localSheetId="46">'[1]不动产比较法-仓储'!$B$82:$M$82</definedName>
    <definedName name="仓储物业等级" localSheetId="19">'[2]不动产比较法-仓储'!$B$82:$M$82</definedName>
    <definedName name="仓储物业等级">'不动产比较法-仓储'!$B$82:$M$82</definedName>
    <definedName name="仓储用途" localSheetId="46">'[1]不动产比较法-仓储'!$B$51:$M$51</definedName>
    <definedName name="仓储用途" localSheetId="19">'[2]不动产比较法-仓储'!$B$51:$M$51</definedName>
    <definedName name="仓储用途">'不动产比较法-仓储'!$B$51:$M$51</definedName>
    <definedName name="产业集聚程度" localSheetId="46">[1]定义!$N$1:$N$6</definedName>
    <definedName name="产业集聚程度" localSheetId="19">[2]定义!$N$1:$N$6</definedName>
    <definedName name="产业集聚程度">定义!$N$1:$N$6</definedName>
    <definedName name="车位公共部分装修" localSheetId="46">'[1]不动产比较法-车位'!$B$83:$M$83</definedName>
    <definedName name="车位公共部分装修" localSheetId="19">'[2]不动产比较法-车位'!$B$83:$M$83</definedName>
    <definedName name="车位公共部分装修">'不动产比较法-车位'!$B$83:$M$83</definedName>
    <definedName name="车位交易情况" localSheetId="46">'[1]不动产比较法-车位'!$A$51:$M$51</definedName>
    <definedName name="车位交易情况" localSheetId="19">'[2]不动产比较法-车位'!$A$51:$M$51</definedName>
    <definedName name="车位交易情况">'不动产比较法-车位'!$A$51:$M$51</definedName>
    <definedName name="车位类型" localSheetId="46">'[1]不动产比较法-车位'!$B$93:$M$93</definedName>
    <definedName name="车位类型" localSheetId="19">'[2]不动产比较法-车位'!$B$93:$M$93</definedName>
    <definedName name="车位类型">'不动产比较法-车位'!$B$93:$M$93</definedName>
    <definedName name="车位楼层" localSheetId="46">'[1]不动产比较法-车位'!$B$71:$M$71</definedName>
    <definedName name="车位楼层" localSheetId="19">'[2]不动产比较法-车位'!$B$71:$M$71</definedName>
    <definedName name="车位楼层">'不动产比较法-车位'!$B$71:$M$71</definedName>
    <definedName name="车位配套类型" localSheetId="46">'[1]不动产比较法-车位'!$B$79:$M$79</definedName>
    <definedName name="车位配套类型" localSheetId="19">'[2]不动产比较法-车位'!$B$79:$M$79</definedName>
    <definedName name="车位配套类型">'不动产比较法-车位'!$B$79:$M$79</definedName>
    <definedName name="车位物业等级" localSheetId="46">'[1]不动产比较法-车位'!$B$88:$M$88</definedName>
    <definedName name="车位物业等级" localSheetId="19">'[2]不动产比较法-车位'!$B$88:$M$88</definedName>
    <definedName name="车位物业等级">'不动产比较法-车位'!$B$88:$M$88</definedName>
    <definedName name="车位用途" localSheetId="46">'[1]不动产比较法-车位'!$B$53:$M$53</definedName>
    <definedName name="车位用途" localSheetId="19">'[2]不动产比较法-车位'!$B$53:$M$53</definedName>
    <definedName name="车位用途">'不动产比较法-车位'!$B$53:$M$53</definedName>
    <definedName name="城镇土地纳税等级分级范围" localSheetId="46">'[1]数据-取费表'!$A$53:$A$63</definedName>
    <definedName name="城镇土地纳税等级分级范围" localSheetId="19">'[2]数据-取费表'!$A$53:$A$63</definedName>
    <definedName name="城镇土地纳税等级分级范围">'数据-取费表'!$A$53:$A$63</definedName>
    <definedName name="单价内涵" localSheetId="46">[1]定义!$V$1:$V$3</definedName>
    <definedName name="单价内涵" localSheetId="19">[2]定义!$V$1:$V$3</definedName>
    <definedName name="单价内涵">定义!$V$1:$V$3</definedName>
    <definedName name="地类判定" localSheetId="46">[1]定义!$H$1:$H$9</definedName>
    <definedName name="地类判定" localSheetId="19">[2]定义!$H$1:$H$9</definedName>
    <definedName name="地类判定">定义!$H$1:$H$9</definedName>
    <definedName name="二级">区片价!$J$1:$J$20</definedName>
    <definedName name="二级分类" localSheetId="46">[1]修正!$C$17:$C$39</definedName>
    <definedName name="二级分类" localSheetId="19">[2]修正!$C$17:$C$39</definedName>
    <definedName name="二级分类">修正!$C$17:$C$39</definedName>
    <definedName name="法定最高年限" localSheetId="46">[1]定义!$G$2:$G$4</definedName>
    <definedName name="法定最高年限" localSheetId="19">[2]定义!$G$2:$G$4</definedName>
    <definedName name="法定最高年限">定义!$G$2:$G$4</definedName>
    <definedName name="工业公共部分装修" localSheetId="46">'[1]不动产比较法-工业'!$B$95:$M$95</definedName>
    <definedName name="工业公共部分装修" localSheetId="19">'[2]不动产比较法-工业'!$B$95:$M$95</definedName>
    <definedName name="工业公共部分装修">'不动产比较法-工业'!$B$95:$M$95</definedName>
    <definedName name="工业基础设施水平" localSheetId="46">'[1]不动产比较法-工业'!$B$102:$M$102</definedName>
    <definedName name="工业基础设施水平" localSheetId="19">'[2]不动产比较法-工业'!$B$102:$M$102</definedName>
    <definedName name="工业基础设施水平">'不动产比较法-工业'!$B$102:$M$102</definedName>
    <definedName name="工业建筑结构" localSheetId="46">'[1]不动产比较法-工业'!$B$93:$M$93</definedName>
    <definedName name="工业建筑结构" localSheetId="19">'[2]不动产比较法-工业'!$B$93:$M$93</definedName>
    <definedName name="工业建筑结构">'不动产比较法-工业'!$B$93:$M$93</definedName>
    <definedName name="工业建筑类型" localSheetId="46">'[1]不动产比较法-工业'!$B$88:$M$88</definedName>
    <definedName name="工业建筑类型" localSheetId="19">'[2]不动产比较法-工业'!$B$88:$M$88</definedName>
    <definedName name="工业建筑类型">'不动产比较法-工业'!$B$88:$M$88</definedName>
    <definedName name="工业交易情况" localSheetId="46">'[1]不动产比较法-工业'!$A$55:$M$55</definedName>
    <definedName name="工业交易情况" localSheetId="19">'[2]不动产比较法-工业'!$A$55:$M$55</definedName>
    <definedName name="工业交易情况">'不动产比较法-工业'!$A$55:$M$55</definedName>
    <definedName name="工业内部装修" localSheetId="46">'[1]不动产比较法-工业'!$B$104:$M$104</definedName>
    <definedName name="工业内部装修" localSheetId="19">'[2]不动产比较法-工业'!$B$104:$M$104</definedName>
    <definedName name="工业内部装修">'不动产比较法-工业'!$B$104:$M$104</definedName>
    <definedName name="工业物业管理" localSheetId="46">'[1]不动产比较法-工业'!$B$100:$M$100</definedName>
    <definedName name="工业物业管理" localSheetId="19">'[2]不动产比较法-工业'!$B$100:$M$100</definedName>
    <definedName name="工业物业管理">'不动产比较法-工业'!$B$100:$M$100</definedName>
    <definedName name="工业用途" localSheetId="46">'[1]不动产比较法-工业'!$B$57:$M$57</definedName>
    <definedName name="工业用途" localSheetId="19">'[2]不动产比较法-工业'!$B$57:$M$57</definedName>
    <definedName name="工业用途">'不动产比较法-工业'!$B$57:$M$57</definedName>
    <definedName name="公共配套设施" localSheetId="46">[1]定义!$Q$1:$Q$6</definedName>
    <definedName name="公共配套设施" localSheetId="19">[2]定义!$Q$1:$Q$6</definedName>
    <definedName name="公共配套设施">定义!$Q$1:$Q$6</definedName>
    <definedName name="估价方法" localSheetId="46">[1]定义!$B$1:$B$50</definedName>
    <definedName name="估价方法" localSheetId="19">[2]定义!$B$1:$B$50</definedName>
    <definedName name="估价方法">定义!$B$1:$B$50</definedName>
    <definedName name="环境" localSheetId="46">[1]定义!$S$1:$S$6</definedName>
    <definedName name="环境" localSheetId="19">[2]定义!$S$1:$S$6</definedName>
    <definedName name="环境">定义!$S$1:$S$6</definedName>
    <definedName name="基础设施水平" localSheetId="46">[1]定义!$R$1:$R$6</definedName>
    <definedName name="基础设施水平" localSheetId="19">[2]定义!$R$1:$R$6</definedName>
    <definedName name="基础设施水平">定义!$R$1:$R$6</definedName>
    <definedName name="季度" localSheetId="31">基准地价办公!$N$19:$AG$19</definedName>
    <definedName name="季度" localSheetId="30">基准地价商业!$N$19:$AG$19</definedName>
    <definedName name="季度">基准地价住宅!$N$19:$AG$19</definedName>
    <definedName name="季度2014">地价!$A$2:$A$27</definedName>
    <definedName name="价值类型2" localSheetId="46">[1]定义!$B$54:$B$56</definedName>
    <definedName name="价值类型2" localSheetId="19">[2]定义!$B$54:$B$56</definedName>
    <definedName name="价值类型2">定义!$B$54:$B$56</definedName>
    <definedName name="交通便捷度" localSheetId="46">[1]定义!$O$1:$O$6</definedName>
    <definedName name="交通便捷度" localSheetId="19">[2]定义!$O$1:$O$6</definedName>
    <definedName name="交通便捷度">定义!$O$1:$O$6</definedName>
    <definedName name="九级">区片价!$Q$1:$Q$46</definedName>
    <definedName name="居住社区成熟度" localSheetId="46">[1]定义!$K$1:$K$6</definedName>
    <definedName name="居住社区成熟度" localSheetId="19">[2]定义!$K$1:$K$6</definedName>
    <definedName name="居住社区成熟度">定义!$K$1:$K$6</definedName>
    <definedName name="类别" localSheetId="46">[1]定义!$J$1:$J$3</definedName>
    <definedName name="类别" localSheetId="19">[2]定义!$J$1:$J$3</definedName>
    <definedName name="类别">定义!$J$1:$J$3</definedName>
    <definedName name="临街状况" localSheetId="46">[1]定义!$T$1:$T$5</definedName>
    <definedName name="临街状况" localSheetId="19">[2]定义!$T$1:$T$5</definedName>
    <definedName name="临街状况">定义!$T$1:$T$5</definedName>
    <definedName name="六级">区片价!$N$1:$N$49</definedName>
    <definedName name="内部装修维护情况" localSheetId="46">[1]定义!$U$1:$U$6</definedName>
    <definedName name="内部装修维护情况" localSheetId="19">[2]定义!$U$1:$U$6</definedName>
    <definedName name="内部装修维护情况">定义!$U$1:$U$6</definedName>
    <definedName name="判定" localSheetId="46">[1]定义!$D$1:$D$4</definedName>
    <definedName name="判定" localSheetId="19">[2]定义!$D$1:$D$4</definedName>
    <definedName name="判定">定义!$D$1:$D$4</definedName>
    <definedName name="七级">区片价!$O$1:$O$49</definedName>
    <definedName name="七通一平" localSheetId="46">[1]修正!$A$6:$A$14</definedName>
    <definedName name="七通一平" localSheetId="19">[2]修正!$A$6:$A$14</definedName>
    <definedName name="七通一平">修正!$A$6:$A$14</definedName>
    <definedName name="区域土地利用方向" localSheetId="46">[1]定义!$P$1:$P$6</definedName>
    <definedName name="区域土地利用方向" localSheetId="19">[2]定义!$P$1:$P$6</definedName>
    <definedName name="区域土地利用方向">定义!$P$1:$P$6</definedName>
    <definedName name="三级">区片价!$K$1:$K$21</definedName>
    <definedName name="商业层高" localSheetId="46">'[1]不动产比较法-商业'!$B$116:$M$116</definedName>
    <definedName name="商业层高" localSheetId="19">'[2]不动产比较法-商业'!$B$116:$M$116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 localSheetId="19">[2]定义!$L$1:$L$6</definedName>
    <definedName name="商业繁华度">定义!$L$1:$L$6</definedName>
    <definedName name="商业公共部分装修" localSheetId="46">'[1]不动产比较法-商业'!$B$107:$M$107</definedName>
    <definedName name="商业公共部分装修" localSheetId="19">'[2]不动产比较法-商业'!$B$107:$M$107</definedName>
    <definedName name="商业公共部分装修">'不动产比较法-商业'!$B$107:$M$107</definedName>
    <definedName name="商业基础设施水平" localSheetId="46">'[1]不动产比较法-商业'!$B$112:$M$112</definedName>
    <definedName name="商业基础设施水平" localSheetId="19">'[2]不动产比较法-商业'!$B$112:$M$112</definedName>
    <definedName name="商业基础设施水平">'不动产比较法-商业'!$B$112:$M$112</definedName>
    <definedName name="商业建筑结构" localSheetId="46">'[1]不动产比较法-商业'!$B$105:$M$105</definedName>
    <definedName name="商业建筑结构" localSheetId="19">'[2]不动产比较法-商业'!$B$105:$M$105</definedName>
    <definedName name="商业建筑结构">'不动产比较法-商业'!$B$105:$M$105</definedName>
    <definedName name="商业交易情况" localSheetId="46">'[1]不动产比较法-商业'!$A$61:$M$61</definedName>
    <definedName name="商业交易情况" localSheetId="19">'[2]不动产比较法-商业'!$A$61:$M$61</definedName>
    <definedName name="商业交易情况">'不动产比较法-商业'!$A$61:$M$61</definedName>
    <definedName name="商业街名称" localSheetId="46">[1]修正!$C$59:$C$119</definedName>
    <definedName name="商业街名称" localSheetId="19">[2]修正!$C$59:$C$119</definedName>
    <definedName name="商业街名称">修正!$C$59:$C$119</definedName>
    <definedName name="商业进深比" localSheetId="46">'[1]不动产比较法-商业'!$B$120:$M$120</definedName>
    <definedName name="商业进深比" localSheetId="19">'[2]不动产比较法-商业'!$B$120:$M$120</definedName>
    <definedName name="商业进深比">'不动产比较法-商业'!$B$120:$M$120</definedName>
    <definedName name="商业类型" localSheetId="46">'[1]不动产比较法-商业'!$B$100:$M$100</definedName>
    <definedName name="商业类型" localSheetId="19">'[2]不动产比较法-商业'!$B$100:$M$100</definedName>
    <definedName name="商业类型">'不动产比较法-商业'!$B$100:$M$100</definedName>
    <definedName name="商业临街状况" localSheetId="46">'[1]不动产比较法-商业'!$B$86:$M$86</definedName>
    <definedName name="商业临街状况" localSheetId="19">'[2]不动产比较法-商业'!$B$86:$M$86</definedName>
    <definedName name="商业临街状况">'不动产比较法-商业'!$B$86:$M$86</definedName>
    <definedName name="商业楼层" localSheetId="46">'[1]不动产比较法-商业'!$B$92:$M$92</definedName>
    <definedName name="商业楼层" localSheetId="19">'[2]不动产比较法-商业'!$B$92:$M$92</definedName>
    <definedName name="商业楼层">'不动产比较法-商业'!$B$92:$M$92</definedName>
    <definedName name="商业内部装修" localSheetId="46">'[1]不动产比较法-商业'!$B$122:$M$122</definedName>
    <definedName name="商业内部装修" localSheetId="19">'[2]不动产比较法-商业'!$B$122:$M$122</definedName>
    <definedName name="商业内部装修">'不动产比较法-商业'!$B$122:$M$122</definedName>
    <definedName name="商业人流量" localSheetId="46">'[1]不动产比较法-商业'!$B$90:$M$90</definedName>
    <definedName name="商业人流量" localSheetId="19">'[2]不动产比较法-商业'!$B$90:$M$90</definedName>
    <definedName name="商业人流量">'不动产比较法-商业'!$B$90:$M$90</definedName>
    <definedName name="商业业态" localSheetId="46">'[1]不动产比较法-商业'!$B$114:$M$114</definedName>
    <definedName name="商业业态" localSheetId="19">'[2]不动产比较法-商业'!$B$114:$M$114</definedName>
    <definedName name="商业业态">'不动产比较法-商业'!$B$114:$M$114</definedName>
    <definedName name="商业用途" localSheetId="46">'[1]不动产比较法-商业'!$B$63:$M$63</definedName>
    <definedName name="商业用途" localSheetId="19">'[2]不动产比较法-商业'!$B$63:$M$63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6">'[1]不动产比较法-仓储'!$B$89:$M$89</definedName>
    <definedName name="是否封闭" localSheetId="19">'[2]不动产比较法-仓储'!$B$89:$M$89</definedName>
    <definedName name="是否封闭">'不动产比较法-仓储'!$B$89:$M$89</definedName>
    <definedName name="是否直接入户" localSheetId="46">'[1]不动产比较法-车位'!$B$95:$M$95</definedName>
    <definedName name="是否直接入户" localSheetId="19">'[2]不动产比较法-车位'!$B$95:$M$95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 localSheetId="19">'[2]比较法-工业'!$B$116:$M$116</definedName>
    <definedName name="套工工程地质条件">'比较法-工业'!$B$116:$M$116</definedName>
    <definedName name="套工交易情况" localSheetId="46">'[1]比较法-住宅、综合'!$A$75:$M$75</definedName>
    <definedName name="套工交易情况" localSheetId="19">'[2]比较法-住宅、综合'!$A$75:$M$75</definedName>
    <definedName name="套工交易情况">'比较法-住宅、综合'!$A$75:$M$75</definedName>
    <definedName name="套工开发程度" localSheetId="46">'[1]比较法-工业'!$B$114:$M$114</definedName>
    <definedName name="套工开发程度" localSheetId="19">'[2]比较法-工业'!$B$114:$M$114</definedName>
    <definedName name="套工开发程度">'比较法-工业'!$B$114:$M$114</definedName>
    <definedName name="套工临街等级" localSheetId="46">'[1]比较法-工业'!$B$99:$M$99</definedName>
    <definedName name="套工临街等级" localSheetId="19">'[2]比较法-工业'!$B$99:$M$99</definedName>
    <definedName name="套工临街等级">'比较法-工业'!$B$99:$M$99</definedName>
    <definedName name="套工土地级别" localSheetId="46">'[1]比较法-工业'!$B$101:$M$101</definedName>
    <definedName name="套工土地级别" localSheetId="19">'[2]比较法-工业'!$B$101:$M$101</definedName>
    <definedName name="套工土地级别">'比较法-工业'!$B$101:$M$101</definedName>
    <definedName name="套工用途" localSheetId="46">'[1]比较法-工业'!$B$72:$M$72</definedName>
    <definedName name="套工用途" localSheetId="19">'[2]比较法-工业'!$B$72:$M$72</definedName>
    <definedName name="套工用途">'比较法-工业'!$B$72:$M$72</definedName>
    <definedName name="套工宗地形状" localSheetId="46">'[1]比较法-工业'!$B$112:$M$112</definedName>
    <definedName name="套工宗地形状" localSheetId="19">'[2]比较法-工业'!$B$112:$M$112</definedName>
    <definedName name="套工宗地形状">'比较法-工业'!$B$112:$M$112</definedName>
    <definedName name="套综道路等级" localSheetId="46">'[1]比较法-住宅、综合'!$B$108:$M$108</definedName>
    <definedName name="套综道路等级" localSheetId="19">'[2]比较法-住宅、综合'!$B$108:$M$108</definedName>
    <definedName name="套综道路等级">'比较法-住宅、综合'!$B$108:$M$108</definedName>
    <definedName name="套综工程地质条件" localSheetId="46">'[1]比较法-住宅、综合'!$B$127:$M$127</definedName>
    <definedName name="套综工程地质条件" localSheetId="19">'[2]比较法-住宅、综合'!$B$127:$M$127</definedName>
    <definedName name="套综工程地质条件">'比较法-住宅、综合'!$B$127:$M$127</definedName>
    <definedName name="套综交易情况" localSheetId="46">'[1]比较法-住宅、综合'!$A$75:$M$75</definedName>
    <definedName name="套综交易情况" localSheetId="19">'[2]比较法-住宅、综合'!$A$75:$M$75</definedName>
    <definedName name="套综交易情况">'比较法-住宅、综合'!$A$75:$M$75</definedName>
    <definedName name="套综临街宽度及深度" localSheetId="46">'[1]比较法-住宅、综合'!$B$123:$M$123</definedName>
    <definedName name="套综临街宽度及深度" localSheetId="19">'[2]比较法-住宅、综合'!$B$123:$M$123</definedName>
    <definedName name="套综临街宽度及深度">'比较法-住宅、综合'!$B$123:$M$123</definedName>
    <definedName name="套综土地级别" localSheetId="46">'[1]比较法-住宅、综合'!$B$110:$M$110</definedName>
    <definedName name="套综土地级别" localSheetId="19">'[2]比较法-住宅、综合'!$B$110:$M$110</definedName>
    <definedName name="套综土地级别">'比较法-住宅、综合'!$B$110:$M$110</definedName>
    <definedName name="套综用途" localSheetId="46">'[1]比较法-住宅、综合'!$B$77:$M$77</definedName>
    <definedName name="套综用途" localSheetId="19">'[2]比较法-住宅、综合'!$B$77:$M$77</definedName>
    <definedName name="套综用途">'比较法-住宅、综合'!$B$77:$M$77</definedName>
    <definedName name="套综宗地内开发程度" localSheetId="46">'[1]比较法-住宅、综合'!$B$125:$M$125</definedName>
    <definedName name="套综宗地内开发程度" localSheetId="19">'[2]比较法-住宅、综合'!$B$125:$M$125</definedName>
    <definedName name="套综宗地内开发程度">'比较法-住宅、综合'!$B$125:$M$125</definedName>
    <definedName name="套综宗地形状" localSheetId="46">'[1]比较法-住宅、综合'!$B$121:$M$121</definedName>
    <definedName name="套综宗地形状" localSheetId="19">'[2]比较法-住宅、综合'!$B$121:$M$121</definedName>
    <definedName name="套综宗地形状">'比较法-住宅、综合'!$B$121:$M$121</definedName>
    <definedName name="土地估价师" localSheetId="46">[1]估价师及机构信息!$D$3:$D$24</definedName>
    <definedName name="土地估价师" localSheetId="19">[2]估价师及机构信息!$D$3:$D$24</definedName>
    <definedName name="土地估价师">估价师及机构信息!$D$3:$D$24</definedName>
    <definedName name="土地级别" localSheetId="46">[1]定义!$C$1:$C$14</definedName>
    <definedName name="土地级别" localSheetId="19">[2]定义!$C$1:$C$14</definedName>
    <definedName name="土地级别">定义!$C$1:$C$14</definedName>
    <definedName name="土地利用方向">定义!$P$1:$P$6</definedName>
    <definedName name="土地年限区间" localSheetId="46">[1]定义!$I$1:$I$8</definedName>
    <definedName name="土地年限区间" localSheetId="19">[2]定义!$I$1:$I$8</definedName>
    <definedName name="土地年限区间">定义!$I$1:$I$8</definedName>
    <definedName name="位置" localSheetId="46">[1]定义!$E$2:$E$4</definedName>
    <definedName name="位置" localSheetId="19">[2]定义!$E$2:$E$4</definedName>
    <definedName name="位置">定义!$E$2:$E$4</definedName>
    <definedName name="五等判定" localSheetId="46">[1]定义!$W$1:$W$6</definedName>
    <definedName name="五等判定" localSheetId="19">[2]定义!$W$1:$W$6</definedName>
    <definedName name="五等判定">定义!$W$1:$W$6</definedName>
    <definedName name="五级">区片价!$M$1:$M$35</definedName>
    <definedName name="项目类型" localSheetId="46">'[1]数据-汇总表'!$C$17:$C$26</definedName>
    <definedName name="项目类型" localSheetId="19">'[2]数据-汇总表'!$C$17:$C$26</definedName>
    <definedName name="项目类型">'数据-汇总表'!$C$17:$C$26</definedName>
    <definedName name="写字楼等级" localSheetId="46">'[1]不动产比较法-办公'!$B$113:$M$113</definedName>
    <definedName name="写字楼等级" localSheetId="19">'[2]不动产比较法-办公'!$B$113:$M$113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 localSheetId="19">[2]典型户型修正!$5:$5</definedName>
    <definedName name="一修多修正项2">典型户型修正!$5:$5</definedName>
    <definedName name="一修多修正项3" localSheetId="46">[1]典型户型修正!$7:$7</definedName>
    <definedName name="一修多修正项3" localSheetId="19">[2]典型户型修正!$7:$7</definedName>
    <definedName name="一修多修正项3">典型户型修正!$7:$7</definedName>
    <definedName name="一修多修正项4" localSheetId="46">[1]典型户型修正!$9:$9</definedName>
    <definedName name="一修多修正项4" localSheetId="19">[2]典型户型修正!$9:$9</definedName>
    <definedName name="一修多修正项4">典型户型修正!$9:$9</definedName>
    <definedName name="一修多修正项5" localSheetId="46">[1]典型户型修正!$11:$11</definedName>
    <definedName name="一修多修正项5" localSheetId="19">[2]典型户型修正!$11:$11</definedName>
    <definedName name="一修多修正项5">典型户型修正!$11:$11</definedName>
    <definedName name="一修多修正项6" localSheetId="46">[1]典型户型修正!$13:$13</definedName>
    <definedName name="一修多修正项6" localSheetId="19">[2]典型户型修正!$13:$13</definedName>
    <definedName name="一修多修正项6">典型户型修正!$13:$13</definedName>
    <definedName name="一修多修正项7" localSheetId="46">[1]典型户型修正!$15:$15</definedName>
    <definedName name="一修多修正项7" localSheetId="19">[2]典型户型修正!$15:$15</definedName>
    <definedName name="一修多修正项7">典型户型修正!$15:$15</definedName>
    <definedName name="一修多修正项8" localSheetId="46">[1]典型户型修正!$17:$17</definedName>
    <definedName name="一修多修正项8" localSheetId="19">[2]典型户型修正!$17:$17</definedName>
    <definedName name="一修多修正项8">典型户型修正!$17:$17</definedName>
    <definedName name="用途类型" localSheetId="46">[1]定义!$A$1:$A$50</definedName>
    <definedName name="用途类型" localSheetId="19">[2]定义!$A$1:$A$50</definedName>
    <definedName name="用途类型">定义!$A$1:$A$50</definedName>
    <definedName name="有无电梯" localSheetId="46">'[1]不动产比较法-仓储'!$B$84:$M$84</definedName>
    <definedName name="有无电梯" localSheetId="19">'[2]不动产比较法-仓储'!$B$84:$M$84</definedName>
    <definedName name="有无电梯">'不动产比较法-仓储'!$B$84:$M$84</definedName>
    <definedName name="主用途" localSheetId="46">[1]定义!$F$1:$F$10</definedName>
    <definedName name="主用途" localSheetId="19">[2]定义!$F$1:$F$10</definedName>
    <definedName name="主用途">定义!$F$1:$F$10</definedName>
    <definedName name="住宅朝向" localSheetId="46">'[1]不动产比较法-住宅'!$B$88:$M$88</definedName>
    <definedName name="住宅朝向" localSheetId="19">'[2]不动产比较法-住宅'!$B$88:$M$88</definedName>
    <definedName name="住宅朝向">'不动产比较法-住宅'!$B$88:$M$88</definedName>
    <definedName name="住宅房型" localSheetId="46">'[1]不动产比较法-住宅'!$B$118:$M$118</definedName>
    <definedName name="住宅房型" localSheetId="19">'[2]不动产比较法-住宅'!$B$118:$M$118</definedName>
    <definedName name="住宅房型">'不动产比较法-住宅'!$B$118:$M$118</definedName>
    <definedName name="住宅公共部分装修" localSheetId="46">'[1]不动产比较法-住宅'!$B$109:$M$109</definedName>
    <definedName name="住宅公共部分装修" localSheetId="19">'[2]不动产比较法-住宅'!$B$109:$M$109</definedName>
    <definedName name="住宅公共部分装修">'不动产比较法-住宅'!$B$109:$M$109</definedName>
    <definedName name="住宅基础设施水平" localSheetId="46">'[1]不动产比较法-住宅'!$B$116:$M$116</definedName>
    <definedName name="住宅基础设施水平" localSheetId="19">'[2]不动产比较法-住宅'!$B$116:$M$116</definedName>
    <definedName name="住宅基础设施水平">'不动产比较法-住宅'!$B$116:$M$116</definedName>
    <definedName name="住宅建筑结构" localSheetId="46">'[1]不动产比较法-住宅'!$B$105:$M$105</definedName>
    <definedName name="住宅建筑结构" localSheetId="19">'[2]不动产比较法-住宅'!$B$105:$M$105</definedName>
    <definedName name="住宅建筑结构">'不动产比较法-住宅'!$B$105:$M$105</definedName>
    <definedName name="住宅建筑类型" localSheetId="46">'[1]不动产比较法-住宅'!$B$100:$M$100</definedName>
    <definedName name="住宅建筑类型" localSheetId="19">'[2]不动产比较法-住宅'!$B$100:$M$100</definedName>
    <definedName name="住宅建筑类型">'不动产比较法-住宅'!$B$100:$M$100</definedName>
    <definedName name="住宅建筑品质" localSheetId="46">'[1]不动产比较法-住宅'!$B$107:$M$107</definedName>
    <definedName name="住宅建筑品质" localSheetId="19">'[2]不动产比较法-住宅'!$B$107:$M$107</definedName>
    <definedName name="住宅建筑品质">'不动产比较法-住宅'!$B$107:$M$107</definedName>
    <definedName name="住宅交易情况" localSheetId="46">'[1]不动产比较法-住宅'!$A$61:$M$61</definedName>
    <definedName name="住宅交易情况" localSheetId="19">'[2]不动产比较法-住宅'!$A$61:$M$61</definedName>
    <definedName name="住宅交易情况">'不动产比较法-住宅'!$A$61:$M$61</definedName>
    <definedName name="住宅楼层" localSheetId="46">'[1]不动产比较法-住宅'!$B$86:$M$86</definedName>
    <definedName name="住宅楼层" localSheetId="19">'[2]不动产比较法-住宅'!$B$86:$M$86</definedName>
    <definedName name="住宅楼层">'不动产比较法-住宅'!$B$86:$M$86</definedName>
    <definedName name="住宅内部装修" localSheetId="46">'[1]不动产比较法-住宅'!$B$122:$M$122</definedName>
    <definedName name="住宅内部装修" localSheetId="19">'[2]不动产比较法-住宅'!$B$122:$M$122</definedName>
    <definedName name="住宅内部装修">'不动产比较法-住宅'!$B$122:$M$122</definedName>
    <definedName name="住宅物业管理" localSheetId="46">'[1]不动产比较法-住宅'!$B$114:$M$114</definedName>
    <definedName name="住宅物业管理" localSheetId="19">'[2]不动产比较法-住宅'!$B$114:$M$114</definedName>
    <definedName name="住宅物业管理">'不动产比较法-住宅'!$B$114:$M$114</definedName>
    <definedName name="住宅用途" localSheetId="46">'[1]不动产比较法-住宅'!$B$63:$M$63</definedName>
    <definedName name="住宅用途" localSheetId="19">'[2]不动产比较法-住宅'!$B$63:$M$63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7" i="73" l="1"/>
  <c r="J7" i="73"/>
  <c r="H7" i="73"/>
  <c r="M6" i="73"/>
  <c r="J6" i="73"/>
  <c r="H6" i="73"/>
  <c r="O6" i="73"/>
  <c r="Q6" i="73"/>
  <c r="C25" i="12"/>
  <c r="D9" i="74"/>
  <c r="E9" i="74"/>
  <c r="E7" i="74"/>
  <c r="D8" i="73"/>
  <c r="D9" i="73"/>
  <c r="C8" i="12"/>
  <c r="A3" i="3"/>
  <c r="D7" i="74"/>
  <c r="K12" i="75"/>
  <c r="E17" i="75"/>
  <c r="K5" i="75"/>
  <c r="F15" i="75"/>
  <c r="D15" i="75"/>
  <c r="X26" i="59"/>
  <c r="Y26" i="59"/>
  <c r="Z26" i="59"/>
  <c r="AA26" i="59"/>
  <c r="AB26"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H8" i="59"/>
  <c r="AG8" i="59"/>
  <c r="AF8" i="59"/>
  <c r="AE8" i="59"/>
  <c r="AD8" i="59"/>
  <c r="AA8" i="59"/>
  <c r="Q8" i="59"/>
  <c r="AB8" i="59"/>
  <c r="P8" i="59"/>
  <c r="O8" i="59"/>
  <c r="Y8" i="59"/>
  <c r="Z8" i="59"/>
  <c r="N8" i="59"/>
  <c r="X8" i="59"/>
  <c r="F8" i="59"/>
  <c r="F7" i="59"/>
  <c r="E8" i="59"/>
  <c r="B8" i="59"/>
  <c r="B7" i="59"/>
  <c r="AH7" i="59"/>
  <c r="AG7" i="59"/>
  <c r="AE7" i="59"/>
  <c r="AF7" i="59"/>
  <c r="AD7" i="59"/>
  <c r="AB7" i="59"/>
  <c r="Q7" i="59"/>
  <c r="P7" i="59"/>
  <c r="AA7" i="59"/>
  <c r="O7" i="59"/>
  <c r="Y7" i="59"/>
  <c r="Z7" i="59"/>
  <c r="N7" i="59"/>
  <c r="X7" i="59"/>
  <c r="E7" i="59"/>
  <c r="U7" i="59"/>
  <c r="AH6" i="59"/>
  <c r="AG6" i="59"/>
  <c r="AF6" i="59"/>
  <c r="AE6" i="59"/>
  <c r="AD6" i="59"/>
  <c r="AA6" i="59"/>
  <c r="Q6" i="59"/>
  <c r="AB6" i="59"/>
  <c r="P6" i="59"/>
  <c r="O6" i="59"/>
  <c r="Y6" i="59"/>
  <c r="Z6" i="59"/>
  <c r="N6" i="59"/>
  <c r="X6" i="59"/>
  <c r="AH5" i="59"/>
  <c r="AG5" i="59"/>
  <c r="AE5" i="59"/>
  <c r="AF5" i="59"/>
  <c r="AD5" i="59"/>
  <c r="AB5" i="59"/>
  <c r="Q5" i="59"/>
  <c r="P5" i="59"/>
  <c r="AA5" i="59"/>
  <c r="O5" i="59"/>
  <c r="Y5" i="59"/>
  <c r="Z5" i="59"/>
  <c r="N5" i="59"/>
  <c r="X5" i="59"/>
  <c r="S7" i="59"/>
  <c r="B6" i="59"/>
  <c r="B5" i="59"/>
  <c r="V7" i="59"/>
  <c r="F6" i="59"/>
  <c r="F5" i="59"/>
  <c r="E6" i="59"/>
  <c r="E5" i="59"/>
  <c r="C8" i="59"/>
  <c r="D8" i="59"/>
  <c r="C7" i="59"/>
  <c r="T7" i="59"/>
  <c r="D7" i="59"/>
  <c r="C6" i="59"/>
  <c r="D6" i="59"/>
  <c r="C5" i="59"/>
  <c r="D5" i="59"/>
  <c r="P17" i="72"/>
  <c r="G10" i="72"/>
  <c r="N10" i="72"/>
  <c r="G12" i="72"/>
  <c r="N12" i="72"/>
  <c r="C16" i="72"/>
  <c r="C18" i="72"/>
  <c r="M12" i="72"/>
  <c r="M13" i="72"/>
  <c r="M14" i="72"/>
  <c r="C12" i="75"/>
  <c r="J12" i="75"/>
  <c r="C10" i="75"/>
  <c r="J10" i="75"/>
  <c r="C9" i="75"/>
  <c r="J9" i="75"/>
  <c r="J6" i="75"/>
  <c r="J5" i="75"/>
  <c r="J4" i="75"/>
  <c r="F6" i="75"/>
  <c r="F5" i="75"/>
  <c r="F4" i="75"/>
  <c r="E6" i="75"/>
  <c r="E5" i="75"/>
  <c r="E4" i="75"/>
  <c r="D6" i="75"/>
  <c r="D5" i="75"/>
  <c r="D4" i="75"/>
  <c r="C6" i="75"/>
  <c r="C5" i="75"/>
  <c r="C4" i="75"/>
  <c r="F17" i="75"/>
  <c r="D17" i="75"/>
  <c r="I16" i="75"/>
  <c r="F16" i="75"/>
  <c r="D16" i="75"/>
  <c r="H45" i="73"/>
  <c r="I45" i="73"/>
  <c r="H47" i="73"/>
  <c r="I47" i="73"/>
  <c r="F47" i="73"/>
  <c r="F49" i="73"/>
  <c r="D46" i="73"/>
  <c r="H46" i="73"/>
  <c r="I46" i="73"/>
  <c r="E45" i="73"/>
  <c r="E47" i="73"/>
  <c r="F48" i="73"/>
  <c r="E11" i="74"/>
  <c r="I13" i="73"/>
  <c r="I12" i="73"/>
  <c r="K12" i="73"/>
  <c r="K13" i="73"/>
  <c r="N7" i="73"/>
  <c r="N6" i="73"/>
  <c r="N12" i="73"/>
  <c r="H16" i="75"/>
  <c r="N13" i="73"/>
  <c r="H17" i="75"/>
  <c r="D15" i="73"/>
  <c r="B20" i="1"/>
  <c r="Q6" i="1"/>
  <c r="L6" i="1"/>
  <c r="K5" i="73"/>
  <c r="K11" i="73"/>
  <c r="I11" i="73"/>
  <c r="D5" i="9"/>
  <c r="H13" i="73"/>
  <c r="J13" i="73"/>
  <c r="J30" i="73"/>
  <c r="H30" i="73"/>
  <c r="O30" i="73"/>
  <c r="O13" i="73"/>
  <c r="G70" i="46"/>
  <c r="G71" i="46"/>
  <c r="G72" i="46"/>
  <c r="G73" i="46"/>
  <c r="G74" i="46"/>
  <c r="G75" i="46"/>
  <c r="G76" i="46"/>
  <c r="G77" i="46"/>
  <c r="G69" i="46"/>
  <c r="E16" i="72"/>
  <c r="D16" i="72"/>
  <c r="B3" i="72"/>
  <c r="D3" i="72"/>
  <c r="B2" i="72"/>
  <c r="B4" i="72"/>
  <c r="D2" i="72"/>
  <c r="D4" i="72"/>
  <c r="C4" i="72"/>
  <c r="B3" i="4"/>
  <c r="B11" i="71"/>
  <c r="C11" i="71"/>
  <c r="D11" i="71"/>
  <c r="B12" i="71"/>
  <c r="C12" i="71"/>
  <c r="D12" i="71"/>
  <c r="B10" i="71"/>
  <c r="C10" i="71"/>
  <c r="D10" i="71"/>
  <c r="D4" i="71"/>
  <c r="D5" i="71"/>
  <c r="D3" i="71"/>
  <c r="D14" i="71"/>
  <c r="D7" i="71"/>
  <c r="A6" i="1"/>
  <c r="A7" i="1"/>
  <c r="A8" i="1"/>
  <c r="A9" i="1"/>
  <c r="G1" i="70"/>
  <c r="K9" i="1"/>
  <c r="M9" i="1"/>
  <c r="O9" i="1"/>
  <c r="P9" i="1"/>
  <c r="C1" i="65"/>
  <c r="N1" i="65"/>
  <c r="B43" i="1"/>
  <c r="B41" i="1"/>
  <c r="F32" i="70"/>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A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20" i="6"/>
  <c r="BA13" i="3"/>
  <c r="BA14" i="3"/>
  <c r="BA15" i="3"/>
  <c r="BA16"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c r="G19" i="69"/>
  <c r="N11" i="59"/>
  <c r="B11" i="59"/>
  <c r="N10" i="59"/>
  <c r="B10" i="59"/>
  <c r="N9" i="59"/>
  <c r="B9" i="59"/>
  <c r="O11" i="59"/>
  <c r="C11" i="59"/>
  <c r="O10" i="59"/>
  <c r="C10" i="59"/>
  <c r="O9" i="59"/>
  <c r="C9" i="59"/>
  <c r="P11" i="59"/>
  <c r="E11" i="59"/>
  <c r="P10" i="59"/>
  <c r="E10" i="59"/>
  <c r="P9" i="59"/>
  <c r="E9" i="59"/>
  <c r="Q11" i="59"/>
  <c r="F11" i="59"/>
  <c r="Q10" i="59"/>
  <c r="F10" i="59"/>
  <c r="Q9" i="59"/>
  <c r="F9" i="59"/>
  <c r="D9" i="59"/>
  <c r="D10" i="59"/>
  <c r="D11" i="59"/>
  <c r="D12" i="59"/>
  <c r="N15" i="59"/>
  <c r="B15" i="59"/>
  <c r="N14" i="59"/>
  <c r="B14" i="59"/>
  <c r="N13" i="59"/>
  <c r="B13" i="59"/>
  <c r="O15" i="59"/>
  <c r="C15" i="59"/>
  <c r="O14" i="59"/>
  <c r="C14" i="59"/>
  <c r="O13" i="59"/>
  <c r="C13" i="59"/>
  <c r="D13" i="59"/>
  <c r="P15" i="59"/>
  <c r="E15" i="59"/>
  <c r="P14" i="59"/>
  <c r="E14" i="59"/>
  <c r="P13" i="59"/>
  <c r="E13" i="59"/>
  <c r="Q15" i="59"/>
  <c r="F15" i="59"/>
  <c r="Q14" i="59"/>
  <c r="F14" i="59"/>
  <c r="Q13" i="59"/>
  <c r="F13" i="59"/>
  <c r="D14" i="59"/>
  <c r="D15" i="59"/>
  <c r="D16" i="59"/>
  <c r="N16" i="59"/>
  <c r="B17" i="59"/>
  <c r="O16" i="59"/>
  <c r="C17" i="59"/>
  <c r="D17" i="59"/>
  <c r="P16" i="59"/>
  <c r="E17" i="59"/>
  <c r="Q16" i="59"/>
  <c r="F17" i="59"/>
  <c r="N17" i="59"/>
  <c r="B18" i="59"/>
  <c r="O17" i="59"/>
  <c r="C18" i="59"/>
  <c r="D18" i="59"/>
  <c r="P17" i="59"/>
  <c r="E18" i="59"/>
  <c r="Q17" i="59"/>
  <c r="F18" i="59"/>
  <c r="N18" i="59"/>
  <c r="B19" i="59"/>
  <c r="O18" i="59"/>
  <c r="C19" i="59"/>
  <c r="D19" i="59"/>
  <c r="P18" i="59"/>
  <c r="E19" i="59"/>
  <c r="Q18" i="59"/>
  <c r="F19" i="59"/>
  <c r="D20" i="59"/>
  <c r="N20" i="59"/>
  <c r="B21" i="59"/>
  <c r="O20" i="59"/>
  <c r="C21" i="59"/>
  <c r="D21" i="59"/>
  <c r="P20" i="59"/>
  <c r="E21" i="59"/>
  <c r="Q20" i="59"/>
  <c r="F21" i="59"/>
  <c r="N21" i="59"/>
  <c r="B22" i="59"/>
  <c r="O21" i="59"/>
  <c r="C22" i="59"/>
  <c r="D22" i="59"/>
  <c r="P21" i="59"/>
  <c r="E22" i="59"/>
  <c r="Q21" i="59"/>
  <c r="F22" i="59"/>
  <c r="N22" i="59"/>
  <c r="B23" i="59"/>
  <c r="O22" i="59"/>
  <c r="C23" i="59"/>
  <c r="D23" i="59"/>
  <c r="P22" i="59"/>
  <c r="E23" i="59"/>
  <c r="Q22" i="59"/>
  <c r="F23" i="59"/>
  <c r="D24" i="59"/>
  <c r="N24" i="59"/>
  <c r="B25" i="59"/>
  <c r="O24" i="59"/>
  <c r="C25" i="59"/>
  <c r="D25" i="59"/>
  <c r="P24" i="59"/>
  <c r="E25" i="59"/>
  <c r="Q24" i="59"/>
  <c r="F25" i="59"/>
  <c r="N25" i="59"/>
  <c r="B26" i="59"/>
  <c r="O25" i="59"/>
  <c r="C26" i="59"/>
  <c r="D26" i="59"/>
  <c r="P25" i="59"/>
  <c r="E26" i="59"/>
  <c r="Q25" i="59"/>
  <c r="F26" i="59"/>
  <c r="N26" i="59"/>
  <c r="B27" i="59"/>
  <c r="O26" i="59"/>
  <c r="C27" i="59"/>
  <c r="D27" i="59"/>
  <c r="P26" i="59"/>
  <c r="E27" i="59"/>
  <c r="Q26" i="59"/>
  <c r="F27" i="59"/>
  <c r="M20" i="69"/>
  <c r="M19" i="69"/>
  <c r="N12" i="59"/>
  <c r="N19" i="59"/>
  <c r="N23" i="59"/>
  <c r="X3" i="59"/>
  <c r="O12" i="59"/>
  <c r="O19" i="59"/>
  <c r="O23" i="59"/>
  <c r="Y3" i="59"/>
  <c r="Z3" i="59"/>
  <c r="P12" i="59"/>
  <c r="P19" i="59"/>
  <c r="P23" i="59"/>
  <c r="AA3" i="59"/>
  <c r="Q12" i="59"/>
  <c r="Q19" i="59"/>
  <c r="Q23" i="59"/>
  <c r="AB3" i="59"/>
  <c r="N27" i="59"/>
  <c r="O27" i="59"/>
  <c r="P27" i="59"/>
  <c r="Q27" i="59"/>
  <c r="J20" i="69"/>
  <c r="F19" i="4"/>
  <c r="F8" i="1"/>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2" i="68"/>
  <c r="H113" i="68"/>
  <c r="F113" i="68"/>
  <c r="N99" i="68"/>
  <c r="N108" i="68"/>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J20" i="68"/>
  <c r="E19" i="4"/>
  <c r="F7" i="1"/>
  <c r="I20" i="68"/>
  <c r="C24" i="68"/>
  <c r="F39" i="68"/>
  <c r="H39" i="68"/>
  <c r="F38" i="68"/>
  <c r="H38" i="68"/>
  <c r="F37" i="68"/>
  <c r="H37" i="68"/>
  <c r="D5" i="68"/>
  <c r="F36" i="68"/>
  <c r="H36" i="68"/>
  <c r="F35" i="68"/>
  <c r="H35" i="68"/>
  <c r="F34" i="68"/>
  <c r="H34" i="68"/>
  <c r="F33" i="68"/>
  <c r="H33" i="68"/>
  <c r="C18"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c r="O7" i="1"/>
  <c r="K8" i="1"/>
  <c r="M8" i="1"/>
  <c r="O8" i="1"/>
  <c r="K10" i="1"/>
  <c r="M10" i="1"/>
  <c r="O10" i="1"/>
  <c r="K11" i="1"/>
  <c r="M11" i="1"/>
  <c r="O11" i="1"/>
  <c r="K12" i="1"/>
  <c r="M12" i="1"/>
  <c r="O12" i="1"/>
  <c r="K13" i="1"/>
  <c r="M13" i="1"/>
  <c r="O13" i="1"/>
  <c r="P13" i="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M18" i="3"/>
  <c r="BN18" i="3"/>
  <c r="BO18" i="3"/>
  <c r="BP18" i="3"/>
  <c r="BL18" i="3"/>
  <c r="AZ18" i="3"/>
  <c r="BM19" i="3"/>
  <c r="BN19" i="3"/>
  <c r="BO19" i="3"/>
  <c r="BP19" i="3"/>
  <c r="BL19" i="3"/>
  <c r="AZ19" i="3"/>
  <c r="BM20" i="3"/>
  <c r="BN20" i="3"/>
  <c r="BO20" i="3"/>
  <c r="BP20" i="3"/>
  <c r="BM21" i="3"/>
  <c r="BN21" i="3"/>
  <c r="BL21" i="3"/>
  <c r="AZ21" i="3"/>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J20" i="46"/>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G19" i="46"/>
  <c r="M20" i="46"/>
  <c r="M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c r="K99" i="46"/>
  <c r="K108" i="46"/>
  <c r="K100" i="46"/>
  <c r="E22" i="46"/>
  <c r="F33" i="46"/>
  <c r="C10" i="46"/>
  <c r="C11" i="46"/>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V11" i="59"/>
  <c r="U11" i="59"/>
  <c r="S11" i="59"/>
  <c r="S2" i="31"/>
  <c r="M2" i="31"/>
  <c r="N2" i="31"/>
  <c r="O2" i="31"/>
  <c r="P2" i="31"/>
  <c r="Q2" i="31"/>
  <c r="R2" i="31"/>
  <c r="C3" i="65"/>
  <c r="T11"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U27" i="59"/>
  <c r="S27" i="59"/>
  <c r="U23" i="59"/>
  <c r="S23" i="59"/>
  <c r="S19" i="59"/>
  <c r="U19" i="59"/>
  <c r="B38" i="59"/>
  <c r="B39" i="59"/>
  <c r="S39" i="59"/>
  <c r="E38" i="59"/>
  <c r="E39" i="59"/>
  <c r="U39" i="59"/>
  <c r="S55" i="59"/>
  <c r="V19" i="59"/>
  <c r="V23" i="59"/>
  <c r="V27" i="59"/>
  <c r="F30" i="59"/>
  <c r="F31" i="59"/>
  <c r="V31" i="59"/>
  <c r="F34" i="59"/>
  <c r="F35" i="59"/>
  <c r="V35" i="59"/>
  <c r="F42" i="59"/>
  <c r="F43" i="59"/>
  <c r="V43" i="59"/>
  <c r="F46" i="59"/>
  <c r="F47" i="59"/>
  <c r="V47" i="59"/>
  <c r="F50" i="59"/>
  <c r="F51" i="59"/>
  <c r="V51"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51" i="59"/>
  <c r="D50" i="59"/>
  <c r="D46" i="59"/>
  <c r="C47" i="59"/>
  <c r="C43" i="59"/>
  <c r="D42" i="59"/>
  <c r="C39" i="59"/>
  <c r="D38" i="59"/>
  <c r="C31" i="59"/>
  <c r="D30" i="59"/>
  <c r="N16" i="4"/>
  <c r="L16" i="4"/>
  <c r="T47" i="59"/>
  <c r="D47" i="59"/>
  <c r="T19" i="59"/>
  <c r="T27" i="59"/>
  <c r="T31" i="59"/>
  <c r="D31" i="59"/>
  <c r="T39" i="59"/>
  <c r="D39" i="59"/>
  <c r="T43" i="59"/>
  <c r="D43" i="59"/>
  <c r="T51" i="59"/>
  <c r="D51" i="59"/>
  <c r="T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c r="K87" i="46"/>
  <c r="J87" i="46"/>
  <c r="M86" i="46"/>
  <c r="N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c r="J74" i="46"/>
  <c r="M73" i="46"/>
  <c r="K73" i="46"/>
  <c r="J73" i="46"/>
  <c r="M72" i="46"/>
  <c r="N72" i="46"/>
  <c r="K72" i="46"/>
  <c r="D72" i="46"/>
  <c r="M71" i="46"/>
  <c r="N71" i="46"/>
  <c r="K71" i="46"/>
  <c r="J71" i="46"/>
  <c r="M70" i="46"/>
  <c r="D70" i="46"/>
  <c r="K70" i="46"/>
  <c r="J70" i="46"/>
  <c r="M69" i="46"/>
  <c r="N69" i="46"/>
  <c r="D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B23" i="52"/>
  <c r="N12" i="46"/>
  <c r="A7" i="46"/>
  <c r="F41" i="4"/>
  <c r="J52" i="40"/>
  <c r="H61" i="49"/>
  <c r="D38" i="4"/>
  <c r="C39" i="4"/>
  <c r="C35" i="4"/>
  <c r="C43" i="9"/>
  <c r="K47" i="9"/>
  <c r="B65" i="63"/>
  <c r="I73" i="9"/>
  <c r="F73" i="9"/>
  <c r="P73" i="9"/>
  <c r="D107" i="9"/>
  <c r="C107" i="9"/>
  <c r="C105" i="9"/>
  <c r="C110" i="9"/>
  <c r="C17" i="9"/>
  <c r="D17"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B6" i="63"/>
  <c r="L5" i="54"/>
  <c r="B39" i="63"/>
  <c r="K5" i="54"/>
  <c r="B38" i="63"/>
  <c r="T41" i="4"/>
  <c r="A17" i="64"/>
  <c r="B46" i="50"/>
  <c r="B4" i="63"/>
  <c r="C46" i="36"/>
  <c r="D46" i="36"/>
  <c r="C59" i="34"/>
  <c r="D59" i="34"/>
  <c r="C48" i="35"/>
  <c r="D48" i="35"/>
  <c r="C52" i="37"/>
  <c r="D52" i="37"/>
  <c r="E52" i="37"/>
  <c r="F52" i="37"/>
  <c r="G52" i="37"/>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AE11" i="46"/>
  <c r="AE13" i="46"/>
  <c r="AJ11" i="46"/>
  <c r="AJ13" i="46"/>
  <c r="S6" i="46"/>
  <c r="S5" i="46"/>
  <c r="AF11" i="46"/>
  <c r="AF13" i="46"/>
  <c r="S2" i="46"/>
  <c r="AI11" i="46"/>
  <c r="AI13" i="46"/>
  <c r="AA11" i="46"/>
  <c r="AA13" i="46"/>
  <c r="S3" i="46"/>
  <c r="S7" i="46"/>
  <c r="AH11" i="46"/>
  <c r="AH13" i="46"/>
  <c r="AD11" i="46"/>
  <c r="AD13" i="46"/>
  <c r="Z11" i="46"/>
  <c r="Z13" i="46"/>
  <c r="S4" i="46"/>
  <c r="Y11" i="46"/>
  <c r="Y13" i="46"/>
  <c r="AG11" i="46"/>
  <c r="AG13" i="46"/>
  <c r="AC11" i="46"/>
  <c r="AC13" i="46"/>
  <c r="N101" i="46"/>
  <c r="N109" i="46"/>
  <c r="Z7" i="46"/>
  <c r="H101" i="46"/>
  <c r="H104" i="46"/>
  <c r="M101" i="46"/>
  <c r="M107" i="46"/>
  <c r="L101" i="46"/>
  <c r="L106" i="46"/>
  <c r="I101" i="46"/>
  <c r="I102"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H70" i="46"/>
  <c r="H72" i="46"/>
  <c r="A9" i="64"/>
  <c r="A9" i="51"/>
  <c r="B9" i="63"/>
  <c r="A25" i="51"/>
  <c r="B18" i="63"/>
  <c r="A3" i="55"/>
  <c r="B56" i="63"/>
  <c r="E48" i="35"/>
  <c r="F48" i="35"/>
  <c r="G66" i="36"/>
  <c r="J18" i="36"/>
  <c r="AE8" i="1"/>
  <c r="AE7" i="1"/>
  <c r="AE6" i="1"/>
  <c r="W18" i="36"/>
  <c r="AC18" i="36"/>
  <c r="D12" i="11"/>
  <c r="C12" i="11"/>
  <c r="L20" i="6"/>
  <c r="F7" i="21"/>
  <c r="AA7" i="21"/>
  <c r="R48" i="21"/>
  <c r="E48" i="21"/>
  <c r="J7" i="21"/>
  <c r="H7" i="21"/>
  <c r="AB7" i="21"/>
  <c r="J22" i="46"/>
  <c r="AC7" i="21"/>
  <c r="V48" i="21"/>
  <c r="I48" i="21"/>
  <c r="W7" i="21"/>
  <c r="T48" i="21"/>
  <c r="G48" i="2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BA20" i="3"/>
  <c r="E8" i="6"/>
  <c r="E58" i="39"/>
  <c r="M105" i="46"/>
  <c r="I4" i="6"/>
  <c r="BA5" i="3"/>
  <c r="I103" i="46"/>
  <c r="P10" i="1"/>
  <c r="P7" i="1"/>
  <c r="I20" i="46"/>
  <c r="G6" i="1"/>
  <c r="AP6" i="1"/>
  <c r="I52" i="21"/>
  <c r="J52" i="21"/>
  <c r="I53" i="21"/>
  <c r="J53" i="21"/>
  <c r="E53" i="21"/>
  <c r="F53" i="21"/>
  <c r="E52" i="21"/>
  <c r="F52" i="21"/>
  <c r="G52" i="21"/>
  <c r="H52" i="21"/>
  <c r="G53" i="21"/>
  <c r="H53" i="21"/>
  <c r="R49" i="21"/>
  <c r="S7" i="21"/>
  <c r="U7" i="21"/>
  <c r="G48" i="35"/>
  <c r="H48" i="35"/>
  <c r="I48" i="35"/>
  <c r="J48" i="35"/>
  <c r="K48" i="35"/>
  <c r="L48" i="35"/>
  <c r="M48" i="35"/>
  <c r="N48" i="35"/>
  <c r="O48" i="35"/>
  <c r="H7" i="35"/>
  <c r="E59" i="34"/>
  <c r="F59" i="34"/>
  <c r="G59" i="34"/>
  <c r="H59" i="34"/>
  <c r="I59" i="34"/>
  <c r="J59" i="34"/>
  <c r="K59" i="34"/>
  <c r="L59" i="34"/>
  <c r="M59" i="34"/>
  <c r="N59" i="34"/>
  <c r="O59" i="34"/>
  <c r="J7" i="34"/>
  <c r="H7" i="34"/>
  <c r="F7" i="34"/>
  <c r="C72" i="39"/>
  <c r="D70" i="39"/>
  <c r="G8" i="1"/>
  <c r="I20" i="69"/>
  <c r="AP8" i="1"/>
  <c r="H52" i="37"/>
  <c r="E46" i="36"/>
  <c r="J7" i="33"/>
  <c r="D58" i="33"/>
  <c r="E58" i="33"/>
  <c r="F58" i="33"/>
  <c r="G58" i="33"/>
  <c r="H58" i="33"/>
  <c r="I58" i="33"/>
  <c r="J58" i="33"/>
  <c r="K58" i="33"/>
  <c r="L58" i="33"/>
  <c r="M58" i="33"/>
  <c r="N58" i="33"/>
  <c r="O58" i="33"/>
  <c r="F7" i="33"/>
  <c r="H7" i="33"/>
  <c r="D65" i="40"/>
  <c r="C67" i="40"/>
  <c r="F7" i="35"/>
  <c r="P25" i="69"/>
  <c r="P23" i="69"/>
  <c r="P21" i="69"/>
  <c r="P24" i="68"/>
  <c r="P22" i="68"/>
  <c r="P21" i="46"/>
  <c r="P24" i="69"/>
  <c r="P22" i="69"/>
  <c r="P25" i="68"/>
  <c r="P23" i="68"/>
  <c r="P21" i="68"/>
  <c r="P24" i="46"/>
  <c r="B68" i="40"/>
  <c r="P25" i="46"/>
  <c r="B73" i="39"/>
  <c r="P23" i="46"/>
  <c r="P22" i="46"/>
  <c r="C19" i="46"/>
  <c r="G4" i="75"/>
  <c r="C19" i="69"/>
  <c r="C19" i="68"/>
  <c r="G103" i="46"/>
  <c r="G106" i="46"/>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c r="BN5" i="3"/>
  <c r="G29" i="6"/>
  <c r="E29" i="6"/>
  <c r="BR5" i="3"/>
  <c r="BS5" i="3"/>
  <c r="BQ5" i="3"/>
  <c r="BJ5" i="3"/>
  <c r="BI5" i="3"/>
  <c r="BH5" i="3"/>
  <c r="BT5" i="3"/>
  <c r="G28" i="6"/>
  <c r="BL20" i="3"/>
  <c r="AZ20" i="3"/>
  <c r="AZ5" i="3"/>
  <c r="E3" i="6"/>
  <c r="B6" i="52"/>
  <c r="E11" i="52"/>
  <c r="C18" i="9"/>
  <c r="D18" i="9"/>
  <c r="M44" i="9"/>
  <c r="A30" i="51"/>
  <c r="B22" i="63"/>
  <c r="C16" i="46"/>
  <c r="B9" i="52"/>
  <c r="N70" i="46"/>
  <c r="J72" i="46"/>
  <c r="C5" i="46"/>
  <c r="E69" i="46"/>
  <c r="B67" i="46"/>
  <c r="C24" i="46"/>
  <c r="K15" i="1"/>
  <c r="BL5" i="3"/>
  <c r="E13" i="6"/>
  <c r="E65" i="39"/>
  <c r="D101" i="46"/>
  <c r="D102" i="46"/>
  <c r="F101" i="46"/>
  <c r="F102" i="46"/>
  <c r="E9" i="46"/>
  <c r="E11" i="46"/>
  <c r="E8" i="46"/>
  <c r="E10" i="46"/>
  <c r="B113" i="46"/>
  <c r="B118" i="46"/>
  <c r="C118" i="46"/>
  <c r="E101" i="46"/>
  <c r="E102" i="46"/>
  <c r="F22" i="46"/>
  <c r="K109" i="46"/>
  <c r="K107" i="46"/>
  <c r="K103" i="46"/>
  <c r="K104" i="46"/>
  <c r="K105" i="46"/>
  <c r="K102" i="46"/>
  <c r="K106" i="46"/>
  <c r="I118" i="46"/>
  <c r="J118" i="46"/>
  <c r="K118" i="46"/>
  <c r="L118" i="46"/>
  <c r="M118" i="46"/>
  <c r="C101" i="46"/>
  <c r="C107" i="46"/>
  <c r="F107" i="46"/>
  <c r="G22" i="46"/>
  <c r="C23" i="46"/>
  <c r="H107" i="46"/>
  <c r="L105" i="46"/>
  <c r="N102" i="46"/>
  <c r="E105" i="46"/>
  <c r="E109" i="46"/>
  <c r="E103" i="46"/>
  <c r="H103" i="46"/>
  <c r="H102" i="46"/>
  <c r="L104" i="46"/>
  <c r="L102" i="46"/>
  <c r="N107" i="46"/>
  <c r="N105" i="46"/>
  <c r="P12" i="1"/>
  <c r="H109" i="46"/>
  <c r="H106" i="46"/>
  <c r="H105" i="46"/>
  <c r="L103" i="46"/>
  <c r="L109" i="46"/>
  <c r="L107" i="46"/>
  <c r="N106" i="46"/>
  <c r="N104" i="46"/>
  <c r="N103" i="46"/>
  <c r="P11" i="1"/>
  <c r="P8" i="1"/>
  <c r="G5" i="3"/>
  <c r="B3" i="3"/>
  <c r="E104" i="46"/>
  <c r="H5" i="3"/>
  <c r="E16" i="52"/>
  <c r="B13" i="52"/>
  <c r="E6" i="52"/>
  <c r="E4" i="4"/>
  <c r="B21" i="55"/>
  <c r="B72" i="63"/>
  <c r="F106" i="46"/>
  <c r="F105" i="46"/>
  <c r="E53" i="40"/>
  <c r="E14" i="6"/>
  <c r="E66" i="39"/>
  <c r="E61" i="40"/>
  <c r="E11" i="6"/>
  <c r="G30" i="6"/>
  <c r="G31" i="6"/>
  <c r="G3" i="69"/>
  <c r="G3" i="68"/>
  <c r="J7" i="35"/>
  <c r="AC7" i="35"/>
  <c r="V38" i="35"/>
  <c r="I38" i="35"/>
  <c r="AA7" i="35"/>
  <c r="R38" i="35"/>
  <c r="S7" i="35"/>
  <c r="E65" i="40"/>
  <c r="D67" i="40"/>
  <c r="AA7" i="33"/>
  <c r="R48" i="33"/>
  <c r="S7" i="33"/>
  <c r="AC7" i="33"/>
  <c r="V48" i="33"/>
  <c r="I48" i="33"/>
  <c r="W7" i="33"/>
  <c r="I52" i="37"/>
  <c r="E70" i="39"/>
  <c r="D72" i="39"/>
  <c r="S7" i="34"/>
  <c r="AA7" i="34"/>
  <c r="R49" i="34"/>
  <c r="W7" i="34"/>
  <c r="AC7" i="34"/>
  <c r="V49" i="34"/>
  <c r="I49" i="34"/>
  <c r="AB7" i="35"/>
  <c r="T38" i="35"/>
  <c r="G38" i="35"/>
  <c r="U7" i="35"/>
  <c r="AB7" i="33"/>
  <c r="T48" i="33"/>
  <c r="G48" i="33"/>
  <c r="U7" i="33"/>
  <c r="F46" i="36"/>
  <c r="AB7" i="34"/>
  <c r="T49" i="34"/>
  <c r="G49" i="34"/>
  <c r="U7" i="34"/>
  <c r="W7" i="35"/>
  <c r="C48" i="21"/>
  <c r="C49" i="21"/>
  <c r="B3" i="21"/>
  <c r="B2" i="21"/>
  <c r="D106" i="46"/>
  <c r="D107" i="46"/>
  <c r="D104" i="46"/>
  <c r="D103" i="46"/>
  <c r="D109" i="46"/>
  <c r="I115" i="46"/>
  <c r="J115" i="46"/>
  <c r="K115" i="46"/>
  <c r="L115" i="46"/>
  <c r="M115" i="46"/>
  <c r="B115" i="46"/>
  <c r="C115" i="46"/>
  <c r="D105" i="46"/>
  <c r="E12" i="6"/>
  <c r="E59" i="40"/>
  <c r="F28" i="6"/>
  <c r="E28" i="6"/>
  <c r="E64" i="39"/>
  <c r="E106" i="46"/>
  <c r="E107" i="46"/>
  <c r="F104" i="46"/>
  <c r="C103" i="46"/>
  <c r="E60" i="40"/>
  <c r="F103" i="46"/>
  <c r="F109" i="46"/>
  <c r="E10" i="6"/>
  <c r="E15" i="6"/>
  <c r="T7" i="73"/>
  <c r="M43" i="9"/>
  <c r="E6" i="6"/>
  <c r="D13" i="11"/>
  <c r="C13" i="11"/>
  <c r="F19" i="6"/>
  <c r="D29" i="46"/>
  <c r="D1" i="46"/>
  <c r="E58" i="40"/>
  <c r="E63" i="39"/>
  <c r="D117" i="46"/>
  <c r="E117" i="46"/>
  <c r="F117" i="46"/>
  <c r="G117" i="46"/>
  <c r="H117" i="46"/>
  <c r="B117" i="46"/>
  <c r="C117" i="46"/>
  <c r="I117" i="46"/>
  <c r="J117" i="46"/>
  <c r="K117" i="46"/>
  <c r="L117" i="46"/>
  <c r="M117" i="46"/>
  <c r="D22" i="46"/>
  <c r="C21" i="46"/>
  <c r="I4" i="75"/>
  <c r="D46" i="9"/>
  <c r="C104" i="46"/>
  <c r="C109" i="46"/>
  <c r="D115" i="46"/>
  <c r="E115" i="46"/>
  <c r="F115" i="46"/>
  <c r="G115" i="46"/>
  <c r="H115" i="46"/>
  <c r="B116" i="46"/>
  <c r="C116" i="46"/>
  <c r="G118" i="46"/>
  <c r="H118" i="46"/>
  <c r="D118" i="46"/>
  <c r="E118" i="46"/>
  <c r="F118" i="46"/>
  <c r="D10" i="11"/>
  <c r="D116" i="46"/>
  <c r="E116" i="46"/>
  <c r="F116" i="46"/>
  <c r="G116" i="46"/>
  <c r="H116" i="46"/>
  <c r="I116" i="46"/>
  <c r="J116" i="46"/>
  <c r="K116" i="46"/>
  <c r="L116" i="46"/>
  <c r="M116" i="46"/>
  <c r="C106" i="46"/>
  <c r="C102" i="46"/>
  <c r="C105" i="46"/>
  <c r="D45" i="9"/>
  <c r="L38" i="9"/>
  <c r="B14" i="66"/>
  <c r="B1" i="66"/>
  <c r="C6" i="66"/>
  <c r="D44" i="9"/>
  <c r="C21" i="4"/>
  <c r="O5" i="54"/>
  <c r="B45" i="63"/>
  <c r="D16" i="43"/>
  <c r="C16" i="43"/>
  <c r="C7" i="66"/>
  <c r="S8" i="1"/>
  <c r="S7" i="1"/>
  <c r="S7" i="68"/>
  <c r="S6" i="68"/>
  <c r="S4" i="68"/>
  <c r="S5" i="68"/>
  <c r="S2" i="68"/>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E15" i="3"/>
  <c r="B113" i="68"/>
  <c r="N101" i="68"/>
  <c r="AA11" i="68"/>
  <c r="AA13" i="68"/>
  <c r="AC11" i="68"/>
  <c r="AC13" i="68"/>
  <c r="AE11" i="68"/>
  <c r="AE13" i="68"/>
  <c r="AG11" i="68"/>
  <c r="AG13" i="68"/>
  <c r="AI11" i="68"/>
  <c r="AI13" i="68"/>
  <c r="C23" i="68"/>
  <c r="Z7" i="68"/>
  <c r="H101" i="68"/>
  <c r="J22" i="68"/>
  <c r="E101" i="68"/>
  <c r="I101" i="68"/>
  <c r="M101" i="68"/>
  <c r="Z11" i="68"/>
  <c r="Z13" i="68"/>
  <c r="AB11" i="68"/>
  <c r="AB13" i="68"/>
  <c r="AD11" i="68"/>
  <c r="AD13" i="68"/>
  <c r="AF11" i="68"/>
  <c r="AF13" i="68"/>
  <c r="AH11" i="68"/>
  <c r="AH13" i="68"/>
  <c r="AJ11" i="68"/>
  <c r="AJ13" i="68"/>
  <c r="G22" i="68"/>
  <c r="F101" i="68"/>
  <c r="J101" i="68"/>
  <c r="F22" i="68"/>
  <c r="D101" i="68"/>
  <c r="L101" i="68"/>
  <c r="Y11" i="68"/>
  <c r="Y13" i="68"/>
  <c r="E22" i="68"/>
  <c r="C101" i="68"/>
  <c r="G101" i="68"/>
  <c r="K101" i="68"/>
  <c r="H22" i="68"/>
  <c r="B113" i="69"/>
  <c r="F22" i="69"/>
  <c r="K101" i="69"/>
  <c r="G101" i="69"/>
  <c r="C101" i="69"/>
  <c r="AJ11" i="69"/>
  <c r="AJ13" i="69"/>
  <c r="AH11" i="69"/>
  <c r="AH13" i="69"/>
  <c r="AF11" i="69"/>
  <c r="AF13" i="69"/>
  <c r="AD11" i="69"/>
  <c r="AD13" i="69"/>
  <c r="AB11" i="69"/>
  <c r="AB13" i="69"/>
  <c r="Z11" i="69"/>
  <c r="Z13" i="69"/>
  <c r="L101" i="69"/>
  <c r="H101" i="69"/>
  <c r="D101" i="69"/>
  <c r="J22" i="69"/>
  <c r="E22" i="69"/>
  <c r="M101" i="69"/>
  <c r="I101" i="69"/>
  <c r="E101" i="69"/>
  <c r="G22" i="69"/>
  <c r="AI11" i="69"/>
  <c r="AI13" i="69"/>
  <c r="AG11" i="69"/>
  <c r="AG13" i="69"/>
  <c r="AE11" i="69"/>
  <c r="AE13" i="69"/>
  <c r="AC11" i="69"/>
  <c r="AC13" i="69"/>
  <c r="AA11" i="69"/>
  <c r="AA13" i="69"/>
  <c r="N101" i="69"/>
  <c r="J101" i="69"/>
  <c r="F101" i="69"/>
  <c r="H22" i="69"/>
  <c r="Y11" i="69"/>
  <c r="Y13" i="69"/>
  <c r="Z7" i="69"/>
  <c r="I42" i="35"/>
  <c r="J42" i="35"/>
  <c r="G53" i="34"/>
  <c r="H53" i="34"/>
  <c r="G54" i="34"/>
  <c r="H54" i="34"/>
  <c r="G46" i="36"/>
  <c r="G52" i="33"/>
  <c r="H52" i="33"/>
  <c r="G53" i="33"/>
  <c r="H53" i="33"/>
  <c r="I53" i="34"/>
  <c r="J53" i="34"/>
  <c r="R50" i="34"/>
  <c r="E49" i="34"/>
  <c r="G42" i="35"/>
  <c r="H42" i="35"/>
  <c r="G43" i="35"/>
  <c r="H43" i="35"/>
  <c r="E72" i="39"/>
  <c r="F70" i="39"/>
  <c r="J52" i="37"/>
  <c r="I52" i="33"/>
  <c r="J52" i="33"/>
  <c r="R49" i="33"/>
  <c r="E48" i="33"/>
  <c r="E67" i="40"/>
  <c r="F65" i="40"/>
  <c r="R39" i="35"/>
  <c r="E38" i="35"/>
  <c r="I43" i="35"/>
  <c r="J43" i="35"/>
  <c r="E16" i="6"/>
  <c r="F30" i="6"/>
  <c r="K14" i="1"/>
  <c r="M14" i="1"/>
  <c r="O14" i="1"/>
  <c r="P14" i="1"/>
  <c r="E30" i="6"/>
  <c r="E62" i="40"/>
  <c r="E67" i="39"/>
  <c r="C8" i="66"/>
  <c r="I30" i="73"/>
  <c r="K30" i="73"/>
  <c r="M30" i="73"/>
  <c r="E19" i="6"/>
  <c r="F27" i="6"/>
  <c r="F31" i="6"/>
  <c r="H6" i="3"/>
  <c r="E6" i="3"/>
  <c r="AC6" i="3"/>
  <c r="D113" i="46"/>
  <c r="S3" i="68"/>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F109" i="69"/>
  <c r="F106" i="69"/>
  <c r="F104" i="69"/>
  <c r="F102" i="69"/>
  <c r="F107" i="69"/>
  <c r="F105" i="69"/>
  <c r="F103" i="69"/>
  <c r="N109" i="69"/>
  <c r="N106" i="69"/>
  <c r="N104" i="69"/>
  <c r="N102" i="69"/>
  <c r="N107" i="69"/>
  <c r="N105" i="69"/>
  <c r="N103" i="69"/>
  <c r="I109" i="69"/>
  <c r="I106" i="69"/>
  <c r="I104" i="69"/>
  <c r="I102" i="69"/>
  <c r="I107" i="69"/>
  <c r="I105" i="69"/>
  <c r="I103" i="69"/>
  <c r="D22" i="69"/>
  <c r="C21" i="69"/>
  <c r="D109" i="69"/>
  <c r="D106" i="69"/>
  <c r="D104" i="69"/>
  <c r="D102" i="69"/>
  <c r="D107" i="69"/>
  <c r="D105" i="69"/>
  <c r="D103" i="69"/>
  <c r="L109" i="69"/>
  <c r="L106" i="69"/>
  <c r="L104" i="69"/>
  <c r="L102" i="69"/>
  <c r="L107" i="69"/>
  <c r="L105" i="69"/>
  <c r="L103" i="69"/>
  <c r="G109" i="69"/>
  <c r="G106" i="69"/>
  <c r="G104" i="69"/>
  <c r="G102" i="69"/>
  <c r="G107" i="69"/>
  <c r="G105" i="69"/>
  <c r="G103" i="69"/>
  <c r="G109" i="68"/>
  <c r="G107" i="68"/>
  <c r="G105" i="68"/>
  <c r="G103" i="68"/>
  <c r="G106" i="68"/>
  <c r="G104" i="68"/>
  <c r="G102" i="68"/>
  <c r="D22" i="68"/>
  <c r="C21" i="68"/>
  <c r="L109" i="68"/>
  <c r="L106" i="68"/>
  <c r="L104" i="68"/>
  <c r="L102" i="68"/>
  <c r="L107" i="68"/>
  <c r="L105" i="68"/>
  <c r="L103" i="68"/>
  <c r="F104" i="68"/>
  <c r="F105" i="68"/>
  <c r="F106" i="68"/>
  <c r="F102" i="68"/>
  <c r="F109" i="68"/>
  <c r="F103" i="68"/>
  <c r="F107" i="68"/>
  <c r="M109" i="68"/>
  <c r="M104" i="68"/>
  <c r="M102" i="68"/>
  <c r="M107" i="68"/>
  <c r="M103" i="68"/>
  <c r="M106" i="68"/>
  <c r="M105" i="68"/>
  <c r="E109" i="68"/>
  <c r="E102" i="68"/>
  <c r="E106" i="68"/>
  <c r="E105" i="68"/>
  <c r="E104" i="68"/>
  <c r="E107" i="68"/>
  <c r="E103" i="68"/>
  <c r="H109" i="68"/>
  <c r="H102" i="68"/>
  <c r="H105" i="68"/>
  <c r="H106" i="68"/>
  <c r="H104" i="68"/>
  <c r="H107" i="68"/>
  <c r="H103" i="68"/>
  <c r="N109" i="68"/>
  <c r="N105" i="68"/>
  <c r="N103" i="68"/>
  <c r="N107" i="68"/>
  <c r="N102" i="68"/>
  <c r="N106" i="68"/>
  <c r="N104" i="68"/>
  <c r="J107" i="69"/>
  <c r="J105" i="69"/>
  <c r="J103" i="69"/>
  <c r="J109" i="69"/>
  <c r="J106" i="69"/>
  <c r="J104" i="69"/>
  <c r="J102" i="69"/>
  <c r="E107" i="69"/>
  <c r="E105" i="69"/>
  <c r="E103" i="69"/>
  <c r="E109" i="69"/>
  <c r="E106" i="69"/>
  <c r="E104" i="69"/>
  <c r="E102" i="69"/>
  <c r="M107" i="69"/>
  <c r="M105" i="69"/>
  <c r="M103" i="69"/>
  <c r="M109" i="69"/>
  <c r="M106" i="69"/>
  <c r="M104" i="69"/>
  <c r="M102" i="69"/>
  <c r="H107" i="69"/>
  <c r="H105" i="69"/>
  <c r="H103" i="69"/>
  <c r="H109" i="69"/>
  <c r="H106" i="69"/>
  <c r="H104" i="69"/>
  <c r="H102" i="69"/>
  <c r="C107" i="69"/>
  <c r="C105" i="69"/>
  <c r="C103" i="69"/>
  <c r="C109" i="69"/>
  <c r="C106" i="69"/>
  <c r="C104" i="69"/>
  <c r="C102" i="69"/>
  <c r="K107" i="69"/>
  <c r="K105" i="69"/>
  <c r="K103" i="69"/>
  <c r="K109" i="69"/>
  <c r="C23" i="69"/>
  <c r="K106" i="69"/>
  <c r="K104" i="69"/>
  <c r="K102" i="69"/>
  <c r="D118" i="69"/>
  <c r="E118" i="69"/>
  <c r="F118" i="69"/>
  <c r="D116" i="69"/>
  <c r="E116" i="69"/>
  <c r="F116" i="69"/>
  <c r="G116" i="69"/>
  <c r="H116" i="69"/>
  <c r="I118" i="69"/>
  <c r="J118" i="69"/>
  <c r="K118" i="69"/>
  <c r="L118" i="69"/>
  <c r="M118" i="69"/>
  <c r="I116" i="69"/>
  <c r="J116" i="69"/>
  <c r="K116" i="69"/>
  <c r="L116" i="69"/>
  <c r="M116" i="69"/>
  <c r="B118" i="69"/>
  <c r="C118" i="69"/>
  <c r="B116" i="69"/>
  <c r="C116" i="69"/>
  <c r="G118" i="69"/>
  <c r="H118" i="69"/>
  <c r="D117" i="69"/>
  <c r="E117" i="69"/>
  <c r="F117" i="69"/>
  <c r="G117" i="69"/>
  <c r="H117" i="69"/>
  <c r="D115" i="69"/>
  <c r="E115" i="69"/>
  <c r="F115" i="69"/>
  <c r="G115" i="69"/>
  <c r="H115" i="69"/>
  <c r="I117" i="69"/>
  <c r="J117" i="69"/>
  <c r="K117" i="69"/>
  <c r="L117" i="69"/>
  <c r="M117" i="69"/>
  <c r="I115" i="69"/>
  <c r="J115" i="69"/>
  <c r="K115" i="69"/>
  <c r="L115" i="69"/>
  <c r="M115" i="69"/>
  <c r="B117" i="69"/>
  <c r="C117" i="69"/>
  <c r="B115" i="69"/>
  <c r="C115" i="69"/>
  <c r="K109" i="68"/>
  <c r="K106" i="68"/>
  <c r="K104" i="68"/>
  <c r="K102" i="68"/>
  <c r="K107" i="68"/>
  <c r="K105" i="68"/>
  <c r="K103" i="68"/>
  <c r="C109" i="68"/>
  <c r="C106" i="68"/>
  <c r="C104" i="68"/>
  <c r="C102" i="68"/>
  <c r="C107" i="68"/>
  <c r="C105" i="68"/>
  <c r="C103" i="68"/>
  <c r="D109" i="68"/>
  <c r="D107" i="68"/>
  <c r="D105" i="68"/>
  <c r="D103" i="68"/>
  <c r="D106" i="68"/>
  <c r="D104" i="68"/>
  <c r="D102" i="68"/>
  <c r="J105" i="68"/>
  <c r="J104" i="68"/>
  <c r="J102" i="68"/>
  <c r="J107" i="68"/>
  <c r="J103" i="68"/>
  <c r="J109" i="68"/>
  <c r="J106" i="68"/>
  <c r="I109" i="68"/>
  <c r="I103" i="68"/>
  <c r="I107" i="68"/>
  <c r="I105" i="68"/>
  <c r="I106" i="68"/>
  <c r="I102" i="68"/>
  <c r="I104" i="68"/>
  <c r="B118" i="68"/>
  <c r="C118" i="68"/>
  <c r="B117" i="68"/>
  <c r="C117" i="68"/>
  <c r="B116" i="68"/>
  <c r="C116" i="68"/>
  <c r="B115" i="68"/>
  <c r="C115" i="68"/>
  <c r="D118" i="68"/>
  <c r="E118" i="68"/>
  <c r="F118" i="68"/>
  <c r="D116" i="68"/>
  <c r="E116" i="68"/>
  <c r="F116" i="68"/>
  <c r="G116" i="68"/>
  <c r="H116" i="68"/>
  <c r="I118" i="68"/>
  <c r="J118" i="68"/>
  <c r="K118" i="68"/>
  <c r="L118" i="68"/>
  <c r="M118" i="68"/>
  <c r="I117" i="68"/>
  <c r="J117" i="68"/>
  <c r="K117" i="68"/>
  <c r="L117" i="68"/>
  <c r="M117" i="68"/>
  <c r="I116" i="68"/>
  <c r="J116" i="68"/>
  <c r="K116" i="68"/>
  <c r="L116" i="68"/>
  <c r="M116" i="68"/>
  <c r="I115" i="68"/>
  <c r="J115" i="68"/>
  <c r="K115" i="68"/>
  <c r="L115" i="68"/>
  <c r="M115" i="68"/>
  <c r="G118" i="68"/>
  <c r="H118" i="68"/>
  <c r="D117" i="68"/>
  <c r="E117" i="68"/>
  <c r="F117" i="68"/>
  <c r="G117" i="68"/>
  <c r="H117" i="68"/>
  <c r="D115" i="68"/>
  <c r="E115" i="68"/>
  <c r="F115" i="68"/>
  <c r="G115" i="68"/>
  <c r="H115" i="68"/>
  <c r="C38" i="35"/>
  <c r="C39" i="35"/>
  <c r="B3" i="35"/>
  <c r="B2" i="35"/>
  <c r="C48" i="33"/>
  <c r="C49" i="33"/>
  <c r="B3" i="33"/>
  <c r="B2" i="33"/>
  <c r="K52" i="37"/>
  <c r="L52" i="37"/>
  <c r="M52" i="37"/>
  <c r="N52" i="37"/>
  <c r="O52" i="37"/>
  <c r="J7" i="37"/>
  <c r="H7" i="37"/>
  <c r="C50" i="34"/>
  <c r="B3" i="34"/>
  <c r="B2" i="34"/>
  <c r="C49" i="34"/>
  <c r="E43" i="35"/>
  <c r="F43" i="35"/>
  <c r="E42" i="35"/>
  <c r="F42" i="35"/>
  <c r="F67" i="40"/>
  <c r="G65" i="40"/>
  <c r="E52" i="33"/>
  <c r="F52" i="33"/>
  <c r="E53" i="33"/>
  <c r="F53" i="33"/>
  <c r="I53" i="33"/>
  <c r="J53" i="33"/>
  <c r="F7" i="37"/>
  <c r="F72" i="39"/>
  <c r="G70" i="39"/>
  <c r="E54" i="34"/>
  <c r="F54" i="34"/>
  <c r="E53" i="34"/>
  <c r="F53" i="34"/>
  <c r="I54" i="34"/>
  <c r="J54" i="34"/>
  <c r="H46" i="36"/>
  <c r="E32" i="6"/>
  <c r="K6" i="1"/>
  <c r="L19" i="6"/>
  <c r="L27" i="6"/>
  <c r="E27" i="6"/>
  <c r="K19" i="6"/>
  <c r="C9" i="12"/>
  <c r="C10" i="12"/>
  <c r="C6" i="12"/>
  <c r="K38" i="9"/>
  <c r="C14" i="66"/>
  <c r="B2" i="66"/>
  <c r="E63" i="40"/>
  <c r="D19" i="6"/>
  <c r="D21" i="6"/>
  <c r="D25" i="6"/>
  <c r="D10" i="6"/>
  <c r="D13" i="6"/>
  <c r="D6" i="6"/>
  <c r="D23" i="6"/>
  <c r="D14" i="6"/>
  <c r="D28" i="6"/>
  <c r="D15" i="6"/>
  <c r="E44" i="9"/>
  <c r="F46" i="9"/>
  <c r="E46" i="9"/>
  <c r="E68" i="39"/>
  <c r="C22" i="4"/>
  <c r="D24" i="6"/>
  <c r="D26" i="6"/>
  <c r="D22" i="6"/>
  <c r="D11" i="6"/>
  <c r="D12" i="6"/>
  <c r="D9" i="6"/>
  <c r="D5" i="6"/>
  <c r="D29" i="6"/>
  <c r="D20" i="6"/>
  <c r="D8" i="6"/>
  <c r="E45" i="9"/>
  <c r="F45" i="9"/>
  <c r="F44" i="9"/>
  <c r="D11" i="73"/>
  <c r="I15" i="75"/>
  <c r="D9" i="75"/>
  <c r="D113" i="69"/>
  <c r="D113" i="68"/>
  <c r="D14" i="73"/>
  <c r="W7" i="37"/>
  <c r="AC7" i="37"/>
  <c r="V42" i="37"/>
  <c r="I42" i="37"/>
  <c r="I46" i="36"/>
  <c r="G72" i="39"/>
  <c r="H70" i="39"/>
  <c r="S7" i="37"/>
  <c r="AA7" i="37"/>
  <c r="R42" i="37"/>
  <c r="G67" i="40"/>
  <c r="H65" i="40"/>
  <c r="U7" i="37"/>
  <c r="AB7" i="37"/>
  <c r="T42" i="37"/>
  <c r="G42" i="37"/>
  <c r="S6" i="1"/>
  <c r="M19" i="6"/>
  <c r="C29" i="12"/>
  <c r="C24" i="12"/>
  <c r="E31" i="6"/>
  <c r="K21" i="6"/>
  <c r="M21" i="6"/>
  <c r="I21" i="6"/>
  <c r="K20" i="6"/>
  <c r="M20" i="6"/>
  <c r="I20" i="6"/>
  <c r="K24" i="6"/>
  <c r="M24" i="6"/>
  <c r="I24" i="6"/>
  <c r="K22" i="6"/>
  <c r="M22" i="6"/>
  <c r="I22" i="6"/>
  <c r="K23" i="6"/>
  <c r="M23" i="6"/>
  <c r="I23" i="6"/>
  <c r="K26" i="6"/>
  <c r="M26" i="6"/>
  <c r="I26" i="6"/>
  <c r="K25" i="6"/>
  <c r="M25" i="6"/>
  <c r="I25" i="6"/>
  <c r="G16" i="1"/>
  <c r="H16" i="1"/>
  <c r="AP16" i="1"/>
  <c r="F22" i="11"/>
  <c r="Q16" i="1"/>
  <c r="M6" i="1"/>
  <c r="K16" i="1"/>
  <c r="D16" i="6"/>
  <c r="D30" i="6"/>
  <c r="D6" i="66"/>
  <c r="D8" i="66"/>
  <c r="D7" i="66"/>
  <c r="A6" i="51"/>
  <c r="B7" i="63"/>
  <c r="A20" i="64"/>
  <c r="A20" i="51"/>
  <c r="B15" i="63"/>
  <c r="N5" i="54"/>
  <c r="B43" i="63"/>
  <c r="A6" i="64"/>
  <c r="D27" i="6"/>
  <c r="D31" i="6"/>
  <c r="G46" i="37"/>
  <c r="H46" i="37"/>
  <c r="G47" i="37"/>
  <c r="H47" i="37"/>
  <c r="H67" i="40"/>
  <c r="I65" i="40"/>
  <c r="E42" i="37"/>
  <c r="R43" i="37"/>
  <c r="H72" i="39"/>
  <c r="I70" i="39"/>
  <c r="I46" i="37"/>
  <c r="J46" i="37"/>
  <c r="I47" i="37"/>
  <c r="J47" i="37"/>
  <c r="J46" i="36"/>
  <c r="O6" i="1"/>
  <c r="O16" i="1"/>
  <c r="C15" i="43"/>
  <c r="M16" i="1"/>
  <c r="N16" i="1"/>
  <c r="C29" i="43"/>
  <c r="J12" i="40"/>
  <c r="J12" i="39"/>
  <c r="F12" i="39"/>
  <c r="H12" i="39"/>
  <c r="F12" i="40"/>
  <c r="H12" i="40"/>
  <c r="S26" i="6"/>
  <c r="H26" i="6"/>
  <c r="R26" i="6"/>
  <c r="S22" i="6"/>
  <c r="H22" i="6"/>
  <c r="R22" i="6"/>
  <c r="S20" i="6"/>
  <c r="H20" i="6"/>
  <c r="R20" i="6"/>
  <c r="R7" i="1"/>
  <c r="K27" i="6"/>
  <c r="S16" i="1"/>
  <c r="F24" i="43"/>
  <c r="C26" i="43"/>
  <c r="D24" i="43"/>
  <c r="F18" i="11"/>
  <c r="C18" i="11"/>
  <c r="S25" i="6"/>
  <c r="H25" i="6"/>
  <c r="R25" i="6"/>
  <c r="S23" i="6"/>
  <c r="H23" i="6"/>
  <c r="R23" i="6"/>
  <c r="S24" i="6"/>
  <c r="H24" i="6"/>
  <c r="R24" i="6"/>
  <c r="S21" i="6"/>
  <c r="H21" i="6"/>
  <c r="R21" i="6"/>
  <c r="R8" i="1"/>
  <c r="M27" i="6"/>
  <c r="I19" i="6"/>
  <c r="I6" i="6"/>
  <c r="I5" i="6"/>
  <c r="E46" i="37"/>
  <c r="F46" i="37"/>
  <c r="E47" i="37"/>
  <c r="F47" i="37"/>
  <c r="K46" i="36"/>
  <c r="I72" i="39"/>
  <c r="J70" i="39"/>
  <c r="C42" i="37"/>
  <c r="C43" i="37"/>
  <c r="B3" i="37"/>
  <c r="B2" i="37"/>
  <c r="I67" i="40"/>
  <c r="J65" i="40"/>
  <c r="P6" i="1"/>
  <c r="T7" i="1"/>
  <c r="T8" i="1"/>
  <c r="T11" i="1"/>
  <c r="T10" i="1"/>
  <c r="T13" i="1"/>
  <c r="T12" i="1"/>
  <c r="T9" i="1"/>
  <c r="AB12" i="40"/>
  <c r="U12" i="40"/>
  <c r="U12" i="39"/>
  <c r="AB12" i="39"/>
  <c r="AC12" i="39"/>
  <c r="W12" i="39"/>
  <c r="I27" i="6"/>
  <c r="S19" i="6"/>
  <c r="S27" i="6"/>
  <c r="H19" i="6"/>
  <c r="T6" i="1"/>
  <c r="S12" i="40"/>
  <c r="AA12" i="40"/>
  <c r="AA12" i="39"/>
  <c r="S12" i="39"/>
  <c r="AC12" i="40"/>
  <c r="W12" i="40"/>
  <c r="C13" i="43"/>
  <c r="L16" i="1"/>
  <c r="L46" i="36"/>
  <c r="J67" i="40"/>
  <c r="K65" i="40"/>
  <c r="J72" i="39"/>
  <c r="K70" i="39"/>
  <c r="P16" i="1"/>
  <c r="C17" i="43"/>
  <c r="T16" i="1"/>
  <c r="H27" i="6"/>
  <c r="R19" i="6"/>
  <c r="L70" i="39"/>
  <c r="K72" i="39"/>
  <c r="L65" i="40"/>
  <c r="K67" i="40"/>
  <c r="M46" i="36"/>
  <c r="R27" i="6"/>
  <c r="R6" i="1"/>
  <c r="R16" i="1"/>
  <c r="N46" i="36"/>
  <c r="O46" i="36"/>
  <c r="J7" i="36"/>
  <c r="L67" i="40"/>
  <c r="M65" i="40"/>
  <c r="M70" i="39"/>
  <c r="L72" i="39"/>
  <c r="W7" i="36"/>
  <c r="AC7" i="36"/>
  <c r="V36" i="36"/>
  <c r="I36" i="36"/>
  <c r="N65" i="40"/>
  <c r="N67" i="40"/>
  <c r="M67" i="40"/>
  <c r="M72" i="39"/>
  <c r="N70" i="39"/>
  <c r="N72" i="39"/>
  <c r="H7" i="36"/>
  <c r="F7" i="36"/>
  <c r="AA7" i="36"/>
  <c r="R36" i="36"/>
  <c r="S7" i="36"/>
  <c r="J9" i="39"/>
  <c r="F9" i="39"/>
  <c r="H9" i="39"/>
  <c r="I40" i="36"/>
  <c r="J40" i="36"/>
  <c r="AB7" i="36"/>
  <c r="T36" i="36"/>
  <c r="G36" i="36"/>
  <c r="U7" i="36"/>
  <c r="F9" i="40"/>
  <c r="H9" i="40"/>
  <c r="J9" i="40"/>
  <c r="H7" i="72"/>
  <c r="I7" i="72"/>
  <c r="AC9" i="40"/>
  <c r="V44" i="40"/>
  <c r="I44" i="40"/>
  <c r="I48" i="40"/>
  <c r="J48" i="40"/>
  <c r="W9" i="40"/>
  <c r="S9" i="40"/>
  <c r="AA9" i="40"/>
  <c r="R44" i="40"/>
  <c r="G40" i="36"/>
  <c r="H40" i="36"/>
  <c r="G41" i="36"/>
  <c r="H41" i="36"/>
  <c r="S9" i="39"/>
  <c r="AA9" i="39"/>
  <c r="R49" i="39"/>
  <c r="U9" i="40"/>
  <c r="AB9" i="40"/>
  <c r="T44" i="40"/>
  <c r="G44" i="40"/>
  <c r="U9" i="39"/>
  <c r="AB9" i="39"/>
  <c r="T49" i="39"/>
  <c r="G49" i="39"/>
  <c r="AC9" i="39"/>
  <c r="V49" i="39"/>
  <c r="I49" i="39"/>
  <c r="W9" i="39"/>
  <c r="E36" i="36"/>
  <c r="R37" i="36"/>
  <c r="H8" i="72"/>
  <c r="I8" i="72"/>
  <c r="J7" i="72"/>
  <c r="K7" i="72"/>
  <c r="C37" i="36"/>
  <c r="B3" i="36"/>
  <c r="B2" i="36"/>
  <c r="C36" i="36"/>
  <c r="G53" i="39"/>
  <c r="H53" i="39"/>
  <c r="G54" i="39"/>
  <c r="H54" i="39"/>
  <c r="G49" i="40"/>
  <c r="H49" i="40"/>
  <c r="G48" i="40"/>
  <c r="H48" i="40"/>
  <c r="R50" i="39"/>
  <c r="E49" i="39"/>
  <c r="R45" i="40"/>
  <c r="E44" i="40"/>
  <c r="E40" i="36"/>
  <c r="F40" i="36"/>
  <c r="E41" i="36"/>
  <c r="F41" i="36"/>
  <c r="I41" i="36"/>
  <c r="J41" i="36"/>
  <c r="I53" i="39"/>
  <c r="J53" i="39"/>
  <c r="J8" i="72"/>
  <c r="K8" i="72"/>
  <c r="H9" i="72"/>
  <c r="I9" i="72"/>
  <c r="I49" i="40"/>
  <c r="J49" i="40"/>
  <c r="E49" i="40"/>
  <c r="F49" i="40"/>
  <c r="E48" i="40"/>
  <c r="F48" i="40"/>
  <c r="E53" i="39"/>
  <c r="F53" i="39"/>
  <c r="E54" i="39"/>
  <c r="F54" i="39"/>
  <c r="I54" i="39"/>
  <c r="J54" i="39"/>
  <c r="C44" i="40"/>
  <c r="C45" i="40"/>
  <c r="C49" i="39"/>
  <c r="C50" i="39"/>
  <c r="J9" i="72"/>
  <c r="K9" i="72"/>
  <c r="H13" i="72"/>
  <c r="I13" i="72"/>
  <c r="B65" i="39"/>
  <c r="F65" i="39"/>
  <c r="B62" i="39"/>
  <c r="F62" i="39"/>
  <c r="B61" i="39"/>
  <c r="F61" i="39"/>
  <c r="B63" i="39"/>
  <c r="F63" i="39"/>
  <c r="B67" i="39"/>
  <c r="F67" i="39"/>
  <c r="B64" i="39"/>
  <c r="F64" i="39"/>
  <c r="B58" i="39"/>
  <c r="F58" i="39"/>
  <c r="B66" i="39"/>
  <c r="F66" i="39"/>
  <c r="B59" i="39"/>
  <c r="F59" i="39"/>
  <c r="B60" i="39"/>
  <c r="F60" i="39"/>
  <c r="F68" i="39"/>
  <c r="B2" i="39"/>
  <c r="B57" i="40"/>
  <c r="F57" i="40"/>
  <c r="B53" i="40"/>
  <c r="F53" i="40"/>
  <c r="B58" i="40"/>
  <c r="F58" i="40"/>
  <c r="B60" i="40"/>
  <c r="F60" i="40"/>
  <c r="B62" i="40"/>
  <c r="F62" i="40"/>
  <c r="B61" i="40"/>
  <c r="F61" i="40"/>
  <c r="B54" i="40"/>
  <c r="F54" i="40"/>
  <c r="B56" i="40"/>
  <c r="F56" i="40"/>
  <c r="B55" i="40"/>
  <c r="F55" i="40"/>
  <c r="B59" i="40"/>
  <c r="F59" i="40"/>
  <c r="F63" i="40"/>
  <c r="B2" i="40"/>
  <c r="J13" i="72"/>
  <c r="K13" i="72"/>
  <c r="B4" i="40"/>
  <c r="B3" i="40"/>
  <c r="B5" i="40"/>
  <c r="B5" i="39"/>
  <c r="B3" i="39"/>
  <c r="B4" i="39"/>
  <c r="J27" i="73"/>
  <c r="K27" i="73"/>
  <c r="K19" i="73"/>
  <c r="J19" i="73"/>
  <c r="H27" i="73"/>
  <c r="O27" i="73"/>
  <c r="M27" i="73"/>
  <c r="I27" i="73"/>
  <c r="I19" i="73"/>
  <c r="H19" i="73"/>
  <c r="F7" i="72"/>
  <c r="G7" i="72"/>
  <c r="O7" i="72"/>
  <c r="F8" i="72"/>
  <c r="O19" i="73"/>
  <c r="M19" i="73"/>
  <c r="P7" i="72"/>
  <c r="G8" i="72"/>
  <c r="O8" i="72"/>
  <c r="P8" i="72"/>
  <c r="N7" i="72"/>
  <c r="F9" i="72"/>
  <c r="N8" i="72"/>
  <c r="G9" i="72"/>
  <c r="O9" i="72"/>
  <c r="P9" i="72"/>
  <c r="F13" i="72"/>
  <c r="G13" i="72"/>
  <c r="N9" i="72"/>
  <c r="O13" i="72"/>
  <c r="N13" i="72"/>
  <c r="D10" i="74"/>
  <c r="P13" i="72"/>
  <c r="H12" i="73"/>
  <c r="M12" i="73"/>
  <c r="H29" i="73"/>
  <c r="I29" i="73"/>
  <c r="J12" i="73"/>
  <c r="J29" i="73"/>
  <c r="O12" i="73"/>
  <c r="K29" i="73"/>
  <c r="O29" i="73"/>
  <c r="M29" i="73"/>
  <c r="I6" i="75"/>
  <c r="I5" i="75"/>
  <c r="G5" i="75"/>
  <c r="J11" i="73"/>
  <c r="J28" i="73"/>
  <c r="K28" i="73"/>
  <c r="H11" i="73"/>
  <c r="O11" i="73"/>
  <c r="H28" i="73"/>
  <c r="O28" i="73"/>
  <c r="M28" i="73"/>
  <c r="I28" i="73"/>
  <c r="D49" i="73"/>
  <c r="F51" i="73"/>
  <c r="H49" i="73"/>
  <c r="I49" i="73"/>
  <c r="E49" i="73"/>
  <c r="G6" i="75"/>
  <c r="H6" i="75"/>
  <c r="E10" i="74"/>
  <c r="I22" i="73"/>
  <c r="C17" i="75"/>
  <c r="H22" i="73"/>
  <c r="K6" i="75"/>
  <c r="L6" i="75"/>
  <c r="L12" i="75"/>
  <c r="K22" i="73"/>
  <c r="J22" i="73"/>
  <c r="O22" i="73"/>
  <c r="M22" i="73"/>
  <c r="H5" i="75"/>
  <c r="H11" i="72"/>
  <c r="C16" i="75"/>
  <c r="I21" i="73"/>
  <c r="M13" i="73"/>
  <c r="G17" i="75"/>
  <c r="K13" i="75"/>
  <c r="L13" i="75"/>
  <c r="O7" i="73"/>
  <c r="Q7" i="73"/>
  <c r="H21" i="73"/>
  <c r="I11" i="72"/>
  <c r="H15" i="72"/>
  <c r="I15" i="72"/>
  <c r="L5" i="75"/>
  <c r="C10" i="73"/>
  <c r="C16" i="73"/>
  <c r="J11" i="72"/>
  <c r="K11" i="72"/>
  <c r="E16" i="75"/>
  <c r="K10" i="75"/>
  <c r="L10" i="75"/>
  <c r="K21" i="73"/>
  <c r="O21" i="73"/>
  <c r="M21" i="73"/>
  <c r="J21" i="73"/>
  <c r="J15" i="72"/>
  <c r="K15" i="72"/>
  <c r="L11" i="72"/>
  <c r="L15" i="72"/>
  <c r="M15" i="72"/>
  <c r="G16" i="75"/>
  <c r="K11" i="75"/>
  <c r="L11" i="75"/>
  <c r="F15" i="72"/>
  <c r="G15" i="72"/>
  <c r="C9" i="73"/>
  <c r="E9" i="73"/>
  <c r="J16" i="75"/>
  <c r="K16" i="75"/>
  <c r="D50" i="73"/>
  <c r="F52" i="73"/>
  <c r="O16" i="72"/>
  <c r="O19" i="72"/>
  <c r="E50" i="73"/>
  <c r="O18" i="72"/>
  <c r="P18" i="72"/>
  <c r="P16" i="72"/>
  <c r="F9" i="67"/>
  <c r="M31" i="44"/>
  <c r="J15" i="70"/>
  <c r="F41" i="70"/>
  <c r="M6" i="15"/>
  <c r="M9" i="70"/>
  <c r="M23" i="70"/>
  <c r="J36" i="15"/>
  <c r="M23" i="15"/>
  <c r="F13" i="67"/>
  <c r="F40" i="70"/>
  <c r="L49" i="44"/>
  <c r="I5" i="65"/>
  <c r="B10" i="67"/>
  <c r="F8" i="44"/>
  <c r="E12" i="67"/>
  <c r="M22" i="70"/>
  <c r="M24" i="44"/>
  <c r="F33" i="12"/>
  <c r="J7" i="65"/>
  <c r="F7" i="70"/>
  <c r="F8" i="15"/>
  <c r="F45" i="44"/>
  <c r="M29" i="15"/>
  <c r="F13" i="70"/>
  <c r="F37" i="15"/>
  <c r="M29" i="44"/>
  <c r="F43" i="70"/>
  <c r="M28" i="15"/>
  <c r="M25" i="44"/>
  <c r="F37" i="70"/>
  <c r="I6" i="65"/>
  <c r="E11" i="67"/>
  <c r="B13" i="67"/>
  <c r="F9" i="15"/>
  <c r="J4" i="65"/>
  <c r="B8" i="67"/>
  <c r="I7" i="65"/>
  <c r="F8" i="70"/>
  <c r="M28" i="44"/>
  <c r="J17" i="44"/>
  <c r="J36" i="70"/>
  <c r="M8" i="15"/>
  <c r="F28" i="44"/>
  <c r="M26" i="44"/>
  <c r="B12" i="67"/>
  <c r="I4" i="65"/>
  <c r="F14" i="67"/>
  <c r="B7" i="67"/>
  <c r="M24" i="70"/>
  <c r="M26" i="70"/>
  <c r="J5" i="65"/>
  <c r="M30" i="44"/>
  <c r="L47" i="70"/>
  <c r="L47" i="15"/>
  <c r="M6" i="70"/>
  <c r="F10" i="44"/>
  <c r="F18" i="44"/>
  <c r="F40" i="44"/>
  <c r="B14" i="67"/>
  <c r="L48" i="15"/>
  <c r="L48" i="44"/>
  <c r="F11" i="44"/>
  <c r="F36" i="15"/>
  <c r="N6" i="65"/>
  <c r="F46" i="44"/>
  <c r="F38" i="15"/>
  <c r="F16" i="15"/>
  <c r="M8" i="70"/>
  <c r="M27" i="70"/>
  <c r="J6" i="65"/>
  <c r="B9" i="67"/>
  <c r="F11" i="67"/>
  <c r="N3" i="65"/>
  <c r="M8" i="44"/>
  <c r="F6" i="70"/>
  <c r="F26" i="15"/>
  <c r="M28" i="70"/>
  <c r="M24" i="15"/>
  <c r="M9" i="15"/>
  <c r="F36" i="70"/>
  <c r="L48" i="70"/>
  <c r="F13" i="15"/>
  <c r="E9" i="67"/>
  <c r="N7" i="65"/>
  <c r="F38" i="70"/>
  <c r="B11" i="67"/>
  <c r="F43" i="15"/>
  <c r="M27" i="15"/>
  <c r="E14" i="67"/>
  <c r="F41" i="15"/>
  <c r="F42" i="70"/>
  <c r="F7" i="67"/>
  <c r="F38" i="44"/>
  <c r="E8" i="67"/>
  <c r="M22" i="15"/>
  <c r="F12" i="67"/>
  <c r="F7" i="15"/>
  <c r="E10" i="67"/>
  <c r="F26" i="70"/>
  <c r="F10" i="67"/>
  <c r="E13" i="67"/>
  <c r="J3" i="65"/>
  <c r="M11" i="44"/>
  <c r="F39" i="44"/>
  <c r="J15" i="15"/>
  <c r="F40" i="15"/>
  <c r="F43" i="44"/>
  <c r="F8" i="67"/>
  <c r="M26" i="15"/>
  <c r="F9" i="44"/>
  <c r="I3" i="65"/>
  <c r="E7" i="67"/>
  <c r="F16" i="70"/>
  <c r="N5" i="65"/>
  <c r="F6" i="15"/>
  <c r="M29" i="70"/>
  <c r="F15" i="44"/>
  <c r="M10" i="44"/>
  <c r="N4" i="65"/>
  <c r="F9" i="70"/>
  <c r="F42" i="15"/>
  <c r="C19" i="44"/>
  <c r="F31" i="70"/>
  <c r="F31" i="15"/>
  <c r="D22" i="12"/>
  <c r="D21" i="12"/>
  <c r="D16" i="12"/>
  <c r="M21" i="15"/>
  <c r="F37" i="44"/>
  <c r="F35" i="15"/>
  <c r="C14" i="15"/>
  <c r="C14" i="70"/>
  <c r="M23" i="44"/>
  <c r="C16" i="44"/>
  <c r="M21" i="70"/>
  <c r="F35" i="70"/>
  <c r="C15" i="12"/>
  <c r="C13" i="12"/>
  <c r="F33" i="44"/>
  <c r="E7" i="52"/>
  <c r="E21" i="52"/>
  <c r="E8" i="52"/>
  <c r="B16" i="52"/>
  <c r="C14" i="12"/>
  <c r="C17" i="12"/>
  <c r="F62" i="70"/>
  <c r="C61" i="70"/>
  <c r="C34" i="70"/>
  <c r="J20" i="70"/>
  <c r="C20" i="44"/>
  <c r="C17" i="44"/>
  <c r="J22" i="44"/>
  <c r="C18" i="70"/>
  <c r="C15" i="70"/>
  <c r="C15" i="15"/>
  <c r="C18" i="15"/>
  <c r="F62" i="15"/>
  <c r="C61" i="15"/>
  <c r="C34" i="15"/>
  <c r="C36" i="44"/>
  <c r="J20" i="15"/>
  <c r="D19" i="12"/>
  <c r="C19" i="12"/>
  <c r="C16" i="12"/>
  <c r="C21" i="12"/>
  <c r="C22" i="12"/>
  <c r="C4" i="65"/>
  <c r="B39" i="1"/>
  <c r="C6" i="15"/>
  <c r="E3" i="67"/>
  <c r="M9" i="44"/>
  <c r="Q73" i="44"/>
  <c r="F67" i="15"/>
  <c r="J1" i="65"/>
  <c r="C27" i="70"/>
  <c r="M7" i="15"/>
  <c r="F49" i="15"/>
  <c r="E4" i="67"/>
  <c r="F68" i="15"/>
  <c r="F70" i="15"/>
  <c r="F65" i="70"/>
  <c r="J53" i="70"/>
  <c r="I54" i="70"/>
  <c r="J57" i="70"/>
  <c r="J55" i="70"/>
  <c r="J58" i="70"/>
  <c r="Q51" i="70"/>
  <c r="L56" i="70"/>
  <c r="J60" i="70"/>
  <c r="Q49" i="70"/>
  <c r="J59" i="70"/>
  <c r="F63" i="70"/>
  <c r="C27" i="15"/>
  <c r="C6" i="70"/>
  <c r="J8" i="44"/>
  <c r="F65" i="15"/>
  <c r="F63" i="15"/>
  <c r="L59" i="44"/>
  <c r="L60" i="44"/>
  <c r="J57" i="15"/>
  <c r="J55" i="15"/>
  <c r="J58" i="15"/>
  <c r="Q51" i="15"/>
  <c r="I54" i="15"/>
  <c r="L56" i="15"/>
  <c r="J53" i="15"/>
  <c r="J60" i="15"/>
  <c r="Q49" i="15"/>
  <c r="J59" i="15"/>
  <c r="M7" i="70"/>
  <c r="J6" i="70"/>
  <c r="L58" i="15"/>
  <c r="L59" i="15"/>
  <c r="L59" i="70"/>
  <c r="L58" i="70"/>
  <c r="B2" i="67"/>
  <c r="E20" i="46"/>
  <c r="E20" i="69"/>
  <c r="E20" i="68"/>
  <c r="C29" i="44"/>
  <c r="Q72" i="70"/>
  <c r="F50" i="70"/>
  <c r="I1" i="65"/>
  <c r="F64" i="70"/>
  <c r="F70" i="70"/>
  <c r="F64" i="15"/>
  <c r="F50" i="15"/>
  <c r="C48" i="15"/>
  <c r="F49" i="70"/>
  <c r="C34" i="12"/>
  <c r="D33" i="12"/>
  <c r="C8" i="44"/>
  <c r="J61" i="44"/>
  <c r="Q50" i="44"/>
  <c r="I55" i="44"/>
  <c r="J58" i="44"/>
  <c r="J56" i="44"/>
  <c r="J59" i="44"/>
  <c r="Q52" i="44"/>
  <c r="J54" i="44"/>
  <c r="J60" i="44"/>
  <c r="L57" i="44"/>
  <c r="F67" i="70"/>
  <c r="Q72" i="15"/>
  <c r="J6" i="15"/>
  <c r="F68" i="70"/>
  <c r="O15" i="72"/>
  <c r="P15" i="72"/>
  <c r="N15" i="72"/>
  <c r="H50" i="73"/>
  <c r="I50" i="73"/>
  <c r="C15" i="73"/>
  <c r="M11" i="72"/>
  <c r="F11" i="72"/>
  <c r="G11" i="72"/>
  <c r="C14" i="43"/>
  <c r="C18" i="43"/>
  <c r="E22" i="52"/>
  <c r="E9" i="52"/>
  <c r="B10" i="52"/>
  <c r="B4" i="52"/>
  <c r="E5" i="52"/>
  <c r="E10" i="52"/>
  <c r="C4" i="4"/>
  <c r="B20" i="55"/>
  <c r="B70" i="63"/>
  <c r="B8" i="52"/>
  <c r="B7" i="52"/>
  <c r="E4" i="52"/>
  <c r="B11" i="52"/>
  <c r="B5" i="52"/>
  <c r="B22" i="52"/>
  <c r="B14" i="52"/>
  <c r="C16" i="70"/>
  <c r="M19" i="44"/>
  <c r="F58" i="15"/>
  <c r="C17" i="15"/>
  <c r="C16" i="15"/>
  <c r="E2" i="65"/>
  <c r="F58" i="70"/>
  <c r="E3" i="65"/>
  <c r="M17" i="15"/>
  <c r="C18" i="44"/>
  <c r="C17" i="70"/>
  <c r="M17" i="70"/>
  <c r="C18" i="12"/>
  <c r="C20" i="12"/>
  <c r="F17" i="11"/>
  <c r="C17" i="11"/>
  <c r="C19" i="11"/>
  <c r="B40" i="1"/>
  <c r="C19" i="15"/>
  <c r="C19" i="70"/>
  <c r="C21" i="44"/>
  <c r="C48" i="70"/>
  <c r="O17" i="69"/>
  <c r="P17" i="69"/>
  <c r="N17" i="69"/>
  <c r="G20" i="69"/>
  <c r="C20" i="69"/>
  <c r="M17" i="69"/>
  <c r="B4" i="67"/>
  <c r="B3" i="67"/>
  <c r="Q62" i="70"/>
  <c r="Q75" i="70"/>
  <c r="Q61" i="15"/>
  <c r="Q74" i="15"/>
  <c r="Q62" i="44"/>
  <c r="Q75" i="44"/>
  <c r="C19" i="43"/>
  <c r="C25" i="43"/>
  <c r="C24" i="43"/>
  <c r="O11" i="72"/>
  <c r="P11" i="72"/>
  <c r="N11" i="72"/>
  <c r="E15" i="73"/>
  <c r="L16" i="75"/>
  <c r="M16" i="75"/>
  <c r="F1" i="44"/>
  <c r="Q54" i="44"/>
  <c r="P17" i="68"/>
  <c r="M17" i="68"/>
  <c r="G20" i="68"/>
  <c r="C20" i="68"/>
  <c r="N17" i="68"/>
  <c r="O17" i="68"/>
  <c r="O17" i="46"/>
  <c r="G20" i="46"/>
  <c r="C20" i="46"/>
  <c r="N17" i="46"/>
  <c r="M17" i="46"/>
  <c r="P17" i="46"/>
  <c r="Q61" i="70"/>
  <c r="Q74" i="70"/>
  <c r="Q62" i="15"/>
  <c r="Q75" i="15"/>
  <c r="F1" i="15"/>
  <c r="Q53" i="15"/>
  <c r="Q63" i="44"/>
  <c r="Q76" i="44"/>
  <c r="Q53" i="70"/>
  <c r="F1" i="70"/>
  <c r="F11" i="70"/>
  <c r="M11" i="70"/>
  <c r="J10" i="70"/>
  <c r="J5" i="70"/>
  <c r="M13" i="44"/>
  <c r="J12" i="44"/>
  <c r="J7" i="44"/>
  <c r="F13" i="44"/>
  <c r="C12" i="44"/>
  <c r="C7" i="44"/>
  <c r="F11" i="15"/>
  <c r="M11" i="15"/>
  <c r="J10" i="15"/>
  <c r="J5" i="15"/>
  <c r="C23" i="12"/>
  <c r="C35" i="12"/>
  <c r="C33" i="12"/>
  <c r="J18" i="15"/>
  <c r="J26" i="15"/>
  <c r="J29" i="15"/>
  <c r="J24" i="15"/>
  <c r="C40" i="44"/>
  <c r="C34" i="44"/>
  <c r="J18" i="70"/>
  <c r="J24" i="70"/>
  <c r="J26" i="70"/>
  <c r="J29" i="70"/>
  <c r="J26" i="44"/>
  <c r="J20" i="44"/>
  <c r="J28" i="44"/>
  <c r="J31" i="44"/>
  <c r="C52" i="15"/>
  <c r="C47" i="15"/>
  <c r="C10" i="15"/>
  <c r="C5" i="15"/>
  <c r="C52" i="70"/>
  <c r="C10" i="70"/>
  <c r="C5" i="70"/>
  <c r="H4" i="75"/>
  <c r="F32" i="43"/>
  <c r="C39" i="46"/>
  <c r="C36" i="46"/>
  <c r="C33" i="46"/>
  <c r="C35" i="46"/>
  <c r="C37" i="46"/>
  <c r="T2" i="46"/>
  <c r="V2" i="46"/>
  <c r="T6" i="46"/>
  <c r="V6" i="46"/>
  <c r="T10" i="46"/>
  <c r="V10" i="46"/>
  <c r="T14" i="46"/>
  <c r="V14" i="46"/>
  <c r="T5" i="46"/>
  <c r="V5" i="46"/>
  <c r="T11" i="46"/>
  <c r="V11" i="46"/>
  <c r="T15" i="46"/>
  <c r="V15" i="46"/>
  <c r="C29" i="46"/>
  <c r="T4" i="46"/>
  <c r="V4" i="46"/>
  <c r="F36" i="12"/>
  <c r="C34" i="46"/>
  <c r="T7" i="46"/>
  <c r="V7" i="46"/>
  <c r="T8" i="46"/>
  <c r="V8" i="46"/>
  <c r="T12" i="46"/>
  <c r="V12" i="46"/>
  <c r="T16" i="46"/>
  <c r="V16" i="46"/>
  <c r="T9" i="46"/>
  <c r="V9" i="46"/>
  <c r="T13" i="46"/>
  <c r="V13" i="46"/>
  <c r="C38" i="46"/>
  <c r="T3" i="46"/>
  <c r="V3" i="46"/>
  <c r="C35" i="69"/>
  <c r="C38" i="69"/>
  <c r="T13" i="69"/>
  <c r="V13" i="69"/>
  <c r="T12" i="69"/>
  <c r="V12" i="69"/>
  <c r="T10" i="69"/>
  <c r="V10" i="69"/>
  <c r="T6" i="69"/>
  <c r="V6" i="69"/>
  <c r="T4" i="69"/>
  <c r="V4" i="69"/>
  <c r="T3" i="69"/>
  <c r="V3" i="69"/>
  <c r="C34" i="69"/>
  <c r="T16" i="69"/>
  <c r="V16" i="69"/>
  <c r="T15" i="69"/>
  <c r="V15" i="69"/>
  <c r="T14" i="69"/>
  <c r="V14" i="69"/>
  <c r="T11" i="69"/>
  <c r="V11" i="69"/>
  <c r="T9" i="69"/>
  <c r="V9" i="69"/>
  <c r="T8" i="69"/>
  <c r="V8" i="69"/>
  <c r="T7" i="69"/>
  <c r="V7" i="69"/>
  <c r="T5" i="69"/>
  <c r="V5" i="69"/>
  <c r="T2" i="69"/>
  <c r="V2" i="69"/>
  <c r="C29" i="69"/>
  <c r="C39" i="69"/>
  <c r="C33" i="69"/>
  <c r="C36" i="69"/>
  <c r="C37" i="69"/>
  <c r="C20" i="70"/>
  <c r="C26" i="70"/>
  <c r="F24" i="70"/>
  <c r="C24" i="70"/>
  <c r="F24" i="15"/>
  <c r="C24" i="15"/>
  <c r="F21" i="43"/>
  <c r="C23" i="43"/>
  <c r="D21" i="43"/>
  <c r="F26" i="44"/>
  <c r="C26" i="44"/>
  <c r="F26" i="12"/>
  <c r="C35" i="68"/>
  <c r="T11" i="68"/>
  <c r="V11" i="68"/>
  <c r="T2" i="68"/>
  <c r="V2" i="68"/>
  <c r="T13" i="68"/>
  <c r="V13" i="68"/>
  <c r="T3" i="68"/>
  <c r="V3" i="68"/>
  <c r="T8" i="68"/>
  <c r="V8" i="68"/>
  <c r="T15" i="68"/>
  <c r="V15" i="68"/>
  <c r="C38" i="68"/>
  <c r="T10" i="68"/>
  <c r="V10" i="68"/>
  <c r="C34" i="68"/>
  <c r="C36" i="68"/>
  <c r="T6" i="68"/>
  <c r="V6" i="68"/>
  <c r="C29" i="68"/>
  <c r="T4" i="68"/>
  <c r="V4" i="68"/>
  <c r="T7" i="68"/>
  <c r="V7" i="68"/>
  <c r="T9" i="68"/>
  <c r="V9" i="68"/>
  <c r="T14" i="68"/>
  <c r="V14" i="68"/>
  <c r="T16" i="68"/>
  <c r="V16" i="68"/>
  <c r="C37" i="68"/>
  <c r="C39" i="68"/>
  <c r="T5" i="68"/>
  <c r="V5" i="68"/>
  <c r="T12" i="68"/>
  <c r="V12" i="68"/>
  <c r="C33" i="68"/>
  <c r="C47" i="70"/>
  <c r="C22" i="44"/>
  <c r="C28" i="44"/>
  <c r="C20" i="15"/>
  <c r="C23" i="15"/>
  <c r="C20" i="11"/>
  <c r="C21" i="11"/>
  <c r="C22" i="11"/>
  <c r="C23" i="11"/>
  <c r="B2" i="11"/>
  <c r="L52" i="44"/>
  <c r="Q69" i="44"/>
  <c r="L58" i="44"/>
  <c r="L61" i="44"/>
  <c r="B3" i="11"/>
  <c r="B5" i="11"/>
  <c r="B4" i="11"/>
  <c r="C25" i="44"/>
  <c r="C30" i="68"/>
  <c r="E30" i="68"/>
  <c r="E29" i="68"/>
  <c r="G36" i="68"/>
  <c r="I36" i="68"/>
  <c r="E36" i="68"/>
  <c r="G35" i="68"/>
  <c r="I35" i="68"/>
  <c r="E35" i="68"/>
  <c r="C26" i="15"/>
  <c r="C29" i="15"/>
  <c r="C31" i="44"/>
  <c r="C59" i="70"/>
  <c r="C65" i="70"/>
  <c r="E39" i="68"/>
  <c r="G39" i="68"/>
  <c r="I39" i="68"/>
  <c r="G34" i="68"/>
  <c r="I34" i="68"/>
  <c r="E34" i="68"/>
  <c r="E38" i="68"/>
  <c r="G38" i="68"/>
  <c r="I38" i="68"/>
  <c r="C27" i="12"/>
  <c r="D26" i="12"/>
  <c r="C32" i="12"/>
  <c r="D30" i="12"/>
  <c r="C28" i="12"/>
  <c r="C26" i="12"/>
  <c r="C31" i="12"/>
  <c r="C30" i="12"/>
  <c r="C23" i="70"/>
  <c r="C29" i="70"/>
  <c r="G36" i="69"/>
  <c r="I36" i="69"/>
  <c r="E36" i="69"/>
  <c r="G39" i="69"/>
  <c r="I39" i="69"/>
  <c r="E39" i="69"/>
  <c r="G38" i="69"/>
  <c r="I38" i="69"/>
  <c r="E38" i="69"/>
  <c r="C22" i="43"/>
  <c r="C21" i="43"/>
  <c r="C28" i="43"/>
  <c r="C30" i="43"/>
  <c r="C32" i="43"/>
  <c r="C33" i="43"/>
  <c r="B2" i="43"/>
  <c r="G38" i="46"/>
  <c r="I38" i="46"/>
  <c r="E38" i="46"/>
  <c r="H5" i="73"/>
  <c r="E29" i="46"/>
  <c r="C30" i="46"/>
  <c r="E30" i="46"/>
  <c r="G37" i="46"/>
  <c r="I37" i="46"/>
  <c r="E37" i="46"/>
  <c r="G33" i="46"/>
  <c r="I33" i="46"/>
  <c r="E33" i="46"/>
  <c r="G39" i="46"/>
  <c r="I39" i="46"/>
  <c r="E39" i="46"/>
  <c r="C59" i="15"/>
  <c r="C65" i="15"/>
  <c r="Q67" i="44"/>
  <c r="Q49" i="44"/>
  <c r="Q55" i="44"/>
  <c r="Q58" i="44"/>
  <c r="E33" i="68"/>
  <c r="G33" i="68"/>
  <c r="I33" i="68"/>
  <c r="E37" i="68"/>
  <c r="G37" i="68"/>
  <c r="I37" i="68"/>
  <c r="G37" i="69"/>
  <c r="I37" i="69"/>
  <c r="E37" i="69"/>
  <c r="G33" i="69"/>
  <c r="I33" i="69"/>
  <c r="E33" i="69"/>
  <c r="C30" i="69"/>
  <c r="E30" i="69"/>
  <c r="E29" i="69"/>
  <c r="G34" i="69"/>
  <c r="I34" i="69"/>
  <c r="E34" i="69"/>
  <c r="G35" i="69"/>
  <c r="I35" i="69"/>
  <c r="E35" i="69"/>
  <c r="G34" i="46"/>
  <c r="I34" i="46"/>
  <c r="E34" i="46"/>
  <c r="G35" i="46"/>
  <c r="I35" i="46"/>
  <c r="E35" i="46"/>
  <c r="G36" i="46"/>
  <c r="I36" i="46"/>
  <c r="E36" i="46"/>
  <c r="C32" i="70"/>
  <c r="C38" i="70"/>
  <c r="C32" i="15"/>
  <c r="C38" i="15"/>
  <c r="C26" i="46"/>
  <c r="B2" i="46"/>
  <c r="D4" i="46"/>
  <c r="C26" i="69"/>
  <c r="B2" i="69"/>
  <c r="C27" i="46"/>
  <c r="I20" i="73"/>
  <c r="H14" i="72"/>
  <c r="I14" i="72"/>
  <c r="C15" i="75"/>
  <c r="C36" i="12"/>
  <c r="B2" i="12"/>
  <c r="C27" i="68"/>
  <c r="Q68" i="44"/>
  <c r="Q77" i="44"/>
  <c r="Q59" i="44"/>
  <c r="Q64" i="44"/>
  <c r="L47" i="44"/>
  <c r="C27" i="69"/>
  <c r="B3" i="46"/>
  <c r="B3" i="43"/>
  <c r="B4" i="43"/>
  <c r="B5" i="43"/>
  <c r="J19" i="70"/>
  <c r="J17" i="70"/>
  <c r="Q50" i="70"/>
  <c r="C36" i="70"/>
  <c r="C56" i="70"/>
  <c r="C33" i="70"/>
  <c r="C31" i="70"/>
  <c r="C13" i="70"/>
  <c r="J14" i="70"/>
  <c r="Q51" i="44"/>
  <c r="C35" i="44"/>
  <c r="C33" i="44"/>
  <c r="C15" i="44"/>
  <c r="J16" i="44"/>
  <c r="C38" i="44"/>
  <c r="J21" i="44"/>
  <c r="J19" i="44"/>
  <c r="C26" i="68"/>
  <c r="B2" i="68"/>
  <c r="J14" i="15"/>
  <c r="C56" i="15"/>
  <c r="J19" i="15"/>
  <c r="J17" i="15"/>
  <c r="C33" i="15"/>
  <c r="C31" i="15"/>
  <c r="C13" i="15"/>
  <c r="C36" i="15"/>
  <c r="Q50" i="15"/>
  <c r="C19" i="9"/>
  <c r="D19" i="9"/>
  <c r="C20" i="9"/>
  <c r="L43" i="9"/>
  <c r="B4" i="46"/>
  <c r="L44" i="9"/>
  <c r="D22" i="9"/>
  <c r="G19" i="9"/>
  <c r="J35" i="15"/>
  <c r="Q71" i="15"/>
  <c r="C55" i="15"/>
  <c r="C64" i="15"/>
  <c r="C37" i="15"/>
  <c r="C30" i="15"/>
  <c r="C39" i="15"/>
  <c r="J13" i="15"/>
  <c r="J23" i="15"/>
  <c r="J22" i="15"/>
  <c r="J16" i="15"/>
  <c r="J25" i="15"/>
  <c r="J15" i="44"/>
  <c r="J25" i="44"/>
  <c r="J24" i="44"/>
  <c r="J18" i="44"/>
  <c r="J27" i="44"/>
  <c r="J13" i="70"/>
  <c r="J23" i="70"/>
  <c r="J22" i="70"/>
  <c r="J16" i="70"/>
  <c r="J25" i="70"/>
  <c r="C60" i="15"/>
  <c r="C58" i="15"/>
  <c r="C63" i="15"/>
  <c r="D4" i="68"/>
  <c r="B4" i="68"/>
  <c r="B3" i="68"/>
  <c r="C39" i="44"/>
  <c r="C32" i="44"/>
  <c r="C42" i="44"/>
  <c r="Q72" i="44"/>
  <c r="C43" i="44"/>
  <c r="C55" i="70"/>
  <c r="C64" i="70"/>
  <c r="J35" i="70"/>
  <c r="Q71" i="70"/>
  <c r="C37" i="70"/>
  <c r="C63" i="70"/>
  <c r="C60" i="70"/>
  <c r="C58" i="70"/>
  <c r="K4" i="75"/>
  <c r="L4" i="75"/>
  <c r="C30" i="70"/>
  <c r="C39" i="70"/>
  <c r="H20" i="73"/>
  <c r="D4" i="69"/>
  <c r="B3" i="69"/>
  <c r="B4" i="69"/>
  <c r="C21" i="9"/>
  <c r="B5" i="12"/>
  <c r="B3" i="12"/>
  <c r="D20" i="9"/>
  <c r="B4" i="12"/>
  <c r="D21" i="9"/>
  <c r="J39" i="70"/>
  <c r="J40" i="70"/>
  <c r="G21" i="9"/>
  <c r="J5" i="73"/>
  <c r="G20" i="9"/>
  <c r="Q70" i="15"/>
  <c r="Q69" i="15"/>
  <c r="C40" i="15"/>
  <c r="Q71" i="44"/>
  <c r="Q70" i="44"/>
  <c r="C44" i="44"/>
  <c r="C45" i="44"/>
  <c r="B2" i="44"/>
  <c r="C40" i="70"/>
  <c r="Q70" i="70"/>
  <c r="Q69" i="70"/>
  <c r="C57" i="70"/>
  <c r="C66" i="70"/>
  <c r="C67" i="70"/>
  <c r="C57" i="15"/>
  <c r="C66" i="15"/>
  <c r="C67" i="15"/>
  <c r="J39" i="15"/>
  <c r="J40" i="15"/>
  <c r="G22" i="9"/>
  <c r="C32" i="9"/>
  <c r="N43" i="9"/>
  <c r="L51" i="70"/>
  <c r="L51" i="15"/>
  <c r="Q68" i="15"/>
  <c r="L57" i="15"/>
  <c r="L60" i="15"/>
  <c r="Q68" i="70"/>
  <c r="L57" i="70"/>
  <c r="L60" i="70"/>
  <c r="C46" i="15"/>
  <c r="C70" i="15"/>
  <c r="C34" i="9"/>
  <c r="C35" i="9"/>
  <c r="F42" i="9"/>
  <c r="C33" i="9"/>
  <c r="C42" i="9"/>
  <c r="O38" i="9"/>
  <c r="O43" i="9"/>
  <c r="C46" i="70"/>
  <c r="C70" i="70"/>
  <c r="B3" i="44"/>
  <c r="B4" i="44"/>
  <c r="B5" i="44"/>
  <c r="J14" i="72"/>
  <c r="K14" i="72"/>
  <c r="K20" i="73"/>
  <c r="K9" i="75"/>
  <c r="L9" i="75"/>
  <c r="E15" i="75"/>
  <c r="O5" i="73"/>
  <c r="C43" i="70"/>
  <c r="Q48" i="70"/>
  <c r="Q54" i="70"/>
  <c r="Q66" i="70"/>
  <c r="Q57" i="70"/>
  <c r="J42" i="70"/>
  <c r="J43" i="70"/>
  <c r="Q48" i="15"/>
  <c r="Q54" i="15"/>
  <c r="C43" i="15"/>
  <c r="Q57" i="15"/>
  <c r="Q66" i="15"/>
  <c r="J42" i="15"/>
  <c r="J43" i="15"/>
  <c r="Q5" i="73"/>
  <c r="F14" i="72"/>
  <c r="G14" i="72"/>
  <c r="C8" i="73"/>
  <c r="R5" i="54"/>
  <c r="B48" i="63"/>
  <c r="D14" i="66"/>
  <c r="D63" i="9"/>
  <c r="N68" i="9"/>
  <c r="Q67" i="70"/>
  <c r="Q76" i="70"/>
  <c r="Q58" i="70"/>
  <c r="Q63" i="70"/>
  <c r="L46" i="70"/>
  <c r="B2" i="70"/>
  <c r="B3" i="70"/>
  <c r="Q58" i="15"/>
  <c r="Q63" i="15"/>
  <c r="Q67" i="15"/>
  <c r="Q76" i="15"/>
  <c r="L46" i="15"/>
  <c r="B2" i="15"/>
  <c r="B3" i="15"/>
  <c r="J20" i="73"/>
  <c r="O20" i="73"/>
  <c r="M20" i="73"/>
  <c r="K26" i="9"/>
  <c r="K25" i="9"/>
  <c r="N38" i="9"/>
  <c r="K28" i="9"/>
  <c r="D42" i="9"/>
  <c r="Q5" i="54"/>
  <c r="B47" i="63"/>
  <c r="M38" i="9"/>
  <c r="K27" i="9"/>
  <c r="E42" i="9"/>
  <c r="P5" i="54"/>
  <c r="B46" i="63"/>
  <c r="D70" i="9"/>
  <c r="C90" i="9"/>
  <c r="D71" i="9"/>
  <c r="D66" i="9"/>
  <c r="N72" i="9"/>
  <c r="C96" i="9"/>
  <c r="C91" i="9"/>
  <c r="D77" i="9"/>
  <c r="N75" i="9"/>
  <c r="C103" i="9"/>
  <c r="C111" i="9"/>
  <c r="C104" i="9"/>
  <c r="C82" i="9"/>
  <c r="C81" i="9"/>
  <c r="C85" i="9"/>
  <c r="C86" i="9"/>
  <c r="D72" i="9"/>
  <c r="O14" i="72"/>
  <c r="P14" i="72"/>
  <c r="N14" i="72"/>
  <c r="F14" i="66"/>
  <c r="E14" i="66"/>
  <c r="B5" i="66"/>
  <c r="E8" i="73"/>
  <c r="K15" i="75"/>
  <c r="D42" i="73"/>
  <c r="C14" i="73"/>
  <c r="F44" i="73"/>
  <c r="H42" i="73"/>
  <c r="I42" i="73"/>
  <c r="D43" i="73"/>
  <c r="E42" i="73"/>
  <c r="E11" i="73"/>
  <c r="J18" i="75"/>
  <c r="J15" i="75"/>
  <c r="C113" i="9"/>
  <c r="C97" i="9"/>
  <c r="E14" i="73"/>
  <c r="E17" i="73"/>
  <c r="L15" i="75"/>
  <c r="M15" i="75"/>
  <c r="M19" i="75"/>
  <c r="J21" i="75"/>
  <c r="D5" i="66"/>
  <c r="C5" i="66"/>
  <c r="C98" i="9"/>
  <c r="E98" i="9"/>
  <c r="E99" i="9"/>
  <c r="C114" i="9"/>
  <c r="E114" i="9"/>
  <c r="E115" i="9"/>
  <c r="E43" i="73"/>
  <c r="H43" i="73"/>
  <c r="I43" i="73"/>
  <c r="F45" i="73"/>
  <c r="D44" i="73"/>
  <c r="C115" i="9"/>
  <c r="D76" i="9"/>
  <c r="D74" i="9"/>
  <c r="N74" i="9"/>
  <c r="O77" i="9"/>
  <c r="Q77" i="9"/>
  <c r="H44" i="73"/>
  <c r="I44" i="73"/>
  <c r="E44" i="73"/>
  <c r="D48" i="73"/>
  <c r="F46" i="73"/>
  <c r="C99" i="9"/>
  <c r="O79" i="9"/>
  <c r="O78" i="9"/>
  <c r="O80" i="9"/>
  <c r="O81" i="9"/>
  <c r="H48" i="73"/>
  <c r="I48" i="73"/>
  <c r="E48" i="73"/>
  <c r="F50"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<sst xmlns="http://schemas.openxmlformats.org/spreadsheetml/2006/main" count="8132" uniqueCount="3197">
  <si>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</si>
  <si>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</si>
  <si>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</si>
  <si>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</si>
  <si>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</si>
  <si>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</si>
  <si>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</si>
  <si>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</si>
  <si>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</si>
  <si>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</si>
  <si>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</si>
  <si>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</si>
  <si>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</si>
  <si>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</si>
  <si>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</si>
  <si>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</si>
  <si>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</si>
  <si>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</si>
  <si>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</si>
  <si>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</si>
  <si>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</si>
  <si>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</si>
  <si>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</si>
  <si>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</si>
  <si>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</si>
  <si>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</si>
  <si>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</si>
  <si>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</si>
  <si>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</si>
  <si>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</si>
  <si>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</si>
  <si>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</si>
  <si>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</si>
  <si>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</si>
  <si>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</si>
  <si>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</si>
  <si>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</si>
  <si>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</si>
  <si>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</si>
  <si>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</si>
  <si>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</si>
  <si>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</si>
  <si>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</si>
  <si>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</si>
  <si>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</si>
  <si>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</si>
  <si>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</si>
  <si>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</si>
  <si>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</si>
  <si>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</si>
  <si>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</si>
  <si>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</si>
  <si>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</si>
  <si>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</si>
  <si>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</si>
  <si>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</si>
  <si>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</si>
  <si>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</si>
  <si>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</si>
  <si>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</si>
  <si>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</si>
  <si>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</si>
  <si>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</si>
  <si>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</si>
  <si>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</si>
  <si>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</si>
  <si>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</si>
  <si>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</si>
  <si>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</si>
  <si>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</si>
  <si>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</si>
  <si>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</si>
  <si>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</si>
  <si>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</si>
  <si>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</si>
  <si>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</si>
  <si>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</si>
  <si>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</si>
  <si>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</si>
  <si>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</si>
  <si>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</si>
  <si>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</si>
  <si>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</si>
  <si>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</si>
  <si>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</si>
  <si>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</si>
  <si>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</si>
  <si>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</si>
  <si>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</si>
  <si>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</si>
  <si>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</si>
  <si>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</si>
  <si>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</si>
  <si>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</si>
  <si>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</si>
  <si>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</si>
  <si>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</si>
  <si>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</si>
  <si>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</si>
  <si>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</si>
  <si>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</si>
  <si>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</si>
  <si>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</si>
  <si>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</si>
  <si>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</si>
  <si>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</si>
  <si>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</si>
  <si>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</si>
  <si>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</si>
  <si>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</si>
  <si>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</si>
  <si>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</si>
  <si>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</si>
  <si>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</si>
  <si>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</si>
  <si>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</si>
  <si>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</si>
  <si>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</si>
  <si>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</si>
  <si>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</si>
  <si>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</si>
  <si>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</si>
  <si>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</si>
  <si>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</si>
  <si>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</si>
  <si>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</si>
  <si>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</si>
  <si>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</si>
  <si>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</si>
  <si>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</si>
  <si>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</si>
  <si>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</si>
  <si>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</si>
  <si>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</si>
  <si>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</si>
  <si>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</si>
  <si>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</si>
  <si>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</si>
  <si>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</si>
  <si>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</si>
  <si>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</si>
  <si>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</si>
  <si>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</si>
  <si>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</si>
  <si>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</si>
  <si>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</si>
  <si>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</si>
  <si>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</si>
  <si>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</si>
  <si>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</si>
  <si>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</si>
  <si>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</si>
  <si>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</si>
  <si>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</si>
  <si>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</si>
  <si>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</si>
  <si>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</si>
  <si>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</si>
  <si>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</si>
  <si>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</si>
  <si>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</si>
  <si>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</si>
  <si>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</si>
  <si>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</si>
  <si>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</si>
  <si>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</si>
  <si>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</si>
  <si>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</si>
  <si>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</si>
  <si>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</si>
  <si>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</si>
  <si>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</si>
  <si>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</si>
  <si>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</si>
  <si>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</si>
  <si>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</si>
  <si>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</si>
  <si>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</si>
  <si>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</si>
  <si>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</si>
  <si>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</si>
  <si>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</si>
  <si>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</si>
  <si>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</si>
  <si>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</si>
  <si>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</si>
  <si>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</si>
  <si>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</si>
  <si>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</si>
  <si>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</si>
  <si>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</si>
  <si>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</si>
  <si>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</si>
  <si>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</si>
  <si>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</si>
  <si>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</si>
  <si>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</si>
  <si>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</si>
  <si>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</si>
  <si>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</si>
  <si>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</si>
  <si>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</si>
  <si>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</si>
  <si>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</si>
  <si>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</si>
  <si>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</si>
  <si>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</si>
  <si>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</si>
  <si>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</si>
  <si>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</si>
  <si>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</si>
  <si>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</si>
  <si>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</si>
  <si>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</si>
  <si>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</si>
  <si>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</si>
  <si>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</si>
  <si>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</si>
  <si>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</si>
  <si>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</si>
  <si>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</si>
  <si>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</si>
  <si>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</si>
  <si>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</si>
  <si>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</si>
  <si>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</si>
  <si>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</si>
  <si>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</si>
  <si>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</si>
  <si>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</si>
  <si>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</si>
  <si>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</si>
  <si>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</si>
  <si>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</si>
  <si>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</si>
  <si>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</si>
  <si>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</si>
  <si>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</si>
  <si>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</si>
  <si>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</si>
  <si>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</si>
  <si>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</si>
  <si>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</si>
  <si>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</si>
  <si>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</si>
  <si>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</si>
  <si>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</si>
  <si>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</si>
  <si>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</si>
  <si>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</si>
  <si>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</si>
  <si>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</si>
  <si>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</si>
  <si>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</si>
  <si>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</si>
  <si>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</si>
  <si>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</si>
  <si>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</si>
  <si>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</si>
  <si>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</si>
  <si>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</si>
  <si>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</si>
  <si>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</si>
  <si>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</si>
  <si>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</si>
  <si>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</si>
  <si>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</si>
  <si>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</si>
  <si>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</si>
  <si>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</si>
  <si>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</si>
  <si>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</si>
  <si>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</si>
  <si>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</si>
  <si>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</si>
  <si>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</si>
  <si>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</si>
  <si>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</si>
  <si>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</si>
  <si>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</si>
  <si>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</si>
  <si>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</si>
  <si>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</si>
  <si>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</si>
  <si>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</si>
  <si>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</si>
  <si>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</si>
  <si>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</si>
  <si>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</si>
  <si>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</si>
  <si>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</si>
  <si>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</si>
  <si>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</si>
  <si>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</si>
  <si>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</si>
  <si>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</si>
  <si>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</si>
  <si>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</si>
  <si>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</si>
  <si>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</si>
  <si>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</si>
  <si>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</si>
  <si>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</si>
  <si>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</si>
  <si>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</si>
  <si>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</si>
  <si>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</si>
  <si>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</si>
  <si>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</si>
  <si>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</si>
  <si>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</si>
  <si>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</si>
  <si>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</si>
  <si>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</si>
  <si>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</si>
  <si>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</si>
  <si>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</si>
  <si>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</si>
  <si>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</si>
  <si>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</si>
  <si>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</si>
  <si>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</si>
  <si>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</si>
  <si>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</si>
  <si>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</si>
  <si>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</si>
  <si>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</si>
  <si>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</si>
  <si>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</si>
  <si>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</si>
  <si>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</si>
  <si>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</si>
  <si>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</si>
  <si>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</si>
  <si>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</si>
  <si>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</si>
  <si>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</si>
  <si>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</si>
  <si>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</si>
  <si>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</si>
  <si>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</si>
  <si>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</si>
  <si>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</si>
  <si>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</si>
  <si>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</si>
  <si>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</si>
  <si>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</si>
  <si>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</si>
  <si>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</si>
  <si>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</si>
  <si>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</si>
  <si>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</si>
  <si>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</si>
  <si>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</si>
  <si>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</si>
  <si>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</si>
  <si>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</si>
  <si>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</si>
  <si>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</si>
  <si>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</si>
  <si>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</si>
  <si>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</si>
  <si>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</si>
  <si>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</si>
  <si>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</si>
  <si>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</si>
  <si>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</si>
  <si>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</si>
  <si>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</si>
  <si>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</si>
  <si>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</si>
  <si>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</si>
  <si>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</si>
  <si>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</si>
  <si>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</si>
  <si>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</si>
  <si>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</si>
  <si>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</si>
  <si>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</si>
  <si>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</si>
  <si>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</si>
  <si>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</si>
  <si>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</si>
  <si>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</si>
  <si>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</si>
  <si>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</si>
  <si>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</si>
  <si>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</si>
  <si>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</si>
  <si>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</si>
  <si>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</si>
  <si>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</si>
  <si>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</si>
  <si>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</si>
  <si>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</si>
  <si>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</si>
  <si>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</si>
  <si>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</si>
  <si>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</si>
  <si>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</si>
  <si>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</si>
  <si>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</si>
  <si>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</si>
  <si>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</si>
  <si>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</si>
  <si>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</si>
  <si>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</si>
  <si>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</si>
  <si>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</si>
  <si>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</si>
  <si>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</si>
  <si>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</si>
  <si>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</si>
  <si>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</si>
  <si>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</si>
  <si>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</si>
  <si>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</si>
  <si>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</si>
  <si>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</si>
  <si>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</si>
  <si>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</si>
  <si>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</si>
  <si>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</si>
  <si>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</si>
  <si>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</si>
  <si>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</si>
  <si>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</si>
  <si>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</si>
  <si>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</si>
  <si>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</si>
  <si>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</si>
  <si>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</si>
  <si>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</si>
  <si>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</si>
  <si>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</si>
  <si>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</si>
  <si>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</si>
  <si>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</si>
  <si>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</si>
  <si>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</si>
  <si>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</si>
  <si>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</si>
  <si>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</si>
  <si>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</si>
  <si>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</si>
  <si>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</si>
  <si>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</si>
  <si>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</si>
  <si>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</si>
  <si>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</si>
  <si>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</si>
  <si>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</si>
  <si>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</si>
  <si>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</si>
  <si>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</si>
  <si>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</si>
  <si>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</si>
  <si>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</si>
  <si>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</si>
  <si>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</si>
  <si>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</si>
  <si>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</si>
  <si>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</si>
  <si>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</si>
  <si>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</si>
  <si>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</si>
  <si>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</si>
  <si>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</si>
  <si>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</si>
  <si>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</si>
  <si>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</si>
  <si>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</si>
  <si>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</si>
  <si>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</si>
  <si>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</si>
  <si>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</si>
  <si>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</si>
  <si>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</si>
  <si>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</si>
  <si>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</si>
  <si>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</si>
  <si>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</si>
  <si>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</si>
  <si>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</si>
  <si>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</si>
  <si>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</si>
  <si>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</si>
  <si>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</si>
  <si>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</si>
  <si>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</si>
  <si>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</si>
  <si>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</si>
  <si>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</si>
  <si>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</si>
  <si>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</si>
  <si>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</si>
  <si>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</si>
  <si>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</si>
  <si>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</si>
  <si>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</si>
  <si>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</si>
  <si>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</si>
  <si>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</si>
  <si>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</si>
  <si>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</si>
  <si>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</si>
  <si>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</si>
  <si>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</si>
  <si>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</si>
  <si>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</si>
  <si>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</si>
  <si>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</si>
  <si>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</si>
  <si>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</si>
  <si>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</si>
  <si>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</si>
  <si>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</si>
  <si>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</si>
  <si>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</si>
  <si>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</si>
  <si>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</si>
  <si>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</si>
  <si>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</si>
  <si>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</si>
  <si>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</si>
  <si>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</si>
  <si>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</si>
  <si>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</si>
  <si>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</si>
  <si>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</si>
  <si>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</si>
  <si>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</si>
  <si>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</si>
  <si>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</si>
  <si>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</si>
  <si>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</si>
  <si>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</si>
  <si>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</si>
  <si>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</si>
  <si>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</si>
  <si>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</si>
  <si>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</si>
  <si>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</si>
  <si>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</si>
  <si>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</si>
  <si>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</si>
  <si>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</si>
  <si>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</si>
  <si>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</si>
  <si>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</si>
  <si>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</si>
  <si>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</si>
  <si>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</si>
  <si>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</si>
  <si>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</si>
  <si>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</si>
  <si>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</si>
  <si>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</si>
  <si>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</si>
  <si>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</si>
  <si>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</si>
  <si>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</si>
  <si>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</si>
  <si>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</si>
  <si>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</si>
  <si>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</si>
  <si>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</si>
  <si>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</si>
  <si>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</si>
  <si>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</si>
  <si>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</si>
  <si>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</si>
  <si>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</si>
  <si>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</si>
  <si>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</si>
  <si>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</si>
  <si>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</si>
  <si>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</si>
  <si>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</si>
  <si>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</si>
  <si>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</si>
  <si>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</si>
  <si>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</si>
  <si>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</si>
  <si>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</si>
  <si>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</si>
  <si>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</si>
  <si>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</si>
  <si>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</si>
  <si>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</si>
  <si>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</si>
  <si>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</si>
  <si>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</si>
  <si>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</si>
  <si>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</si>
  <si>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</si>
  <si>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</si>
  <si>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</si>
  <si>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</si>
  <si>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</si>
  <si>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</si>
  <si>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</si>
  <si>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</si>
  <si>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</si>
  <si>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</si>
  <si>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</si>
  <si>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</si>
  <si>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</si>
  <si>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</si>
  <si>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</si>
  <si>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</si>
  <si>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</si>
  <si>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</si>
  <si>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</si>
  <si>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</si>
  <si>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</si>
  <si>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</si>
  <si>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</si>
  <si>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</si>
  <si>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</si>
  <si>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</si>
  <si>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</si>
  <si>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</si>
  <si>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</si>
  <si>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</si>
  <si>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</si>
  <si>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</si>
  <si>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</si>
  <si>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</si>
  <si>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</si>
  <si>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</si>
  <si>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</si>
  <si>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</si>
  <si>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</si>
  <si>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</si>
  <si>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</si>
  <si>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</si>
  <si>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</si>
  <si>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</si>
  <si>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</si>
  <si>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</si>
  <si>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</si>
  <si>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</si>
  <si>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</si>
  <si>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</si>
  <si>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</si>
  <si>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</si>
  <si>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</si>
  <si>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</si>
  <si>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</si>
  <si>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</si>
  <si>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</si>
  <si>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</si>
  <si>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</si>
  <si>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</si>
  <si>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</si>
  <si>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</si>
  <si>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</si>
  <si>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</si>
  <si>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</si>
  <si>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</si>
  <si>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</si>
  <si>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</si>
  <si>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</si>
  <si>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</si>
  <si>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</si>
  <si>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</si>
  <si>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</si>
  <si>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</si>
  <si>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</si>
  <si>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</si>
  <si>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</si>
  <si>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</si>
  <si>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</si>
  <si>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</si>
  <si>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</si>
  <si>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</si>
  <si>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</si>
  <si>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</si>
  <si>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</si>
  <si>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</si>
  <si>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</si>
  <si>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</si>
  <si>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</si>
  <si>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</si>
  <si>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</si>
  <si>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</si>
  <si>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</si>
  <si>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</si>
  <si>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</si>
  <si>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</si>
  <si>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</si>
  <si>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</si>
  <si>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</si>
  <si>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</si>
  <si>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</si>
  <si>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</si>
  <si>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</si>
  <si>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</si>
  <si>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</si>
  <si>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</si>
  <si>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</si>
  <si>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</si>
  <si>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</si>
  <si>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</si>
  <si>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</si>
  <si>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</si>
  <si>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</si>
  <si>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</si>
  <si>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</si>
  <si>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</si>
  <si>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</si>
  <si>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</si>
  <si>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</si>
  <si>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</si>
  <si>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</si>
  <si>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</si>
  <si>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</si>
  <si>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</si>
  <si>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</si>
  <si>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</si>
  <si>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</si>
  <si>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</si>
  <si>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</si>
  <si>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</si>
  <si>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</si>
  <si>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</si>
  <si>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</si>
  <si>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</si>
  <si>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</si>
  <si>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</si>
  <si>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</si>
  <si>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</si>
  <si>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</si>
  <si>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</si>
  <si>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</si>
  <si>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</si>
  <si>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</si>
  <si>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</si>
  <si>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</si>
  <si>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</si>
  <si>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</si>
  <si>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</si>
  <si>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</si>
  <si>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</si>
  <si>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</si>
  <si>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</si>
  <si>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</si>
  <si>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</si>
  <si>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</si>
  <si>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</si>
  <si>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</si>
  <si>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</si>
  <si>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</si>
  <si>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</si>
  <si>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</si>
  <si>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</si>
  <si>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</si>
  <si>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</si>
  <si>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</si>
  <si>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</si>
  <si>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</si>
  <si>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</si>
  <si>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</si>
  <si>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</si>
  <si>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</si>
  <si>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</si>
  <si>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</si>
  <si>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</si>
  <si>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</si>
  <si>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</si>
  <si>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</si>
  <si>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</si>
  <si>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</si>
  <si>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</si>
  <si>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</si>
  <si>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</si>
  <si>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</si>
  <si>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</si>
  <si>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</si>
  <si>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</si>
  <si>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</si>
  <si>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</si>
  <si>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</si>
  <si>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</si>
  <si>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</si>
  <si>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</si>
  <si>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</si>
  <si>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</si>
  <si>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</si>
  <si>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</si>
  <si>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</si>
  <si>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</si>
  <si>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</si>
  <si>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</si>
  <si>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</si>
  <si>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</si>
  <si>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</si>
  <si>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</si>
  <si>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</si>
  <si>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</si>
  <si>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</si>
  <si>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</si>
  <si>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</si>
  <si>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</si>
  <si>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</si>
  <si>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</si>
  <si>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</si>
  <si>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</si>
  <si>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</si>
  <si>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</si>
  <si>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</si>
  <si>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</si>
  <si>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</si>
  <si>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</si>
  <si>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</si>
  <si>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</si>
  <si>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</si>
  <si>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</si>
  <si>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</si>
  <si>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</si>
  <si>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</si>
  <si>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</si>
  <si>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</si>
  <si>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</si>
  <si>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</si>
  <si>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</si>
  <si>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</si>
  <si>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</si>
  <si>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</si>
  <si>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</si>
  <si>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</si>
  <si>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</si>
  <si>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</si>
  <si>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</si>
  <si>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</si>
  <si>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</si>
  <si>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</si>
  <si>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</si>
  <si>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</si>
  <si>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</si>
  <si>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</si>
  <si>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</si>
  <si>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</si>
  <si>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</si>
  <si>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</si>
  <si>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</si>
  <si>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</si>
  <si>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</si>
  <si>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</si>
  <si>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</si>
  <si>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</si>
  <si>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</si>
  <si>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</si>
  <si>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</si>
  <si>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</si>
  <si>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</si>
  <si>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</si>
  <si>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</si>
  <si>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</si>
  <si>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</si>
  <si>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</si>
  <si>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</si>
  <si>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</si>
  <si>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</si>
  <si>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</si>
  <si>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</si>
  <si>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</si>
  <si>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</si>
  <si>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</si>
  <si>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</si>
  <si>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</si>
  <si>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</si>
  <si>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</si>
  <si>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</si>
  <si>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</si>
  <si>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</si>
  <si>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</si>
  <si>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</si>
  <si>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</si>
  <si>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</si>
  <si>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</si>
  <si>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</si>
  <si>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</si>
  <si>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</si>
  <si>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</si>
  <si>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</si>
  <si>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</si>
  <si>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</si>
  <si>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</si>
  <si>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</si>
  <si>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</si>
  <si>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</si>
  <si>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</si>
  <si>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</si>
  <si>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</si>
  <si>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</si>
  <si>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</si>
  <si>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</si>
  <si>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</si>
  <si>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</si>
  <si>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</si>
  <si>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</si>
  <si>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</si>
  <si>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</si>
  <si>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</si>
  <si>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</si>
  <si>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</si>
  <si>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</si>
  <si>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</si>
  <si>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</si>
  <si>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</si>
  <si>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</si>
  <si>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</si>
  <si>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</si>
  <si>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</si>
  <si>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</si>
  <si>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</si>
  <si>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</si>
  <si>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</si>
  <si>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</si>
  <si>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</si>
  <si>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</si>
  <si>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</si>
  <si>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</si>
  <si>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</si>
  <si>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</si>
  <si>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</si>
  <si>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</si>
  <si>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</si>
  <si>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</si>
  <si>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</si>
  <si>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</si>
  <si>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</si>
  <si>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</si>
  <si>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</si>
  <si>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</si>
  <si>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</si>
  <si>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</si>
  <si>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</si>
  <si>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</si>
  <si>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</si>
  <si>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</si>
  <si>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</si>
  <si>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</si>
  <si>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</si>
  <si>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</si>
  <si>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</si>
  <si>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</si>
  <si>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</si>
  <si>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</si>
  <si>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</si>
  <si>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</si>
  <si>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</si>
  <si>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</si>
  <si>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</si>
  <si>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</si>
  <si>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</si>
  <si>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</si>
  <si>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</si>
  <si>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</si>
  <si>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</si>
  <si>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</si>
  <si>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</si>
  <si>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</si>
  <si>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</si>
  <si>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</si>
  <si>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</si>
  <si>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</si>
  <si>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</si>
  <si>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</si>
  <si>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</si>
  <si>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</si>
  <si>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</si>
  <si>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</si>
  <si>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</si>
  <si>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</si>
  <si>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</si>
  <si>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</si>
  <si>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</si>
  <si>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</si>
  <si>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</si>
  <si>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</si>
  <si>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</si>
  <si>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</si>
  <si>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</si>
  <si>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</si>
  <si>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</si>
  <si>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</si>
  <si>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</si>
  <si>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</si>
  <si>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</si>
  <si>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</si>
  <si>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</si>
  <si>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</si>
  <si>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</si>
  <si>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</si>
  <si>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</si>
  <si>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</si>
  <si>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</si>
  <si>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</si>
  <si>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</si>
  <si>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</si>
  <si>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</si>
  <si>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</si>
  <si>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</si>
  <si>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</si>
  <si>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</si>
  <si>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</si>
  <si>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</si>
  <si>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</si>
  <si>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</si>
  <si>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</si>
  <si>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</si>
  <si>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</si>
  <si>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</si>
  <si>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</si>
  <si>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</si>
  <si>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</si>
  <si>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</si>
  <si>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</si>
  <si>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</si>
  <si>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</si>
  <si>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</si>
  <si>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</si>
  <si>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</si>
  <si>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</si>
  <si>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</si>
  <si>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</si>
  <si>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</si>
  <si>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</si>
  <si>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</si>
  <si>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</si>
  <si>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</si>
  <si>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</si>
  <si>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</si>
  <si>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</si>
  <si>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</si>
  <si>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</si>
  <si>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</si>
  <si>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</si>
  <si>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</si>
  <si>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</si>
  <si>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</si>
  <si>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</si>
  <si>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</si>
  <si>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</si>
  <si>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</si>
  <si>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</si>
  <si>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</si>
  <si>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</si>
  <si>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</si>
  <si>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</si>
  <si>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</si>
  <si>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</si>
  <si>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</si>
  <si>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</si>
  <si>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</si>
  <si>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</si>
  <si>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</si>
  <si>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</si>
  <si>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</si>
  <si>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</si>
  <si>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</si>
  <si>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</si>
  <si>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</si>
  <si>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</si>
  <si>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</si>
  <si>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</si>
  <si>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</si>
  <si>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</si>
  <si>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</si>
  <si>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</si>
  <si>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</si>
  <si>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</si>
  <si>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</si>
  <si>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</si>
  <si>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</si>
  <si>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</si>
  <si>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</si>
  <si>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</si>
  <si>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</si>
  <si>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</si>
  <si>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</si>
  <si>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</si>
  <si>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</si>
  <si>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</si>
  <si>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</si>
  <si>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</si>
  <si>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</si>
  <si>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</si>
  <si>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</si>
  <si>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</si>
  <si>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</si>
  <si>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</si>
  <si>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</si>
  <si>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</si>
  <si>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</si>
  <si>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</si>
  <si>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</si>
  <si>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</si>
  <si>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</si>
  <si>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</si>
  <si>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</si>
  <si>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</si>
  <si>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</si>
  <si>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</si>
  <si>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</si>
  <si>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</si>
  <si>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</si>
  <si>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</si>
  <si>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</si>
  <si>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</si>
  <si>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</si>
  <si>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</si>
  <si>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</si>
  <si>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</si>
  <si>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</si>
  <si>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</si>
  <si>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</si>
  <si>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</si>
  <si>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</si>
  <si>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</si>
  <si>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</si>
  <si>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</si>
  <si>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</si>
  <si>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</si>
  <si>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</si>
  <si>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</si>
  <si>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</si>
  <si>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</si>
  <si>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</si>
  <si>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</si>
  <si>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</si>
  <si>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</si>
  <si>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</si>
  <si>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</si>
  <si>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</si>
  <si>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</si>
  <si>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</si>
  <si>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</si>
  <si>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</si>
  <si>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</si>
  <si>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</si>
  <si>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</si>
  <si>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</si>
  <si>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</si>
  <si>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</si>
  <si>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</si>
  <si>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</si>
  <si>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</si>
  <si>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</si>
  <si>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</si>
  <si>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</si>
  <si>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</si>
  <si>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</si>
  <si>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</si>
  <si>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</si>
  <si>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</si>
  <si>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</si>
  <si>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</si>
  <si>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</si>
  <si>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</si>
  <si>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</si>
  <si>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</si>
  <si>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</si>
  <si>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</si>
  <si>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</si>
  <si>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</si>
  <si>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</si>
  <si>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</si>
  <si>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</si>
  <si>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</si>
  <si>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</si>
  <si>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</si>
  <si>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</si>
  <si>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</si>
  <si>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</si>
  <si>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</si>
  <si>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</si>
  <si>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</si>
  <si>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</si>
  <si>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</si>
  <si>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</si>
  <si>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</si>
  <si>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</si>
  <si>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</si>
  <si>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</si>
  <si>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</si>
  <si>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</si>
  <si>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</si>
  <si>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</si>
  <si>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</si>
  <si>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</si>
  <si>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</si>
  <si>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</si>
  <si>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</si>
  <si>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</si>
  <si>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</si>
  <si>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</si>
  <si>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</si>
  <si>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</si>
  <si>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</si>
  <si>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</si>
  <si>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</si>
  <si>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</si>
  <si>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</si>
  <si>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</si>
  <si>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</si>
  <si>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</si>
  <si>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</si>
  <si>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</si>
  <si>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</si>
  <si>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</si>
  <si>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</si>
  <si>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</si>
  <si>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</si>
  <si>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</si>
  <si>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</si>
  <si>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</si>
  <si>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</si>
  <si>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</si>
  <si>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</si>
  <si>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</si>
  <si>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</si>
  <si>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</si>
  <si>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</si>
  <si>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</si>
  <si>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</si>
  <si>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</si>
  <si>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</si>
  <si>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</si>
  <si>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</si>
  <si>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</si>
  <si>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</si>
  <si>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</si>
  <si>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</si>
  <si>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</si>
  <si>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</si>
  <si>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</si>
  <si>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</si>
  <si>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</si>
  <si>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</si>
  <si>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</si>
  <si>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</si>
  <si>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</si>
  <si>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</si>
  <si>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</si>
  <si>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</si>
  <si>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</si>
  <si>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</si>
  <si>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</si>
  <si>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</si>
  <si>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</si>
  <si>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</si>
  <si>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</si>
  <si>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</si>
  <si>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</si>
  <si>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</si>
  <si>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</si>
  <si>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</si>
  <si>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</si>
  <si>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</si>
  <si>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</si>
  <si>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</si>
  <si>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</si>
  <si>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</si>
  <si>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</si>
  <si>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</si>
  <si>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</si>
  <si>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</si>
  <si>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</si>
  <si>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</si>
  <si>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</si>
  <si>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</si>
  <si>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</si>
  <si>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</si>
  <si>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</si>
  <si>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</si>
  <si>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</si>
  <si>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</si>
  <si>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</si>
  <si>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</si>
  <si>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</si>
  <si>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</si>
  <si>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</si>
  <si>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</si>
  <si>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</si>
  <si>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</si>
  <si>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</si>
  <si>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</si>
  <si>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</si>
  <si>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</si>
  <si>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</si>
  <si>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</si>
  <si>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</si>
  <si>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</si>
  <si>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</si>
  <si>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</si>
  <si>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</si>
  <si>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</si>
  <si>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</si>
  <si>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</si>
  <si>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</si>
  <si>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</si>
  <si>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</si>
  <si>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</si>
  <si>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</si>
  <si>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</si>
  <si>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</si>
  <si>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</si>
  <si>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</si>
  <si>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</si>
  <si>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</si>
  <si>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</si>
  <si>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</si>
  <si>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</si>
  <si>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</si>
  <si>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</si>
  <si>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</si>
  <si>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</si>
  <si>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</si>
  <si>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</si>
  <si>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</si>
  <si>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</si>
  <si>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</si>
  <si>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</si>
  <si>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</si>
  <si>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</si>
  <si>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</si>
  <si>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</si>
  <si>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</si>
  <si>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</si>
  <si>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</si>
  <si>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</si>
  <si>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</si>
  <si>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</si>
  <si>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</si>
  <si>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</si>
  <si>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</si>
  <si>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</si>
  <si>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</si>
  <si>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</si>
  <si>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</si>
  <si>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</si>
  <si>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</si>
  <si>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</si>
  <si>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</si>
  <si>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</si>
  <si>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</si>
  <si>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</si>
  <si>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</si>
  <si>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</si>
  <si>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</si>
  <si>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</si>
  <si>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</si>
  <si>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</si>
  <si>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</si>
  <si>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</si>
  <si>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</si>
  <si>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</si>
  <si>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</si>
  <si>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</si>
  <si>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</si>
  <si>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</si>
  <si>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</si>
  <si>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</si>
  <si>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</si>
  <si>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</si>
  <si>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</si>
  <si>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</si>
  <si>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</si>
  <si>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</si>
  <si>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</si>
  <si>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</si>
  <si>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</si>
  <si>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</si>
  <si>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</si>
  <si>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</si>
  <si>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</si>
  <si>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</si>
  <si>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</si>
  <si>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</si>
  <si>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</si>
  <si>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</si>
  <si>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</si>
  <si>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</si>
  <si>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</si>
  <si>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</si>
  <si>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</si>
  <si>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</si>
  <si>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</si>
  <si>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</si>
  <si>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</si>
  <si>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</si>
  <si>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</si>
  <si>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</si>
  <si>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</si>
  <si>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</si>
  <si>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</si>
  <si>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</si>
  <si>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</si>
  <si>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</si>
  <si>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</si>
  <si>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</si>
  <si>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</si>
  <si>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</si>
  <si>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</si>
  <si>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</si>
  <si>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</si>
  <si>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</si>
  <si>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</si>
  <si>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</si>
  <si>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</si>
  <si>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</si>
  <si>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</si>
  <si>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</si>
  <si>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</si>
  <si>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</si>
  <si>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</si>
  <si>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</si>
  <si>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</si>
  <si>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</si>
  <si>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</si>
  <si>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</si>
  <si>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</si>
  <si>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</si>
  <si>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</si>
  <si>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</si>
  <si>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</si>
  <si>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</si>
  <si>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</si>
  <si>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</si>
  <si>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</si>
  <si>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</si>
  <si>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</si>
  <si>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</si>
  <si>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</si>
  <si>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</si>
  <si>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</si>
  <si>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</si>
  <si>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</si>
  <si>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</si>
  <si>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</si>
  <si>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</si>
  <si>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</si>
  <si>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</si>
  <si>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</si>
  <si>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</si>
  <si>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</si>
  <si>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</si>
  <si>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</si>
  <si>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</si>
  <si>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</si>
  <si>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</si>
  <si>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</si>
  <si>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</si>
  <si>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</si>
  <si>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</si>
  <si>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</si>
  <si>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</si>
  <si>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</si>
  <si>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</si>
  <si>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</si>
  <si>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</si>
  <si>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</si>
  <si>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</si>
  <si>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</si>
  <si>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</si>
  <si>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</si>
  <si>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</si>
  <si>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</si>
  <si>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</si>
  <si>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</si>
  <si>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</si>
  <si>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</si>
  <si>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</si>
  <si>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</si>
  <si>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</si>
  <si>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</si>
  <si>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</si>
  <si>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</si>
  <si>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</si>
  <si>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</si>
  <si>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</si>
  <si>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</si>
  <si>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</si>
  <si>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</si>
  <si>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</si>
  <si>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</si>
  <si>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</si>
  <si>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</si>
  <si>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</si>
  <si>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</si>
  <si>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</si>
  <si>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</si>
  <si>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</si>
  <si>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</si>
  <si>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</si>
  <si>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</si>
  <si>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</si>
  <si>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</si>
  <si>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</si>
  <si>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</si>
  <si>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</si>
  <si>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</si>
  <si>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</si>
  <si>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</si>
  <si>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</si>
  <si>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</si>
  <si>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</si>
  <si>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</si>
  <si>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</si>
  <si>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</si>
  <si>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</si>
  <si>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</si>
  <si>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</si>
  <si>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</si>
  <si>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</si>
  <si>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</si>
  <si>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</si>
  <si>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</si>
  <si>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</si>
  <si>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</si>
  <si>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</si>
  <si>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</si>
  <si>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</si>
  <si>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</si>
  <si>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</si>
  <si>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</si>
  <si>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</si>
  <si>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</si>
  <si>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</si>
  <si>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</si>
  <si>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</si>
  <si>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</si>
  <si>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</si>
  <si>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</si>
  <si>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</si>
  <si>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</si>
  <si>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</si>
  <si>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</si>
  <si>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</si>
  <si>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</si>
  <si>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</si>
  <si>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</si>
  <si>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</si>
  <si>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</si>
  <si>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</si>
  <si>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</si>
  <si>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</si>
  <si>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</si>
  <si>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</si>
  <si>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</si>
  <si>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</si>
  <si>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</si>
  <si>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</si>
  <si>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</si>
  <si>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</si>
  <si>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</si>
  <si>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</si>
  <si>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</si>
  <si>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</si>
  <si>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</si>
  <si>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</si>
  <si>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</si>
  <si>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</si>
  <si>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</si>
  <si>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</si>
  <si>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</si>
  <si>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</si>
  <si>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</si>
  <si>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</si>
  <si>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</si>
  <si>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</si>
  <si>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</si>
  <si>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</si>
  <si>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</si>
  <si>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</si>
  <si>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</si>
  <si>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</si>
  <si>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</si>
  <si>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</si>
  <si>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</si>
  <si>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</si>
  <si>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</si>
  <si>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</si>
  <si>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</si>
  <si>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</si>
  <si>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</si>
  <si>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</si>
  <si>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</si>
  <si>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</si>
  <si>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</si>
  <si>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</si>
  <si>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</si>
  <si>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</si>
  <si>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</si>
  <si>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</si>
  <si>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</si>
  <si>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</si>
  <si>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</si>
  <si>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</si>
  <si>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</si>
  <si>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</si>
  <si>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</si>
  <si>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</si>
  <si>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</si>
  <si>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</si>
  <si>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</si>
  <si>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</si>
  <si>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</si>
  <si>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</si>
  <si>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</si>
  <si>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</si>
  <si>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</si>
  <si>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</si>
  <si>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</si>
  <si>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</si>
  <si>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</si>
  <si>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</si>
  <si>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</si>
  <si>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</si>
  <si>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</si>
  <si>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</si>
  <si>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</si>
  <si>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</si>
  <si>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</si>
  <si>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</si>
  <si>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</si>
  <si>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</si>
  <si>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</si>
  <si>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</si>
  <si>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</si>
  <si>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</si>
  <si>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</si>
  <si>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</si>
  <si>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</si>
  <si>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</si>
  <si>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</si>
  <si>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</si>
  <si>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</si>
  <si>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</si>
  <si>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</si>
  <si>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</si>
  <si>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</si>
  <si>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</si>
  <si>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</si>
  <si>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</si>
  <si>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</si>
  <si>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</si>
  <si>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</si>
  <si>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</si>
  <si>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</si>
  <si>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</si>
  <si>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</si>
  <si>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</si>
  <si>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</si>
  <si>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</si>
  <si>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</si>
  <si>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</si>
  <si>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</si>
  <si>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</si>
  <si>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</si>
  <si>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</si>
  <si>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</si>
  <si>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</si>
  <si>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</si>
  <si>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</si>
  <si>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</si>
  <si>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</si>
  <si>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</si>
  <si>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</si>
  <si>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</si>
  <si>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</si>
  <si>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</si>
  <si>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</si>
  <si>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</si>
  <si>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</si>
  <si>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</si>
  <si>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</si>
  <si>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</si>
  <si>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</si>
  <si>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</si>
  <si>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</si>
  <si>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</si>
  <si>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</si>
  <si>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</si>
  <si>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</si>
  <si>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</si>
  <si>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</si>
  <si>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</si>
  <si>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</si>
  <si>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</si>
  <si>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</si>
  <si>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</si>
  <si>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</si>
  <si>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</si>
  <si>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</si>
  <si>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</si>
  <si>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</si>
  <si>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</si>
  <si>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</si>
  <si>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</si>
  <si>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</si>
  <si>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</si>
  <si>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</si>
  <si>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</si>
  <si>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</si>
  <si>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</si>
  <si>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</si>
  <si>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</si>
  <si>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</si>
  <si>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</si>
  <si>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</si>
  <si>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</si>
  <si>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</si>
  <si>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</si>
  <si>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</si>
  <si>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</si>
  <si>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</si>
  <si>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</si>
  <si>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</si>
  <si>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</si>
  <si>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</si>
  <si>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</si>
  <si>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</si>
  <si>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</si>
  <si>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</si>
  <si>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</si>
  <si>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</si>
  <si>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</si>
  <si>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</si>
  <si>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</si>
  <si>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</si>
  <si>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</si>
  <si>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</si>
  <si>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</si>
  <si>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</si>
  <si>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</si>
  <si>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</si>
  <si>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</si>
  <si>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</si>
  <si>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</si>
  <si>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</si>
  <si>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</si>
  <si>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</si>
  <si>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</si>
  <si>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</si>
  <si>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</si>
  <si>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</si>
  <si>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</si>
  <si>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</si>
  <si>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</si>
  <si>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</si>
  <si>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</si>
  <si>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</si>
  <si>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</si>
  <si>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</si>
  <si>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</si>
  <si>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</si>
  <si>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</si>
  <si>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</si>
  <si>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</si>
  <si>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</si>
  <si>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</si>
  <si>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</si>
  <si>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</si>
  <si>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</si>
  <si>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</si>
  <si>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</si>
  <si>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</si>
  <si>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</si>
  <si>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</si>
  <si>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</si>
  <si>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</si>
  <si>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</si>
  <si>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</si>
  <si>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</si>
  <si>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</si>
  <si>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</si>
  <si>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</si>
  <si>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</si>
  <si>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</si>
  <si>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</si>
  <si>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</si>
  <si>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</si>
  <si>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</si>
  <si>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</si>
  <si>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</si>
  <si>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</si>
  <si>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</si>
  <si>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</si>
  <si>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</si>
  <si>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</si>
  <si>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</si>
  <si>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</si>
  <si>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</si>
  <si>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</si>
  <si>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</si>
  <si>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</si>
  <si>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</si>
  <si>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</si>
  <si>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</si>
  <si>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</si>
  <si>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</si>
  <si>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</si>
  <si>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</si>
  <si>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</si>
  <si>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</si>
  <si>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</si>
  <si>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</si>
  <si>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</si>
  <si>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</si>
  <si>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</si>
  <si>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</si>
  <si>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</si>
  <si>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</si>
  <si>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</si>
  <si>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</si>
  <si>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</si>
  <si>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</si>
  <si>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</si>
  <si>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</si>
  <si>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</si>
  <si>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</si>
  <si>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</si>
  <si>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</si>
  <si>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</si>
  <si>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</si>
  <si>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</si>
  <si>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</si>
  <si>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</si>
  <si>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</si>
  <si>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</si>
  <si>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</si>
  <si>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</si>
  <si>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</si>
  <si>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</si>
  <si>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</si>
  <si>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</si>
  <si>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</si>
  <si>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</si>
  <si>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</si>
  <si>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</si>
  <si>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</si>
  <si>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</si>
  <si>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</si>
  <si>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</si>
  <si>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</si>
  <si>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</si>
  <si>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</si>
  <si>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</si>
  <si>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</si>
  <si>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</si>
  <si>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</si>
  <si>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</si>
  <si>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</si>
  <si>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</si>
  <si>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</si>
  <si>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</si>
  <si>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</si>
  <si>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</si>
  <si>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</si>
  <si>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</si>
  <si>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</si>
  <si>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</si>
  <si>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</si>
  <si>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</si>
  <si>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</si>
  <si>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</si>
  <si>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</si>
  <si>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</si>
  <si>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</si>
  <si>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</si>
  <si>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</si>
  <si>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</si>
  <si>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</si>
  <si>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</si>
  <si>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</si>
  <si>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</si>
  <si>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</si>
  <si>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</si>
  <si>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</si>
  <si>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</si>
  <si>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</si>
  <si>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</si>
  <si>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</si>
  <si>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</si>
  <si>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</si>
  <si>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</si>
  <si>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</si>
  <si>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</si>
  <si>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</si>
  <si>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</si>
  <si>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</si>
  <si>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</si>
  <si>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</si>
  <si>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</si>
  <si>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</si>
  <si>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</si>
  <si>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</si>
  <si>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</si>
  <si>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</si>
  <si>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</si>
  <si>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</si>
  <si>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</si>
  <si>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</si>
  <si>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</si>
  <si>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</si>
  <si>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</si>
  <si>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</si>
  <si>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</si>
  <si>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</si>
  <si>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</si>
  <si>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</si>
  <si>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</si>
  <si>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</si>
  <si>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</si>
  <si>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</si>
  <si>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</si>
  <si>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</si>
  <si>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</si>
  <si>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</si>
  <si>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</si>
  <si>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</si>
  <si>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</si>
  <si>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</si>
  <si>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</si>
  <si>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</si>
  <si>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</si>
  <si>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</si>
  <si>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</si>
  <si>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</si>
  <si>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</si>
  <si>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</si>
  <si>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</si>
  <si>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</si>
  <si>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</si>
  <si>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</si>
  <si>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</si>
  <si>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</si>
  <si>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</si>
  <si>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</si>
  <si>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</si>
  <si>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</si>
  <si>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</si>
  <si>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</si>
  <si>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</si>
  <si>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</si>
  <si>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</si>
  <si>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</si>
  <si>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</si>
  <si>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</si>
  <si>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</si>
  <si>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</si>
  <si>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</si>
  <si>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</si>
  <si>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</si>
  <si>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</si>
  <si>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</si>
  <si>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</si>
  <si>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</si>
  <si>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</si>
  <si>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</si>
  <si>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</si>
  <si>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</si>
  <si>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</si>
  <si>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</si>
  <si>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</si>
  <si>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</si>
  <si>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</si>
  <si>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</si>
  <si>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</si>
  <si>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</si>
  <si>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</si>
  <si>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</si>
  <si>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</si>
  <si>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</si>
  <si>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</si>
  <si>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</si>
  <si>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</si>
  <si>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</si>
  <si>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</si>
  <si>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</si>
  <si>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</si>
  <si>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</si>
  <si>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</si>
  <si>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</si>
  <si>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</si>
  <si>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</si>
  <si>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</si>
  <si>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</si>
  <si>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</si>
  <si>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</si>
  <si>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</si>
  <si>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</si>
  <si>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</si>
  <si>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</si>
  <si>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</si>
  <si>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</si>
  <si>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</si>
  <si>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</si>
  <si>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</si>
  <si>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</si>
  <si>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</si>
  <si>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</si>
  <si>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</si>
  <si>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</si>
  <si>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</si>
  <si>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</si>
  <si>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</si>
  <si>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</si>
  <si>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</si>
  <si>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</si>
  <si>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</si>
  <si>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</si>
  <si>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</si>
  <si>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</si>
  <si>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</si>
  <si>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</si>
  <si>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</si>
  <si>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</si>
  <si>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</si>
  <si>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</si>
  <si>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</si>
  <si>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</si>
  <si>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</si>
  <si>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</si>
  <si>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</si>
  <si>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</si>
  <si>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</si>
  <si>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</si>
  <si>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</si>
  <si>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</si>
  <si>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</si>
  <si>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</si>
  <si>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</si>
  <si>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</si>
  <si>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</si>
  <si>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</si>
  <si>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</si>
  <si>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</si>
  <si>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</si>
  <si>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</si>
  <si>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</si>
  <si>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</si>
  <si>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</si>
  <si>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</si>
  <si>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</si>
  <si>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</si>
  <si>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</si>
  <si>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</si>
  <si>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</si>
  <si>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</si>
  <si>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</si>
  <si>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</si>
  <si>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</si>
  <si>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</si>
  <si>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</si>
  <si>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</si>
  <si>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</si>
  <si>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</si>
  <si>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</si>
  <si>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</si>
  <si>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</si>
  <si>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</si>
  <si>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</si>
  <si>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</si>
  <si>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</si>
  <si>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</si>
  <si>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</si>
  <si>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</si>
  <si>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</si>
  <si>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</si>
  <si>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</si>
  <si>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</si>
  <si>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</si>
  <si>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</si>
  <si>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</si>
  <si>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</si>
  <si>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</si>
  <si>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</si>
  <si>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</si>
  <si>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</si>
  <si>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</si>
  <si>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</si>
  <si>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</si>
  <si>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</si>
  <si>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</si>
  <si>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</si>
  <si>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</si>
  <si>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</si>
  <si>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</si>
  <si>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</si>
  <si>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</si>
  <si>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</si>
  <si>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</si>
  <si>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</si>
  <si>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</si>
  <si>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</si>
  <si>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</si>
  <si>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</si>
  <si>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</si>
  <si>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</si>
  <si>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</si>
  <si>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</si>
  <si>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</si>
  <si>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</si>
  <si>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</si>
  <si>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</si>
  <si>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</si>
  <si>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</si>
  <si>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</si>
  <si>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</si>
  <si>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</si>
  <si>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</si>
  <si>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</si>
  <si>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</si>
  <si>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</si>
  <si>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</si>
  <si>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</si>
  <si>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</si>
  <si>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</si>
  <si>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</si>
  <si>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</si>
  <si>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</si>
  <si>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</si>
  <si>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</si>
  <si>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</si>
  <si>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</si>
  <si>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</si>
  <si>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</si>
  <si>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</si>
  <si>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</si>
  <si>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</si>
  <si>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</si>
  <si>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</si>
  <si>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</si>
  <si>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</si>
  <si>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</si>
  <si>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</si>
  <si>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</si>
  <si>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</si>
  <si>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</si>
  <si>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</si>
  <si>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</si>
  <si>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</si>
  <si>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</si>
  <si>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</si>
  <si>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</si>
  <si>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</si>
  <si>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</si>
  <si>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</si>
  <si>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</si>
  <si>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</si>
  <si>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</si>
  <si>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</si>
  <si>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</si>
  <si>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</si>
  <si>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</si>
  <si>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</si>
  <si>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</si>
  <si>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</si>
  <si>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</si>
  <si>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</si>
  <si>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</si>
  <si>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</si>
  <si>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</si>
  <si>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</si>
  <si>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</si>
  <si>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</si>
  <si>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</si>
  <si>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</si>
  <si>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</si>
  <si>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</si>
  <si>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</si>
  <si>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</si>
  <si>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</si>
  <si>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</si>
  <si>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</si>
  <si>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</si>
  <si>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</si>
  <si>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</si>
  <si>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</si>
  <si>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</si>
  <si>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</si>
  <si>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</si>
  <si>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</si>
  <si>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</si>
  <si>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</si>
  <si>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</si>
  <si>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</si>
  <si>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</si>
  <si>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</si>
  <si>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</si>
  <si>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</si>
  <si>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</si>
  <si>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</si>
  <si>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</si>
  <si>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</si>
  <si>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</si>
  <si>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</si>
  <si>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</si>
  <si>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</si>
  <si>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</si>
  <si>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</si>
  <si>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</si>
  <si>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</si>
  <si>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</si>
  <si>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</si>
  <si>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</si>
  <si>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</si>
  <si>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</si>
  <si>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</si>
  <si>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</si>
  <si>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</si>
  <si>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</si>
  <si>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</si>
  <si>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</si>
  <si>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</si>
  <si>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</si>
  <si>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</si>
  <si>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</si>
  <si>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</si>
  <si>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</si>
  <si>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</si>
  <si>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</si>
  <si>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</si>
  <si>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</si>
  <si>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</si>
  <si>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</si>
  <si>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</si>
  <si>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</si>
  <si>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</si>
  <si>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</si>
  <si>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</si>
  <si>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</si>
  <si>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</si>
  <si>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</si>
  <si>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</si>
  <si>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</si>
  <si>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</si>
  <si>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</si>
  <si>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</si>
  <si>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</si>
  <si>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</si>
  <si>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</si>
  <si>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</si>
  <si>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</si>
  <si>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</si>
  <si>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</si>
  <si>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</si>
  <si>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</si>
  <si>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</si>
  <si>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</si>
  <si>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</si>
  <si>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</si>
  <si>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</si>
  <si>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</si>
  <si>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</si>
  <si>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</si>
  <si>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</si>
  <si>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</si>
  <si>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</si>
  <si>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</si>
  <si>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</si>
  <si>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</si>
  <si>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</si>
  <si>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</si>
  <si>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</si>
  <si>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</si>
  <si>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</si>
  <si>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</si>
  <si>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</si>
  <si>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</si>
  <si>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</si>
  <si>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</si>
  <si>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</si>
  <si>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</si>
  <si>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</si>
  <si>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</si>
  <si>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</si>
  <si>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</si>
  <si>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</si>
  <si>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</si>
  <si>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</si>
  <si>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</si>
  <si>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</si>
  <si>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</si>
  <si>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</si>
  <si>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</si>
  <si>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</si>
  <si>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</si>
  <si>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</si>
  <si>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</si>
  <si>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</si>
  <si>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</si>
  <si>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</si>
  <si>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</si>
  <si>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</si>
  <si>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</si>
  <si>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</si>
  <si>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</si>
  <si>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</si>
  <si>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</si>
  <si>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</si>
  <si>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</si>
  <si>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</si>
  <si>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</si>
  <si>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</si>
  <si>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</si>
  <si>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</si>
  <si>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</si>
  <si>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</si>
  <si>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</si>
  <si>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</si>
  <si>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</si>
  <si>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</si>
  <si>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</si>
  <si>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</si>
  <si>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</si>
  <si>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</si>
  <si>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</si>
  <si>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</si>
  <si>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</si>
  <si>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</si>
  <si>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</si>
  <si>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</si>
  <si>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</si>
  <si>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</si>
  <si>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</si>
  <si>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</si>
  <si>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</si>
  <si>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</si>
  <si>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</si>
  <si>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</si>
  <si>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</si>
  <si>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</si>
  <si>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</si>
  <si>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</si>
  <si>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</si>
  <si>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</si>
  <si>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</si>
  <si>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</si>
  <si>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</si>
  <si>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</si>
  <si>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</si>
  <si>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</si>
  <si>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</si>
  <si>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</si>
  <si>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</si>
  <si>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</si>
  <si>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</si>
  <si>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</si>
  <si>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</si>
  <si>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</si>
  <si>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</si>
  <si>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</si>
  <si>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</si>
  <si>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</si>
  <si>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</si>
  <si>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</si>
  <si>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</si>
  <si>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</si>
  <si>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</si>
  <si>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</si>
  <si>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</si>
  <si>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</si>
  <si>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</si>
  <si>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</si>
  <si>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</si>
  <si>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</si>
  <si>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</si>
  <si>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</si>
  <si>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</si>
  <si>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</si>
  <si>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</si>
  <si>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</si>
  <si>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</si>
  <si>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</si>
  <si>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</si>
  <si>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</si>
  <si>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</si>
  <si>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</si>
  <si>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</si>
  <si>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</si>
  <si>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</si>
  <si>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</si>
  <si>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</si>
  <si>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</si>
  <si>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</si>
  <si>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</si>
  <si>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</si>
  <si>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</si>
  <si>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</si>
  <si>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</si>
  <si>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</si>
  <si>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</si>
  <si>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</si>
  <si>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</si>
  <si>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</si>
  <si>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</si>
  <si>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</si>
  <si>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</si>
  <si>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</si>
  <si>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</si>
  <si>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</si>
  <si>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</si>
  <si>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</si>
  <si>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</si>
  <si>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</si>
  <si>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</si>
  <si>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</si>
  <si>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</si>
  <si>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</si>
  <si>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</si>
  <si>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</si>
  <si>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</si>
  <si>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</si>
  <si>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</si>
  <si>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</si>
  <si>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</si>
  <si>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</si>
  <si>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</si>
  <si>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</si>
  <si>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</si>
  <si>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</si>
  <si>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</si>
  <si>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</si>
  <si>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</si>
  <si>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</si>
  <si>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</si>
  <si>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</si>
  <si>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</si>
  <si>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</si>
  <si>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</si>
  <si>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</si>
  <si>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</si>
  <si>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</si>
  <si>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</si>
  <si>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</si>
  <si>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</si>
  <si>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</si>
  <si>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</si>
  <si>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</si>
  <si>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</si>
  <si>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</si>
  <si>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</si>
  <si>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</si>
  <si>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</si>
  <si>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</si>
  <si>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</si>
  <si>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</si>
  <si>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</si>
  <si>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</si>
  <si>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</si>
  <si>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</si>
  <si>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</si>
  <si>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</si>
  <si>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</si>
  <si>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</si>
  <si>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</si>
  <si>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</si>
  <si>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</si>
  <si>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</si>
  <si>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</si>
  <si>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</si>
  <si>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</si>
  <si>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</si>
  <si>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</si>
  <si>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</si>
  <si>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</si>
  <si>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</si>
  <si>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</si>
  <si>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</si>
  <si>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</si>
  <si>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</si>
  <si>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</si>
  <si>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</si>
  <si>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</si>
  <si>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</si>
  <si>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</si>
  <si>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</si>
  <si>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</si>
  <si>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</si>
  <si>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</si>
  <si>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</si>
  <si>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</si>
  <si>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</si>
  <si>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</si>
  <si>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</si>
  <si>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</si>
  <si>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</si>
  <si>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</si>
  <si>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</si>
  <si>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</si>
  <si>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</si>
  <si>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</si>
  <si>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</si>
  <si>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</si>
  <si>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</si>
  <si>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</si>
  <si>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</si>
  <si>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</si>
  <si>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</si>
  <si>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</si>
  <si>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</si>
  <si>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</si>
  <si>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</si>
  <si>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</si>
  <si>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</si>
  <si>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</si>
  <si>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</si>
  <si>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</si>
  <si>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</si>
  <si>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</si>
  <si>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</si>
  <si>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</si>
  <si>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</si>
  <si>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</si>
  <si>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</si>
  <si>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</si>
  <si>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</si>
  <si>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</si>
  <si>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</si>
  <si>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</si>
  <si>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</si>
  <si>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</si>
  <si>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</si>
  <si>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</si>
  <si>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</si>
  <si>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</si>
  <si>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</si>
  <si>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</si>
  <si>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</si>
  <si>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</si>
  <si>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</si>
  <si>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</si>
  <si>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</si>
  <si>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</si>
  <si>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</si>
  <si>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</si>
  <si>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</si>
  <si>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</si>
  <si>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</si>
  <si>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</si>
  <si>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</si>
  <si>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</si>
  <si>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</si>
  <si>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</si>
  <si>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</si>
  <si>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</si>
  <si>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</si>
  <si>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</si>
  <si>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</si>
  <si>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</si>
  <si>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</si>
  <si>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</si>
  <si>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</si>
  <si>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</si>
  <si>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</si>
  <si>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</si>
  <si>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</si>
  <si>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</si>
  <si>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</si>
  <si>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</si>
  <si>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</si>
  <si>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</si>
  <si>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</si>
  <si>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</si>
  <si>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</si>
  <si>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</si>
  <si>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</si>
  <si>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</si>
  <si>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</si>
  <si>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</si>
  <si>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</si>
  <si>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</si>
  <si>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</si>
  <si>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</si>
  <si>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</si>
  <si>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</si>
  <si>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</si>
  <si>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</si>
  <si>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</si>
  <si>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</si>
  <si>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</si>
  <si>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</si>
  <si>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</si>
  <si>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</si>
  <si>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</si>
  <si>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</si>
  <si>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</si>
  <si>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</si>
  <si>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</si>
  <si>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</si>
  <si>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</si>
  <si>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</si>
  <si>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</si>
  <si>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</si>
  <si>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</si>
  <si>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</si>
  <si>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</si>
  <si>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</si>
  <si>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</si>
  <si>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</si>
  <si>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</si>
  <si>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</si>
  <si>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</si>
  <si>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</si>
  <si>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</si>
  <si>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</si>
  <si>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</si>
  <si>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</si>
  <si>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</si>
  <si>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</si>
  <si>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</si>
  <si>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</si>
  <si>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</si>
  <si>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</si>
  <si>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</si>
  <si>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</si>
  <si>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</si>
  <si>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</si>
  <si>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</si>
  <si>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</si>
  <si>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</si>
  <si>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</si>
  <si>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</si>
  <si>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</si>
  <si>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</si>
  <si>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</si>
  <si>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</si>
  <si>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</si>
  <si>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</si>
  <si>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</si>
  <si>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</si>
  <si>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</si>
  <si>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</si>
  <si>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</si>
  <si>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</si>
  <si>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</si>
  <si>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</si>
  <si>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</si>
  <si>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</si>
  <si>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</si>
  <si>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</si>
  <si>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</si>
  <si>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</si>
  <si>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</si>
  <si>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</si>
  <si>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</si>
  <si>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</si>
  <si>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</si>
  <si>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</si>
  <si>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</si>
  <si>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</si>
  <si>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</si>
  <si>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</si>
  <si>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</si>
  <si>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</si>
  <si>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</si>
  <si>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</si>
  <si>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</si>
  <si>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</si>
  <si>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</si>
  <si>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</si>
  <si>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</si>
  <si>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</si>
  <si>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</si>
  <si>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</si>
  <si>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</si>
  <si>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</si>
  <si>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</si>
  <si>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</si>
  <si>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</si>
  <si>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</si>
  <si>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</si>
  <si>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</si>
  <si>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</si>
  <si>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</si>
  <si>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</si>
  <si>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</si>
  <si>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</si>
  <si>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</si>
  <si>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</si>
  <si>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</si>
  <si>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</si>
  <si>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</si>
  <si>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</si>
  <si>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</si>
  <si>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</si>
  <si>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</si>
  <si>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</si>
  <si>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</si>
  <si>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</si>
  <si>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</si>
  <si>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</si>
  <si>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</si>
  <si>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</si>
  <si>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</si>
  <si>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</si>
  <si>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</si>
  <si>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</si>
  <si>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</si>
  <si>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</si>
  <si>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</si>
  <si>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</si>
  <si>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</si>
  <si>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</si>
  <si>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</si>
  <si>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</si>
  <si>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</si>
  <si>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</si>
  <si>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</si>
  <si>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</si>
  <si>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</si>
  <si>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</si>
  <si>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</si>
  <si>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</si>
  <si>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</si>
  <si>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</si>
  <si>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</si>
  <si>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</si>
  <si>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</si>
  <si>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</si>
  <si>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</si>
  <si>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</si>
  <si>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</si>
  <si>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</si>
  <si>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</si>
  <si>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</si>
  <si>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</si>
  <si>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</si>
  <si>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</si>
  <si>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</si>
  <si>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</si>
  <si>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</si>
  <si>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</si>
  <si>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</si>
  <si>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</si>
  <si>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</si>
  <si>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</si>
  <si>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</si>
  <si>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</si>
  <si>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</si>
  <si>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</si>
  <si>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</si>
  <si>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</si>
  <si>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</si>
  <si>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</si>
  <si>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</si>
  <si>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</si>
  <si>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</si>
  <si>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</si>
  <si>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</si>
  <si>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</si>
  <si>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</si>
  <si>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</si>
  <si>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</si>
  <si>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</si>
  <si>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</si>
  <si>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</si>
  <si>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</si>
  <si>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</si>
  <si>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</si>
  <si>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</si>
  <si>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</si>
  <si>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</si>
  <si>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</si>
  <si>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</si>
  <si>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</si>
  <si>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</si>
  <si>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</si>
  <si>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</si>
  <si>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</si>
  <si>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</si>
  <si>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</si>
  <si>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</si>
  <si>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</si>
  <si>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</si>
  <si>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</si>
  <si>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</si>
  <si>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</si>
  <si>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</si>
  <si>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</si>
  <si>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</si>
  <si>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</si>
  <si>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</si>
  <si>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</si>
  <si>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</si>
  <si>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</si>
  <si>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</si>
  <si>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</si>
  <si>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</si>
  <si>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</si>
  <si>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</si>
  <si>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</si>
  <si>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</si>
  <si>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</si>
  <si>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</si>
  <si>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</si>
  <si>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</si>
  <si>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</si>
  <si>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</si>
  <si>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</si>
  <si>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</si>
  <si>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</si>
  <si>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</si>
  <si>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</si>
  <si>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</si>
  <si>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</si>
  <si>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</si>
  <si>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</si>
  <si>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</si>
  <si>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</si>
  <si>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</si>
  <si>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</si>
  <si>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</si>
  <si>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</si>
  <si>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</si>
  <si>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</si>
  <si>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</si>
  <si>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</si>
  <si>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</si>
  <si>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</si>
  <si>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</si>
  <si>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</si>
  <si>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</si>
  <si>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</si>
  <si>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</si>
  <si>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</si>
  <si>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</si>
  <si>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</si>
  <si>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</si>
  <si>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</si>
  <si>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</si>
  <si>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</si>
  <si>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</si>
  <si>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</si>
  <si>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</si>
  <si>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</si>
  <si>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</si>
  <si>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</si>
  <si>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</si>
  <si>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</si>
  <si>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</si>
  <si>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</si>
  <si>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</si>
  <si>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</si>
  <si>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</si>
  <si>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</si>
  <si>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</si>
  <si>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</si>
  <si>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</si>
  <si>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</si>
  <si>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</si>
  <si>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</si>
  <si>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</si>
  <si>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</si>
  <si>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</si>
  <si>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</si>
  <si>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</si>
  <si>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</si>
  <si>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</si>
  <si>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</si>
  <si>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</si>
  <si>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</si>
  <si>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</si>
  <si>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</si>
  <si>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</si>
  <si>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</si>
  <si>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</si>
  <si>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</si>
  <si>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</si>
  <si>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</si>
  <si>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</si>
  <si>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</si>
  <si>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</si>
  <si>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</si>
  <si>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</si>
  <si>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</si>
  <si>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</si>
  <si>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</si>
  <si>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</si>
  <si>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</si>
  <si>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</si>
  <si>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</si>
  <si>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</si>
  <si>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</si>
  <si>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</si>
  <si>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</si>
  <si>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</si>
  <si>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</si>
  <si>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</si>
  <si>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</si>
  <si>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</si>
  <si>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</si>
  <si>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</si>
  <si>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</si>
  <si>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</si>
  <si>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</si>
  <si>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</si>
  <si>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</si>
  <si>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</si>
  <si>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</si>
  <si>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</si>
  <si>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</si>
  <si>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</si>
  <si>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</si>
  <si>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</si>
  <si>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</si>
  <si>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</si>
  <si>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</si>
  <si>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</si>
  <si>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</si>
  <si>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</si>
  <si>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</si>
  <si>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</si>
  <si>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</si>
  <si>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</si>
  <si>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</si>
  <si>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</si>
  <si>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</si>
  <si>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</si>
  <si>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</si>
  <si>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</si>
  <si>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</si>
  <si>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</si>
  <si>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</si>
  <si>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</si>
  <si>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</si>
  <si>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</si>
  <si>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</si>
  <si>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</si>
  <si>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</si>
  <si>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</si>
  <si>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</si>
  <si>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</si>
  <si>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</si>
  <si>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</si>
  <si>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</si>
  <si>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</si>
  <si>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</si>
  <si>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</si>
  <si>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</si>
  <si>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</si>
  <si>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</si>
  <si>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</si>
  <si>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</si>
  <si>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</si>
  <si>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</si>
  <si>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</si>
  <si>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</si>
  <si>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</si>
  <si>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</si>
  <si>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</si>
  <si>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</si>
  <si>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</si>
  <si>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</si>
  <si>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</si>
  <si>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</si>
  <si>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</si>
  <si>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</si>
  <si>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</si>
  <si>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</si>
  <si>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</si>
  <si>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</si>
  <si>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</si>
  <si>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</si>
  <si>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</si>
  <si>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</si>
  <si>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</si>
  <si>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</si>
  <si>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</si>
  <si>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</si>
  <si>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</si>
  <si>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</si>
  <si>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</si>
  <si>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</si>
  <si>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</si>
  <si>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</si>
  <si>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</si>
  <si>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</si>
  <si>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</si>
  <si>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</si>
  <si>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</si>
  <si>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</si>
  <si>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</si>
  <si>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</si>
  <si>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</si>
  <si>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</si>
  <si>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</si>
  <si>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</si>
  <si>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</si>
  <si>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</si>
  <si>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</si>
  <si>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</si>
  <si>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</si>
  <si>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</si>
  <si>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</si>
  <si>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</si>
  <si>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</si>
  <si>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</si>
  <si>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</si>
  <si>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</si>
  <si>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</si>
  <si>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</si>
  <si>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</si>
  <si>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</si>
  <si>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</si>
  <si>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</si>
  <si>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</si>
  <si>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</si>
  <si>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</si>
  <si>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</si>
  <si>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</si>
  <si>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</si>
  <si>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</si>
  <si>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</si>
  <si>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</si>
  <si>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</si>
  <si>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</si>
  <si>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</si>
  <si>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</si>
  <si>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</si>
  <si>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</si>
  <si>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</si>
  <si>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</si>
  <si>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</si>
  <si>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</si>
  <si>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</si>
  <si>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</si>
  <si>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</si>
  <si>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</si>
  <si>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</si>
  <si>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</si>
  <si>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</si>
  <si>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</si>
  <si>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</si>
  <si>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</si>
  <si>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</si>
  <si>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</si>
  <si>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</si>
  <si>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</si>
  <si>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</si>
  <si>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</si>
  <si>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</si>
  <si>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</si>
  <si>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</si>
  <si>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</si>
  <si>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</si>
  <si>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</si>
  <si>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</si>
  <si>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</si>
  <si>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</si>
  <si>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</si>
  <si>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</si>
  <si>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</si>
  <si>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</si>
  <si>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</si>
  <si>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</si>
  <si>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</si>
  <si>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</si>
  <si>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</si>
  <si>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</si>
  <si>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</si>
  <si>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</si>
  <si>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</si>
  <si>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</si>
  <si>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</si>
  <si>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</si>
  <si>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</si>
  <si>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</si>
  <si>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</si>
  <si>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</si>
  <si>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</si>
  <si>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</si>
  <si>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</si>
  <si>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</si>
  <si>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</si>
  <si>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</si>
  <si>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</si>
  <si>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</si>
  <si>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</si>
  <si>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</si>
  <si>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</si>
  <si>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</si>
  <si>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</si>
  <si>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</si>
  <si>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</si>
  <si>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</si>
  <si>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</si>
  <si>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</si>
  <si>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</si>
  <si>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</si>
  <si>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</si>
  <si>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</si>
  <si>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</si>
  <si>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</si>
  <si>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居住(商品房）</t>
    <phoneticPr fontId="233" type="noConversion"/>
  </si>
  <si>
    <t>居住（共有产权）</t>
    <phoneticPr fontId="279" type="noConversion"/>
  </si>
  <si>
    <t>居住(商品房）</t>
    <phoneticPr fontId="233" type="noConversion"/>
  </si>
  <si>
    <t>开发周期</t>
    <phoneticPr fontId="233"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</si>
  <si>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</si>
  <si>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</si>
  <si>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</si>
  <si>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</si>
  <si>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</si>
  <si>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</si>
  <si>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</si>
  <si>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</si>
  <si>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出让底价建议：建议本项目出让底价不低于熟地总价337093.92万元。</t>
    <phoneticPr fontId="279" type="noConversion"/>
  </si>
  <si>
    <t>建筑</t>
    <phoneticPr fontId="233" type="noConversion"/>
  </si>
  <si>
    <t>地单价</t>
    <phoneticPr fontId="233" type="noConversion"/>
  </si>
  <si>
    <t>总地价</t>
    <phoneticPr fontId="233" type="noConversion"/>
  </si>
  <si>
    <t>出让金</t>
    <phoneticPr fontId="233" type="noConversion"/>
  </si>
  <si>
    <t>土地面积</t>
    <phoneticPr fontId="233" type="noConversion"/>
  </si>
  <si>
    <t>、A33基础教育用地、F2公建混合住宅用地、F3其他类多功能用地</t>
  </si>
  <si>
    <t>楼单价</t>
    <phoneticPr fontId="233" type="noConversion"/>
  </si>
  <si>
    <t>出让金</t>
    <phoneticPr fontId="233" type="noConversion"/>
  </si>
  <si>
    <t>区片价格</t>
    <phoneticPr fontId="233" type="noConversion"/>
  </si>
  <si>
    <t>居住特殊情况修正/商业路线价修正</t>
    <phoneticPr fontId="233" type="noConversion"/>
  </si>
  <si>
    <t>基础设施</t>
    <phoneticPr fontId="233" type="noConversion"/>
  </si>
  <si>
    <t>用途修正系数</t>
    <phoneticPr fontId="233" type="noConversion"/>
  </si>
  <si>
    <t>期日修正系数</t>
    <phoneticPr fontId="233" type="noConversion"/>
  </si>
  <si>
    <t>年期修正系数</t>
    <phoneticPr fontId="233" type="noConversion"/>
  </si>
  <si>
    <t>容积率修正系数</t>
    <phoneticPr fontId="233" type="noConversion"/>
  </si>
  <si>
    <t>因素修正系数</t>
    <phoneticPr fontId="233" type="noConversion"/>
  </si>
  <si>
    <t>结果</t>
    <phoneticPr fontId="233" type="noConversion"/>
  </si>
  <si>
    <t>政府收益</t>
    <phoneticPr fontId="233" type="noConversion"/>
  </si>
  <si>
    <t>居住</t>
    <phoneticPr fontId="233" type="noConversion"/>
  </si>
  <si>
    <t>商业</t>
    <phoneticPr fontId="233" type="noConversion"/>
  </si>
  <si>
    <t>办公</t>
    <phoneticPr fontId="233" type="noConversion"/>
  </si>
  <si>
    <r>
      <t>政府土地收益=结果×</t>
    </r>
    <r>
      <rPr>
        <sz val="11"/>
        <color theme="1"/>
        <rFont val="宋体"/>
        <family val="3"/>
        <charset val="134"/>
        <scheme val="minor"/>
      </rPr>
      <t>25%</t>
    </r>
    <phoneticPr fontId="233" type="noConversion"/>
  </si>
  <si>
    <t>商品房规模</t>
    <phoneticPr fontId="233" type="noConversion"/>
  </si>
  <si>
    <t>回迁房规模</t>
    <phoneticPr fontId="233" type="noConversion"/>
  </si>
  <si>
    <t>总规模</t>
    <phoneticPr fontId="233" type="noConversion"/>
  </si>
  <si>
    <t>平均房价</t>
    <phoneticPr fontId="233" type="noConversion"/>
  </si>
  <si>
    <t>回迁房房价</t>
    <phoneticPr fontId="233" type="noConversion"/>
  </si>
  <si>
    <t>商业（剩余）</t>
    <phoneticPr fontId="233" type="noConversion"/>
  </si>
  <si>
    <t>商业（收益）</t>
    <phoneticPr fontId="233" type="noConversion"/>
  </si>
  <si>
    <t>办公（剩余）</t>
  </si>
  <si>
    <t>办公（收益）</t>
    <phoneticPr fontId="233" type="noConversion"/>
  </si>
  <si>
    <t>最终结果</t>
    <phoneticPr fontId="233" type="noConversion"/>
  </si>
  <si>
    <t>基准地价法</t>
    <phoneticPr fontId="233" type="noConversion"/>
  </si>
  <si>
    <t>权重</t>
    <phoneticPr fontId="233" type="noConversion"/>
  </si>
  <si>
    <t>剩余法</t>
    <phoneticPr fontId="233" type="noConversion"/>
  </si>
  <si>
    <t>收益还原法</t>
    <phoneticPr fontId="233" type="noConversion"/>
  </si>
  <si>
    <t>出让规模</t>
    <phoneticPr fontId="233" type="noConversion"/>
  </si>
  <si>
    <t>熟地总价</t>
    <phoneticPr fontId="233" type="noConversion"/>
  </si>
  <si>
    <t>熟地单价</t>
    <phoneticPr fontId="233" type="noConversion"/>
  </si>
  <si>
    <t>政府收益</t>
    <phoneticPr fontId="233" type="noConversion"/>
  </si>
  <si>
    <t>居住（商品房）</t>
    <phoneticPr fontId="233" type="noConversion"/>
  </si>
  <si>
    <t>商业</t>
    <phoneticPr fontId="233" type="noConversion"/>
  </si>
  <si>
    <t>办公</t>
    <phoneticPr fontId="233" type="noConversion"/>
  </si>
  <si>
    <t>熟地总价</t>
    <phoneticPr fontId="233" type="noConversion"/>
  </si>
  <si>
    <t>政府收益总价</t>
    <phoneticPr fontId="233" type="noConversion"/>
  </si>
  <si>
    <t>补偿费</t>
    <phoneticPr fontId="233" type="noConversion"/>
  </si>
  <si>
    <t>基本价格</t>
    <phoneticPr fontId="233" type="noConversion"/>
  </si>
  <si>
    <t>房屋性质</t>
    <phoneticPr fontId="233" type="noConversion"/>
  </si>
  <si>
    <t>共有产权房规模</t>
    <phoneticPr fontId="233" type="noConversion"/>
  </si>
  <si>
    <t>共有产权房房价</t>
    <phoneticPr fontId="233" type="noConversion"/>
  </si>
  <si>
    <t>商品房房价（修正后的最终取值）</t>
    <phoneticPr fontId="233" type="noConversion"/>
  </si>
  <si>
    <t>—</t>
    <phoneticPr fontId="233" type="noConversion"/>
  </si>
  <si>
    <t>评估结果=（片区价格×路线修正或特殊情况修正+基础设施）×用途×年期×容积率×因素</t>
    <phoneticPr fontId="233" type="noConversion"/>
  </si>
  <si>
    <t>北京市房山区良乡镇FS04-0100-6076等地块R2二类居住用地、A33基础教育用地、F2公建混合住宅用地、F3其他类多功能用地国有建设用地数据表</t>
    <phoneticPr fontId="233" type="noConversion"/>
  </si>
  <si>
    <t>居住（商品房）</t>
    <phoneticPr fontId="233" type="noConversion"/>
  </si>
  <si>
    <t>3元/平方米.天</t>
    <phoneticPr fontId="3" type="noConversion"/>
  </si>
  <si>
    <t>2.3元/平方米.天</t>
    <phoneticPr fontId="3" type="noConversion"/>
  </si>
  <si>
    <t>政府收益总价</t>
    <phoneticPr fontId="233" type="noConversion"/>
  </si>
  <si>
    <t>楼面</t>
    <phoneticPr fontId="233" type="noConversion"/>
  </si>
  <si>
    <t>地面</t>
    <phoneticPr fontId="233" type="noConversion"/>
  </si>
  <si>
    <t>基准地价楼面</t>
    <phoneticPr fontId="233" type="noConversion"/>
  </si>
  <si>
    <t>基准地价地面</t>
    <phoneticPr fontId="233" type="noConversion"/>
  </si>
  <si>
    <t>剩余楼面</t>
    <phoneticPr fontId="233" type="noConversion"/>
  </si>
  <si>
    <t>剩余地面</t>
    <phoneticPr fontId="233" type="noConversion"/>
  </si>
  <si>
    <t>收益楼面</t>
    <phoneticPr fontId="233" type="noConversion"/>
  </si>
  <si>
    <t>收益地面</t>
    <phoneticPr fontId="233" type="noConversion"/>
  </si>
  <si>
    <t>出让金</t>
    <phoneticPr fontId="233" type="noConversion"/>
  </si>
  <si>
    <t>总价</t>
    <phoneticPr fontId="233" type="noConversion"/>
  </si>
  <si>
    <t>地面单价</t>
    <phoneticPr fontId="233" type="noConversion"/>
  </si>
  <si>
    <t>2019-3</t>
    <phoneticPr fontId="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</si>
  <si>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</si>
  <si>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2019-2</t>
    <phoneticPr fontId="3" type="noConversion"/>
  </si>
  <si>
    <t>2019-1</t>
    <phoneticPr fontId="3" type="noConversion"/>
  </si>
  <si>
    <t>2018-4</t>
    <phoneticPr fontId="3" type="noConversion"/>
  </si>
  <si>
    <t>底商</t>
  </si>
  <si>
    <t>FS04-0100-6081住宅</t>
    <phoneticPr fontId="3" type="noConversion"/>
  </si>
  <si>
    <t>FS04-0100-6081商业</t>
    <phoneticPr fontId="3" type="noConversion"/>
  </si>
  <si>
    <t>居住用途熟地价</t>
    <phoneticPr fontId="279" type="noConversion"/>
  </si>
  <si>
    <t>居住用途政府土地出让收益</t>
    <phoneticPr fontId="279" type="noConversion"/>
  </si>
  <si>
    <t>上次</t>
  </si>
  <si>
    <t>已部分缴纳</t>
  </si>
  <si>
    <t>住宅</t>
    <phoneticPr fontId="233" type="noConversion"/>
  </si>
  <si>
    <t>本次出让金</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</si>
</sst>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6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7"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7"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0" fillId="0" borderId="0" xfId="0" applyAlignment="1">
      <alignment horizontal="center" vertical="center" wrapText="1"/>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0" fontId="145" fillId="22" borderId="2" xfId="0" applyFont="1" applyFill="1" applyBorder="1" applyAlignment="1">
      <alignment horizontal="center" vertical="center" wrapText="1"/>
    </xf>
    <xf numFmtId="0" fontId="145" fillId="16"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16" borderId="2" xfId="0" applyFill="1" applyBorder="1" applyAlignment="1">
      <alignment horizontal="center" vertical="center" wrapText="1"/>
    </xf>
    <xf numFmtId="0" fontId="145" fillId="6" borderId="2" xfId="0" applyFont="1" applyFill="1" applyBorder="1" applyAlignment="1">
      <alignment horizontal="center" vertical="center" wrapText="1"/>
    </xf>
    <xf numFmtId="0" fontId="0" fillId="0" borderId="0" xfId="0" applyBorder="1" applyAlignment="1">
      <alignment horizontal="center" vertical="center" wrapText="1"/>
    </xf>
    <xf numFmtId="0" fontId="81" fillId="0" borderId="2" xfId="0" applyFont="1" applyBorder="1" applyAlignment="1">
      <alignment horizontal="center" vertical="center"/>
    </xf>
    <xf numFmtId="0" fontId="146" fillId="16" borderId="2" xfId="0" applyFont="1" applyFill="1" applyBorder="1" applyAlignment="1">
      <alignment horizontal="center" vertical="center" wrapText="1"/>
    </xf>
    <xf numFmtId="49" fontId="86" fillId="14" borderId="2" xfId="13" applyNumberFormat="1" applyFont="1" applyFill="1" applyBorder="1" applyAlignment="1" applyProtection="1">
      <alignment horizontal="center" vertical="center" wrapText="1"/>
    </xf>
    <xf numFmtId="185" fontId="243" fillId="14" borderId="0" xfId="13" applyNumberFormat="1" applyFont="1" applyFill="1" applyBorder="1" applyAlignment="1">
      <alignment horizontal="center" vertical="center"/>
    </xf>
    <xf numFmtId="0" fontId="157" fillId="0" borderId="122" xfId="13" applyFont="1" applyFill="1" applyBorder="1" applyAlignment="1">
      <alignment horizontal="center" vertical="center"/>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0" borderId="0" xfId="13" applyFont="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5" fontId="152" fillId="0" borderId="0" xfId="13" applyNumberFormat="1" applyFont="1" applyAlignment="1">
      <alignment horizontal="center" vertical="center"/>
    </xf>
    <xf numFmtId="0" fontId="241" fillId="12" borderId="120" xfId="13" applyFont="1" applyFill="1" applyBorder="1" applyAlignment="1" applyProtection="1">
      <alignment horizontal="center" vertical="center" wrapText="1"/>
    </xf>
    <xf numFmtId="0" fontId="241" fillId="23" borderId="120" xfId="13" applyFont="1" applyFill="1" applyBorder="1" applyAlignment="1" applyProtection="1">
      <alignment horizontal="center" vertical="center" wrapText="1"/>
    </xf>
    <xf numFmtId="0" fontId="241" fillId="23" borderId="121"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8" fontId="152" fillId="0" borderId="0" xfId="13" applyNumberFormat="1" applyFont="1">
      <alignment vertical="center"/>
    </xf>
    <xf numFmtId="10" fontId="152" fillId="0" borderId="126" xfId="13" applyNumberFormat="1" applyFont="1" applyBorder="1">
      <alignment vertical="center"/>
    </xf>
    <xf numFmtId="10" fontId="152" fillId="0" borderId="19" xfId="13" applyNumberFormat="1" applyFont="1" applyBorder="1">
      <alignment vertical="center"/>
    </xf>
    <xf numFmtId="10" fontId="152" fillId="0" borderId="0" xfId="13" applyNumberFormat="1" applyFont="1" applyAlignment="1">
      <alignment horizontal="center" vertical="center"/>
    </xf>
    <xf numFmtId="0" fontId="243" fillId="14" borderId="0" xfId="13" applyFont="1" applyFill="1">
      <alignment vertical="center"/>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241" fillId="12" borderId="152" xfId="13" applyFont="1" applyFill="1" applyBorder="1" applyAlignment="1" applyProtection="1">
      <alignment vertical="center" wrapText="1"/>
    </xf>
    <xf numFmtId="0" fontId="241" fillId="12" borderId="121" xfId="13" applyFont="1" applyFill="1" applyBorder="1" applyAlignment="1" applyProtection="1">
      <alignment horizontal="center" vertical="center" wrapText="1"/>
    </xf>
    <xf numFmtId="182" fontId="152" fillId="0" borderId="122" xfId="13" applyNumberFormat="1" applyFont="1" applyBorder="1">
      <alignment vertical="center"/>
    </xf>
    <xf numFmtId="182" fontId="152" fillId="0" borderId="0" xfId="13" applyNumberFormat="1" applyFont="1">
      <alignment vertical="center"/>
    </xf>
    <xf numFmtId="0" fontId="147" fillId="22" borderId="2" xfId="0" applyFont="1" applyFill="1" applyBorder="1" applyAlignment="1">
      <alignment horizontal="center" vertical="center" wrapText="1"/>
    </xf>
    <xf numFmtId="0" fontId="147" fillId="15" borderId="2" xfId="1" applyFont="1" applyFill="1" applyBorder="1" applyAlignment="1">
      <alignment horizontal="center" vertical="center"/>
    </xf>
    <xf numFmtId="0" fontId="145" fillId="0" borderId="0" xfId="1">
      <alignment vertical="center"/>
    </xf>
    <xf numFmtId="0" fontId="145" fillId="6" borderId="0" xfId="1" applyFill="1">
      <alignment vertical="center"/>
    </xf>
    <xf numFmtId="0" fontId="293" fillId="15" borderId="2" xfId="1" applyFont="1" applyFill="1" applyBorder="1" applyAlignment="1">
      <alignment horizontal="center" vertical="center"/>
    </xf>
    <xf numFmtId="0" fontId="293" fillId="22" borderId="2" xfId="0" applyFont="1" applyFill="1" applyBorder="1" applyAlignment="1">
      <alignment horizontal="center" vertical="center" wrapText="1"/>
    </xf>
    <xf numFmtId="1" fontId="145" fillId="0" borderId="0" xfId="1" applyNumberFormat="1">
      <alignment vertical="center"/>
    </xf>
    <xf numFmtId="10" fontId="75" fillId="5" borderId="2" xfId="0" applyNumberFormat="1" applyFont="1" applyFill="1" applyBorder="1" applyAlignment="1" applyProtection="1">
      <alignment horizontal="righ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5151;&#23665;2&#21495;&#22320;&#27979;&#31639;&#65288;&#21830;&#19994;&#65289;F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25151;&#23665;2&#21495;&#22320;/F03/F03&#27979;&#31639;/&#27979;&#31639;&#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150;&#20844;&#65289;F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0139;&#25991;&#20214;&#22841;/&#25151;&#23665;2&#21495;&#22320;/F04/&#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830;&#19994;&#65289;F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151;&#23665;2&#21495;&#22320;&#27979;&#31639;&#65288;&#21150;&#20844;&#65289;F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830;&#19994;&#65289;F04&#25187;&#38500;F2&#29992;&#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9">
          <cell r="C29">
            <v>4636</v>
          </cell>
        </row>
      </sheetData>
      <sheetData sheetId="19">
        <row r="37">
          <cell r="C37">
            <v>6659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3">
            <v>4578</v>
          </cell>
        </row>
        <row r="6">
          <cell r="C6">
            <v>3780</v>
          </cell>
        </row>
        <row r="7">
          <cell r="C7">
            <v>1</v>
          </cell>
        </row>
        <row r="16">
          <cell r="C16">
            <v>30</v>
          </cell>
        </row>
        <row r="18">
          <cell r="C18">
            <v>1</v>
          </cell>
        </row>
        <row r="19">
          <cell r="C19">
            <v>1.3875999999999999</v>
          </cell>
        </row>
        <row r="20">
          <cell r="C20">
            <v>0.99429999999999996</v>
          </cell>
        </row>
        <row r="21">
          <cell r="C21">
            <v>0.9284</v>
          </cell>
        </row>
        <row r="24">
          <cell r="C24">
            <v>0.93799999999999994</v>
          </cell>
        </row>
      </sheetData>
      <sheetData sheetId="19"/>
      <sheetData sheetId="20"/>
      <sheetData sheetId="21"/>
      <sheetData sheetId="22"/>
      <sheetData sheetId="23"/>
      <sheetData sheetId="24">
        <row r="3">
          <cell r="B3">
            <v>22784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0">
          <cell r="D20">
            <v>6530</v>
          </cell>
        </row>
      </sheetData>
      <sheetData sheetId="19">
        <row r="3">
          <cell r="B3">
            <v>4709</v>
          </cell>
        </row>
        <row r="6">
          <cell r="C6">
            <v>3750</v>
          </cell>
        </row>
        <row r="7">
          <cell r="C7">
            <v>1</v>
          </cell>
        </row>
        <row r="16">
          <cell r="C16">
            <v>30</v>
          </cell>
        </row>
        <row r="18">
          <cell r="C18">
            <v>1</v>
          </cell>
        </row>
        <row r="19">
          <cell r="C19">
            <v>1.3875999999999999</v>
          </cell>
        </row>
        <row r="20">
          <cell r="C20">
            <v>0.99660000000000004</v>
          </cell>
        </row>
        <row r="21">
          <cell r="C21">
            <v>0.95299999999999996</v>
          </cell>
        </row>
        <row r="24">
          <cell r="C24">
            <v>0.94520000000000004</v>
          </cell>
        </row>
      </sheetData>
      <sheetData sheetId="20"/>
      <sheetData sheetId="21" refreshError="1"/>
      <sheetData sheetId="22"/>
      <sheetData sheetId="23">
        <row r="3">
          <cell r="B3">
            <v>16119</v>
          </cell>
        </row>
      </sheetData>
      <sheetData sheetId="24" refreshError="1"/>
      <sheetData sheetId="25" refreshError="1"/>
      <sheetData sheetId="26">
        <row r="50">
          <cell r="C50">
            <v>2.2000000000000002</v>
          </cell>
        </row>
      </sheetData>
      <sheetData sheetId="27" refreshError="1"/>
      <sheetData sheetId="28">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187568</v>
          </cell>
          <cell r="D19">
            <v>553349</v>
          </cell>
        </row>
      </sheetData>
      <sheetData sheetId="17"/>
      <sheetData sheetId="18">
        <row r="8">
          <cell r="C8">
            <v>35344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8">
          <cell r="C48">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U6">
            <v>2.2000000000000002</v>
          </cell>
        </row>
      </sheetData>
      <sheetData sheetId="14" refreshError="1"/>
      <sheetData sheetId="15" refreshError="1"/>
      <sheetData sheetId="16" refreshError="1"/>
      <sheetData sheetId="17" refreshError="1"/>
      <sheetData sheetId="18"/>
      <sheetData sheetId="19">
        <row r="29">
          <cell r="C29">
            <v>4746</v>
          </cell>
        </row>
      </sheetData>
      <sheetData sheetId="20">
        <row r="37">
          <cell r="C37">
            <v>5883</v>
          </cell>
        </row>
      </sheetData>
      <sheetData sheetId="21" refreshError="1"/>
      <sheetData sheetId="22" refreshError="1"/>
      <sheetData sheetId="23">
        <row r="49">
          <cell r="C49">
            <v>15903</v>
          </cell>
        </row>
      </sheetData>
      <sheetData sheetId="24" refreshError="1"/>
      <sheetData sheetId="25" refreshError="1"/>
      <sheetData sheetId="26" refreshError="1"/>
      <sheetData sheetId="27" refreshError="1"/>
      <sheetData sheetId="28">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D20">
            <v>6661</v>
          </cell>
        </row>
      </sheetData>
      <sheetData sheetId="18">
        <row r="29">
          <cell r="C29">
            <v>4636</v>
          </cell>
        </row>
      </sheetData>
      <sheetData sheetId="19"/>
      <sheetData sheetId="20"/>
      <sheetData sheetId="21"/>
      <sheetData sheetId="22"/>
      <sheetData sheetId="23"/>
      <sheetData sheetId="24">
        <row r="48">
          <cell r="C48">
            <v>22727</v>
          </cell>
        </row>
      </sheetData>
      <sheetData sheetId="25"/>
      <sheetData sheetId="26"/>
      <sheetData sheetId="27">
        <row r="37">
          <cell r="F37">
            <v>18905.222706401626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2652</v>
      </c>
      <c r="B1" s="2891" t="s">
        <v>2749</v>
      </c>
    </row>
    <row r="2" spans="1:55" s="2895" customFormat="1" ht="15" thickTop="1">
      <c r="A2" s="2893" t="s">
        <v>2656</v>
      </c>
      <c r="B2" s="2894" t="str">
        <f>'预评函-封皮'!B37</f>
        <v>北京市房山区邢家坞村出让国有建设用地使用权市场价格预评估</v>
      </c>
      <c r="AX2" s="2896"/>
      <c r="AZ2" s="2896"/>
      <c r="BA2" s="2897"/>
      <c r="BC2" s="2897"/>
    </row>
    <row r="3" spans="1:55" s="2898" customFormat="1">
      <c r="A3" s="2877" t="s">
        <v>2657</v>
      </c>
      <c r="B3" s="2880">
        <f>'预评函-封皮'!B40</f>
        <v>0</v>
      </c>
    </row>
    <row r="4" spans="1:55" s="2879" customFormat="1">
      <c r="A4" s="2877" t="s">
        <v>2658</v>
      </c>
      <c r="B4" s="2878" t="str">
        <f>'预评函-封皮'!B46</f>
        <v>陈颖、叶凌</v>
      </c>
      <c r="N4" s="2879" t="str">
        <f>'预评函-1'!A28</f>
        <v>——</v>
      </c>
    </row>
    <row r="5" spans="1:55" s="2892" customFormat="1" ht="15" thickBot="1">
      <c r="A5" s="2899" t="s">
        <v>2659</v>
      </c>
      <c r="B5" s="2900" t="str">
        <f>'预评函-封皮'!B49</f>
        <v>康正预评字号</v>
      </c>
    </row>
    <row r="6" spans="1:55" s="2901" customFormat="1" ht="15" thickTop="1">
      <c r="A6" s="2893" t="s">
        <v>2701</v>
      </c>
      <c r="B6" s="2894" t="str">
        <f>'预评函-1'!A4</f>
        <v>受贵公司委托，我公司对北京市房山区邢家坞村出让国有建设用地使用权市场价格进行了预评估。</v>
      </c>
      <c r="AM6" s="2902"/>
    </row>
    <row r="7" spans="1:55" s="2876" customFormat="1">
      <c r="A7" s="2877" t="s">
        <v>2653</v>
      </c>
      <c r="B7" s="2878" t="str">
        <f>'预评函-1'!A6</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8" spans="1:55" s="2876" customFormat="1">
      <c r="A8" s="2877" t="s">
        <v>2654</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2704</v>
      </c>
      <c r="B9" s="2878" t="str">
        <f>'预评函-1'!A9</f>
        <v>本次评估为委托估价方了解标的物之市场价格提供参考依据而评估出让国有建设用地使用权市场价格。</v>
      </c>
    </row>
    <row r="10" spans="1:55" s="2876" customFormat="1">
      <c r="A10" s="2877" t="s">
        <v>2655</v>
      </c>
      <c r="B10" s="2878" t="str">
        <f>'预评函-1'!A11</f>
        <v>2019年9月3日（评估专业人员勘察现场之日）</v>
      </c>
    </row>
    <row r="11" spans="1:55" s="2876" customFormat="1">
      <c r="A11" s="2877" t="s">
        <v>2661</v>
      </c>
      <c r="B11" s="2878" t="str">
        <f>'预评函-1'!A14</f>
        <v>根据《国有土地使用证》[]，本次评估估价对象证载（地类）用途为。</v>
      </c>
    </row>
    <row r="12" spans="1:55" s="2876" customFormat="1">
      <c r="A12" s="2877" t="s">
        <v>2662</v>
      </c>
      <c r="B12" s="2878" t="str">
        <f>'预评函-1'!A15</f>
        <v>本次评估设定用途即为证载用途。</v>
      </c>
    </row>
    <row r="13" spans="1:55" s="2876" customFormat="1">
      <c r="A13" s="2877" t="s">
        <v>2663</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2664</v>
      </c>
      <c r="B14" s="2878" t="str">
        <f>'预评函-1'!A18</f>
        <v>。本次评估设定土地开发程度为红线外市政基础设施达“七通”、宗地红线内场地平整。</v>
      </c>
    </row>
    <row r="15" spans="1:55" s="2876" customFormat="1">
      <c r="A15" s="2877" t="s">
        <v>2660</v>
      </c>
      <c r="B15" s="2878" t="str">
        <f>'预评函-1'!A20</f>
        <v>根据《国有土地使用证》[]，估价对象（分摊）出让国有建设用地使用权面积为145654.58平方米。根据《建设工程规划许可证》[]、《出让合同》[]，估价对象规划建筑面积为334812平方米。</v>
      </c>
    </row>
    <row r="16" spans="1:55" s="2876" customFormat="1">
      <c r="A16" s="2877" t="s">
        <v>2665</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2098年11月19日、商业2058年11月19日、办公2068年11月19日。截至估价期日，出让国有建设用地使用权剩余土地使用年限为。</v>
      </c>
    </row>
    <row r="17" spans="1:48" s="2876" customFormat="1">
      <c r="A17" s="2877" t="s">
        <v>2666</v>
      </c>
      <c r="B17" s="2878" t="str">
        <f>'预评函-1'!A23</f>
        <v>本次评估设定估价对象剩余土地使用年限为。</v>
      </c>
    </row>
    <row r="18" spans="1:48" s="2876" customFormat="1">
      <c r="A18" s="2877" t="s">
        <v>2667</v>
      </c>
      <c r="B18" s="2878" t="str">
        <f>'预评函-1'!A25</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19" spans="1:48" s="2876" customFormat="1">
      <c r="A19" s="2877" t="s">
        <v>2668</v>
      </c>
      <c r="B19" s="2878" t="str">
        <f>'预评函-1'!A26</f>
        <v>——</v>
      </c>
    </row>
    <row r="20" spans="1:48" s="2876" customFormat="1">
      <c r="A20" s="2877" t="s">
        <v>2669</v>
      </c>
      <c r="B20" s="2878" t="str">
        <f>'预评函-1'!A27</f>
        <v>——</v>
      </c>
    </row>
    <row r="21" spans="1:48" s="2892" customFormat="1" ht="15" thickBot="1">
      <c r="A21" s="2899" t="s">
        <v>2670</v>
      </c>
      <c r="B21" s="2900" t="str">
        <f>'预评函-1'!A28</f>
        <v>——</v>
      </c>
    </row>
    <row r="22" spans="1:48" ht="15" thickTop="1">
      <c r="A22" s="2888" t="s">
        <v>2671</v>
      </c>
      <c r="B22" s="288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7" t="s">
        <v>2672</v>
      </c>
      <c r="B23" s="2878" t="str">
        <f>'预评函-2'!K2</f>
        <v>估价期日：2019年9月3日</v>
      </c>
    </row>
    <row r="24" spans="1:48">
      <c r="A24" s="2877" t="s">
        <v>2673</v>
      </c>
      <c r="B24" s="2878" t="str">
        <f>'预评函-2'!R2</f>
        <v>估价期日的国有建设用地使用权性质：出让</v>
      </c>
    </row>
    <row r="25" spans="1:48">
      <c r="A25" s="2877" t="s">
        <v>2729</v>
      </c>
      <c r="B25" s="2878" t="str">
        <f>'预评函-2'!A3</f>
        <v>估价期日土地使用者</v>
      </c>
    </row>
    <row r="26" spans="1:48">
      <c r="A26" s="2877" t="s">
        <v>2705</v>
      </c>
      <c r="B26" s="2878" t="str">
        <f>'预评函-2'!A5</f>
        <v>中信开发</v>
      </c>
    </row>
    <row r="27" spans="1:48">
      <c r="A27" s="2877" t="s">
        <v>2730</v>
      </c>
      <c r="B27" s="2878" t="str">
        <f>'预评函-2'!B3</f>
        <v>宗地编号/不动产单元号</v>
      </c>
    </row>
    <row r="28" spans="1:48">
      <c r="A28" s="2877" t="s">
        <v>2706</v>
      </c>
      <c r="B28" s="2878" t="str">
        <f>'预评函-2'!B5</f>
        <v>11111111111</v>
      </c>
    </row>
    <row r="29" spans="1:48">
      <c r="A29" s="2877" t="s">
        <v>2732</v>
      </c>
      <c r="B29" s="2878">
        <f>'预评函-2'!C5</f>
        <v>22</v>
      </c>
    </row>
    <row r="30" spans="1:48">
      <c r="A30" s="2877" t="s">
        <v>2733</v>
      </c>
      <c r="B30" s="2878" t="str">
        <f>'预评函-2'!D3</f>
        <v>土地使用证编号/不动产权证书编号</v>
      </c>
    </row>
    <row r="31" spans="1:48">
      <c r="A31" s="2877" t="s">
        <v>2707</v>
      </c>
      <c r="B31" s="2878" t="str">
        <f>'预评函-2'!D5</f>
        <v>京国土字第111号</v>
      </c>
    </row>
    <row r="32" spans="1:48">
      <c r="A32" s="2877" t="s">
        <v>2708</v>
      </c>
      <c r="B32" s="2878">
        <f>'预评函-2'!E5</f>
        <v>0</v>
      </c>
      <c r="AV32" s="2882"/>
    </row>
    <row r="33" spans="1:2">
      <c r="A33" s="2877" t="s">
        <v>2709</v>
      </c>
      <c r="B33" s="2878">
        <f>'预评函-2'!F5</f>
        <v>258</v>
      </c>
    </row>
    <row r="34" spans="1:2">
      <c r="A34" s="2877" t="s">
        <v>2710</v>
      </c>
      <c r="B34" s="2878">
        <f>'预评函-2'!G5</f>
        <v>0</v>
      </c>
    </row>
    <row r="35" spans="1:2">
      <c r="A35" s="2877" t="s">
        <v>2711</v>
      </c>
      <c r="B35" s="2878">
        <f>'预评函-2'!H5</f>
        <v>1.5</v>
      </c>
    </row>
    <row r="36" spans="1:2">
      <c r="A36" s="2877" t="s">
        <v>2712</v>
      </c>
      <c r="B36" s="2878">
        <f>'预评函-2'!I5</f>
        <v>1.5</v>
      </c>
    </row>
    <row r="37" spans="1:2">
      <c r="A37" s="2877" t="s">
        <v>2713</v>
      </c>
      <c r="B37" s="2878">
        <f>'预评函-2'!J5</f>
        <v>1.5</v>
      </c>
    </row>
    <row r="38" spans="1:2">
      <c r="A38" s="2877" t="s">
        <v>2714</v>
      </c>
      <c r="B38" s="2878" t="str">
        <f>'预评函-2'!K5</f>
        <v>红线外七通、宗地红线内</v>
      </c>
    </row>
    <row r="39" spans="1:2">
      <c r="A39" s="2877" t="s">
        <v>2715</v>
      </c>
      <c r="B39" s="2878" t="str">
        <f>'预评函-2'!L5</f>
        <v>红线外七通、宗地红线内场地</v>
      </c>
    </row>
    <row r="40" spans="1:2">
      <c r="A40" s="2877" t="s">
        <v>2734</v>
      </c>
      <c r="B40" s="2878" t="str">
        <f>'预评函-2'!M3</f>
        <v>（剩余）土地使用年限/年</v>
      </c>
    </row>
    <row r="41" spans="1:2">
      <c r="A41" s="2877" t="s">
        <v>2716</v>
      </c>
      <c r="B41" s="2878">
        <f>'预评函-2'!M5</f>
        <v>0</v>
      </c>
    </row>
    <row r="42" spans="1:2">
      <c r="A42" s="2877" t="s">
        <v>2735</v>
      </c>
      <c r="B42" s="2878" t="str">
        <f>'预评函-2'!N3</f>
        <v>（分摊）出让国有建设用地使用权面积/㎡</v>
      </c>
    </row>
    <row r="43" spans="1:2">
      <c r="A43" s="2877" t="s">
        <v>2717</v>
      </c>
      <c r="B43" s="2878">
        <f>'预评函-2'!N5</f>
        <v>145654.57999999999</v>
      </c>
    </row>
    <row r="44" spans="1:2">
      <c r="A44" s="2877" t="s">
        <v>2736</v>
      </c>
      <c r="B44" s="2878" t="str">
        <f>'预评函-2'!O3</f>
        <v>规划建筑面积/㎡</v>
      </c>
    </row>
    <row r="45" spans="1:2">
      <c r="A45" s="2877" t="s">
        <v>2718</v>
      </c>
      <c r="B45" s="2878">
        <f>'预评函-2'!O5</f>
        <v>334812</v>
      </c>
    </row>
    <row r="46" spans="1:2">
      <c r="A46" s="2877" t="s">
        <v>2719</v>
      </c>
      <c r="B46" s="2878">
        <f ca="1">'预评函-2'!P5</f>
        <v>28814</v>
      </c>
    </row>
    <row r="47" spans="1:2">
      <c r="A47" s="2877" t="s">
        <v>2720</v>
      </c>
      <c r="B47" s="2878">
        <f ca="1">'预评函-2'!Q5</f>
        <v>12535</v>
      </c>
    </row>
    <row r="48" spans="1:2">
      <c r="A48" s="2877" t="s">
        <v>2721</v>
      </c>
      <c r="B48" s="2878">
        <f ca="1">'预评函-2'!R5</f>
        <v>419686</v>
      </c>
    </row>
    <row r="49" spans="1:2">
      <c r="A49" s="2877" t="s">
        <v>2737</v>
      </c>
      <c r="B49" s="2878" t="str">
        <f>'预评函-2'!A6</f>
        <v>——</v>
      </c>
    </row>
    <row r="50" spans="1:2">
      <c r="A50" s="2877" t="s">
        <v>2722</v>
      </c>
      <c r="B50" s="2878" t="str">
        <f>'预评函-2'!R6</f>
        <v>——</v>
      </c>
    </row>
    <row r="51" spans="1:2">
      <c r="A51" s="2877" t="s">
        <v>2738</v>
      </c>
      <c r="B51" s="2878" t="str">
        <f>'预评函-2'!A7</f>
        <v>——</v>
      </c>
    </row>
    <row r="52" spans="1:2">
      <c r="A52" s="2877" t="s">
        <v>2723</v>
      </c>
      <c r="B52" s="2878" t="str">
        <f>'预评函-2'!R7</f>
        <v>——</v>
      </c>
    </row>
    <row r="53" spans="1:2">
      <c r="A53" s="2877" t="s">
        <v>2739</v>
      </c>
      <c r="B53" s="2878" t="str">
        <f>'预评函-2'!A8</f>
        <v>——</v>
      </c>
    </row>
    <row r="54" spans="1:2" s="2892" customFormat="1" ht="15" thickBot="1">
      <c r="A54" s="2899" t="s">
        <v>2724</v>
      </c>
      <c r="B54" s="2900" t="str">
        <f>'预评函-2'!R8</f>
        <v>——</v>
      </c>
    </row>
    <row r="55" spans="1:2" ht="15" thickTop="1">
      <c r="A55" s="2888" t="s">
        <v>2674</v>
      </c>
      <c r="B55" s="2889" t="str">
        <f>'预评函-3'!A2</f>
        <v>1.权利限制：根据估价对象《不动产权证书》原件、《国有土地使用权》复印件，截至估价期日，估价对象抵押权未见登记。未设定租赁等其他他项权利。</v>
      </c>
    </row>
    <row r="56" spans="1:2">
      <c r="A56" s="2877" t="s">
        <v>2675</v>
      </c>
      <c r="B56" s="2878" t="str">
        <f>'预评函-3'!A3</f>
        <v>2.基础设施条件：估价对象实际开发程度为红线外七通、宗地红线内；本次评估设定开发程度为红线外七通、宗地红线内场地。</v>
      </c>
    </row>
    <row r="57" spans="1:2">
      <c r="A57" s="2877" t="s">
        <v>2676</v>
      </c>
      <c r="B57" s="2878" t="str">
        <f>'预评函-3'!A4</f>
        <v>3.估价规划限制条件：详见《建设工程规划许可证》[]、《出让合同》[]。</v>
      </c>
    </row>
    <row r="58" spans="1:2" s="2892" customFormat="1" ht="15" thickBot="1">
      <c r="A58" s="2899" t="s">
        <v>2725</v>
      </c>
      <c r="B58" s="2900" t="str">
        <f>'预评函-3'!A5</f>
        <v>4.影响价格的其他限定条件：无。</v>
      </c>
    </row>
    <row r="59" spans="1:2" ht="15" thickTop="1">
      <c r="A59" s="2888" t="s">
        <v>2677</v>
      </c>
      <c r="B59" s="2889" t="str">
        <f>'预评函-3'!A8</f>
        <v>2.本次评估设定估价对象宗地权属无争议，未被查封或者以其他形式限制其房地产权利，未设定抵押权等他项权利，不涉及第三方权利义务。</v>
      </c>
    </row>
    <row r="60" spans="1:2">
      <c r="A60" s="2877" t="s">
        <v>2678</v>
      </c>
      <c r="B60" s="2878" t="str">
        <f>'预评函-3'!A9</f>
        <v>——</v>
      </c>
    </row>
    <row r="61" spans="1:2">
      <c r="A61" s="2877" t="s">
        <v>2680</v>
      </c>
      <c r="B61" s="2878" t="str">
        <f>'预评函-3'!A10</f>
        <v>——</v>
      </c>
    </row>
    <row r="62" spans="1:2">
      <c r="A62" s="2877" t="s">
        <v>2679</v>
      </c>
      <c r="B62" s="2878" t="str">
        <f>'预评函-3'!A11</f>
        <v>——</v>
      </c>
    </row>
    <row r="63" spans="1:2">
      <c r="A63" s="2877" t="s">
        <v>2681</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2682</v>
      </c>
      <c r="B64" s="2883" t="str">
        <f>'预评函-3'!A13</f>
        <v>（3）。</v>
      </c>
    </row>
    <row r="65" spans="1:2">
      <c r="A65" s="2877" t="s">
        <v>2683</v>
      </c>
      <c r="B65" s="2884" t="str">
        <f>'预评函-3'!A14</f>
        <v>——</v>
      </c>
    </row>
    <row r="66" spans="1:2">
      <c r="A66" s="2877" t="s">
        <v>2684</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2685</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2688</v>
      </c>
      <c r="B68" s="2903">
        <f>'预评函-3'!D30</f>
        <v>42558</v>
      </c>
    </row>
    <row r="69" spans="1:2" ht="15" thickTop="1">
      <c r="A69" s="2888" t="s">
        <v>2686</v>
      </c>
      <c r="B69" s="2889" t="str">
        <f>'预评函-3'!A20</f>
        <v>陈颖</v>
      </c>
    </row>
    <row r="70" spans="1:2">
      <c r="A70" s="2877" t="s">
        <v>2686</v>
      </c>
      <c r="B70" s="2884">
        <f ca="1">'预评函-3'!B20</f>
        <v>2004110096</v>
      </c>
    </row>
    <row r="71" spans="1:2">
      <c r="A71" s="2877" t="s">
        <v>2687</v>
      </c>
      <c r="B71" s="2878" t="str">
        <f>'预评函-3'!A21</f>
        <v>叶凌</v>
      </c>
    </row>
    <row r="72" spans="1:2" s="2892" customFormat="1" ht="15" thickBot="1">
      <c r="A72" s="2899" t="s">
        <v>2687</v>
      </c>
      <c r="B72" s="2905">
        <f ca="1">'预评函-3'!B21</f>
        <v>94010078</v>
      </c>
    </row>
    <row r="73" spans="1:2" ht="15" thickTop="1">
      <c r="A73" s="2888" t="s">
        <v>2746</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2747</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2748</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2782</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55" t="str">
        <f>IF(B10="北京市","北京市",C10)&amp;F10&amp;B16&amp;"国有建设用地使用权"&amp;B9&amp;"预评估"</f>
        <v>北京市房山区邢家坞村出让国有建设用地使用权市场价格预评估</v>
      </c>
      <c r="C1" s="3356"/>
      <c r="D1" s="3356"/>
      <c r="E1" s="3356"/>
      <c r="F1" s="3356"/>
      <c r="G1" s="3356"/>
      <c r="H1" s="3356"/>
      <c r="I1" s="3357"/>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43711</v>
      </c>
      <c r="C3" s="1663" t="s">
        <v>1991</v>
      </c>
      <c r="D3" s="1662">
        <v>43711</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3027</v>
      </c>
      <c r="C4" s="1846">
        <f ca="1">SUMIF(土地估价师,B4,估价师及机构信息!E3:E24)</f>
        <v>2004110096</v>
      </c>
      <c r="D4" s="1843" t="s">
        <v>3028</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2982</v>
      </c>
      <c r="C8" s="1671"/>
      <c r="D8" s="3361"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2983</v>
      </c>
      <c r="C9" s="1675"/>
      <c r="D9" s="3362"/>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2999</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58"/>
      <c r="C12" s="3359"/>
      <c r="D12" s="3360"/>
      <c r="E12" s="1699" t="s">
        <v>2057</v>
      </c>
      <c r="F12" s="3376" t="s">
        <v>2884</v>
      </c>
      <c r="G12" s="3377"/>
      <c r="H12" s="3377"/>
      <c r="I12" s="3378"/>
      <c r="J12" s="1694"/>
      <c r="K12" s="1774"/>
      <c r="L12" s="1723"/>
      <c r="M12" s="1723"/>
      <c r="N12" s="1694"/>
      <c r="O12" s="1695"/>
      <c r="P12" s="1694"/>
      <c r="Q12" s="1694"/>
      <c r="R12" s="1694"/>
      <c r="S12" s="1694"/>
      <c r="T12" s="1694"/>
      <c r="U12" s="1694"/>
    </row>
    <row r="13" spans="1:21">
      <c r="A13" s="1687" t="s">
        <v>2055</v>
      </c>
      <c r="B13" s="3358"/>
      <c r="C13" s="3359"/>
      <c r="D13" s="3360"/>
      <c r="E13" s="1699" t="s">
        <v>2057</v>
      </c>
      <c r="F13" s="3376" t="s">
        <v>2885</v>
      </c>
      <c r="G13" s="3377"/>
      <c r="H13" s="3377"/>
      <c r="I13" s="3378"/>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2984</v>
      </c>
      <c r="C16" s="1699" t="s">
        <v>1944</v>
      </c>
      <c r="D16" s="2647" t="s">
        <v>1945</v>
      </c>
      <c r="E16" s="1722" t="s">
        <v>2981</v>
      </c>
      <c r="F16" s="1722" t="s">
        <v>1674</v>
      </c>
      <c r="G16" s="1722"/>
      <c r="H16" s="1722"/>
      <c r="I16" s="1686" t="s">
        <v>1950</v>
      </c>
      <c r="J16" s="1694"/>
      <c r="K16" s="2457" t="str">
        <f>IF(D17="","",D16&amp;TEXT(D17,"yyyy年m月d日;;"))</f>
        <v>住宅2098年11月19日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72643</v>
      </c>
      <c r="E17" s="1700">
        <v>58033</v>
      </c>
      <c r="F17" s="1700">
        <v>61686</v>
      </c>
      <c r="G17" s="1700"/>
      <c r="H17" s="1700"/>
      <c r="I17" s="1700"/>
      <c r="J17" s="1694"/>
      <c r="K17" s="2456" t="str">
        <f>CONCATENATE(K16,L16,M16,N16,O16,P16,Q16,R16,S16,T16,,U16)</f>
        <v>住宅2098年11月19日、商业2058年11月19日、办公2068年11月19日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39.229999999999997</v>
      </c>
      <c r="F19" s="1685">
        <f>IF(B16="出让",IF(F17="","",ROUNDDOWN(MIN((F17-$D$3)/365,F18),2)),F18)</f>
        <v>49.24</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73"/>
      <c r="E20" s="3374"/>
      <c r="F20" s="3374"/>
      <c r="G20" s="3374"/>
      <c r="H20" s="3374"/>
      <c r="I20" s="3375"/>
      <c r="J20" s="1694"/>
      <c r="K20" s="1774"/>
      <c r="L20" s="1723"/>
      <c r="M20" s="1723"/>
      <c r="N20" s="1694"/>
      <c r="O20" s="1695"/>
      <c r="P20" s="1694"/>
      <c r="Q20" s="1694"/>
      <c r="R20" s="1694"/>
      <c r="S20" s="1694"/>
      <c r="T20" s="1694"/>
      <c r="U20" s="1694"/>
    </row>
    <row r="21" spans="1:21">
      <c r="A21" s="1763" t="s">
        <v>1954</v>
      </c>
      <c r="B21" s="1764" t="s">
        <v>1955</v>
      </c>
      <c r="C21" s="1759">
        <f>'数据-汇总表'!E3</f>
        <v>334812</v>
      </c>
      <c r="D21" s="1760" t="s">
        <v>1956</v>
      </c>
      <c r="E21" s="3363" t="s">
        <v>1994</v>
      </c>
      <c r="F21" s="3364"/>
      <c r="G21" s="3364"/>
      <c r="H21" s="3364"/>
      <c r="I21" s="3365"/>
      <c r="J21" s="1694"/>
      <c r="K21" s="1774"/>
      <c r="L21" s="1723"/>
      <c r="M21" s="1723"/>
      <c r="N21" s="1694"/>
      <c r="O21" s="1695"/>
      <c r="P21" s="1694"/>
      <c r="Q21" s="1694"/>
      <c r="R21" s="1694"/>
      <c r="S21" s="1694"/>
      <c r="T21" s="1694"/>
      <c r="U21" s="1694"/>
    </row>
    <row r="22" spans="1:21">
      <c r="A22" s="3140" t="s">
        <v>949</v>
      </c>
      <c r="B22" s="1661" t="s">
        <v>1957</v>
      </c>
      <c r="C22" s="1686">
        <f>'数据-汇总表'!D3</f>
        <v>145654.57999999999</v>
      </c>
      <c r="D22" s="1687" t="s">
        <v>1956</v>
      </c>
      <c r="E22" s="3363" t="s">
        <v>2886</v>
      </c>
      <c r="F22" s="3364"/>
      <c r="G22" s="3364"/>
      <c r="H22" s="3364"/>
      <c r="I22" s="3365"/>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66" t="s">
        <v>1962</v>
      </c>
      <c r="C24" s="3367"/>
      <c r="D24" s="3368" t="s">
        <v>1963</v>
      </c>
      <c r="E24" s="3369"/>
      <c r="F24" s="1708" t="s">
        <v>1964</v>
      </c>
      <c r="G24" s="1694"/>
      <c r="H24" s="1694"/>
      <c r="I24" s="1707"/>
      <c r="J24" s="1694"/>
      <c r="K24" s="3354"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54"/>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54"/>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40" t="s">
        <v>1997</v>
      </c>
      <c r="B31" s="1764" t="s">
        <v>1998</v>
      </c>
      <c r="C31" s="3379"/>
      <c r="D31" s="3380"/>
      <c r="E31" s="1694"/>
      <c r="F31" s="1694"/>
      <c r="G31" s="1694"/>
      <c r="H31" s="1694"/>
      <c r="I31" s="1707"/>
      <c r="J31" s="1694"/>
      <c r="K31" s="2459"/>
      <c r="L31" s="1694"/>
      <c r="M31" s="1694"/>
      <c r="N31" s="1694"/>
      <c r="O31" s="1694"/>
      <c r="P31" s="1694"/>
      <c r="Q31" s="1694"/>
      <c r="R31" s="1694"/>
      <c r="S31" s="1694"/>
      <c r="T31" s="1694"/>
      <c r="U31" s="1694"/>
    </row>
    <row r="32" spans="1:21">
      <c r="A32" s="3340"/>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40"/>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41"/>
      <c r="B34" s="1661" t="s">
        <v>2001</v>
      </c>
      <c r="C34" s="3342"/>
      <c r="D34" s="3343"/>
      <c r="E34" s="1694"/>
      <c r="F34" s="1694"/>
      <c r="G34" s="1694"/>
      <c r="H34" s="1694"/>
      <c r="I34" s="1707"/>
      <c r="J34" s="1694"/>
      <c r="K34" s="2459"/>
      <c r="L34" s="1694"/>
      <c r="M34" s="1694"/>
      <c r="N34" s="1694"/>
      <c r="O34" s="1694"/>
      <c r="P34" s="1694"/>
      <c r="Q34" s="1694"/>
      <c r="R34" s="1694"/>
      <c r="S34" s="1694"/>
      <c r="T34" s="1694"/>
      <c r="U34" s="1694"/>
    </row>
    <row r="35" spans="1:21">
      <c r="A35" s="3344" t="s">
        <v>844</v>
      </c>
      <c r="B35" s="1722"/>
      <c r="C35" s="1776" t="str">
        <f>IF(B35="场地平整","——","具体情况：")</f>
        <v>具体情况：</v>
      </c>
      <c r="D35" s="3346"/>
      <c r="E35" s="3347"/>
      <c r="F35" s="3347"/>
      <c r="G35" s="3347"/>
      <c r="H35" s="3347"/>
      <c r="I35" s="3348"/>
      <c r="J35" s="1694"/>
      <c r="K35" s="1775"/>
      <c r="L35" s="1723"/>
      <c r="M35" s="1723"/>
      <c r="N35" s="1694"/>
      <c r="O35" s="1695"/>
      <c r="P35" s="1694"/>
      <c r="Q35" s="1694"/>
      <c r="R35" s="1694"/>
      <c r="S35" s="1694"/>
      <c r="T35" s="1694"/>
      <c r="U35" s="1694"/>
    </row>
    <row r="36" spans="1:21">
      <c r="A36" s="3340"/>
      <c r="B36" s="3349" t="s">
        <v>2050</v>
      </c>
      <c r="C36" s="3350"/>
      <c r="D36" s="1792"/>
      <c r="E36" s="3351"/>
      <c r="F36" s="3351"/>
      <c r="G36" s="1687" t="str">
        <f>IF(B35="场地未平整","估价结果处理","")</f>
        <v/>
      </c>
      <c r="H36" s="3352"/>
      <c r="I36" s="3352"/>
      <c r="J36" s="1694"/>
      <c r="K36" s="1775"/>
      <c r="L36" s="1723"/>
      <c r="M36" s="1723"/>
      <c r="N36" s="1694"/>
      <c r="O36" s="1695"/>
      <c r="P36" s="1694"/>
      <c r="Q36" s="1694"/>
      <c r="R36" s="1694"/>
      <c r="S36" s="1694"/>
      <c r="T36" s="1694"/>
      <c r="U36" s="1694"/>
    </row>
    <row r="37" spans="1:21" ht="28.5">
      <c r="A37" s="3340"/>
      <c r="B37" s="3370"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40"/>
      <c r="B38" s="3371"/>
      <c r="C38" s="1669" t="s">
        <v>847</v>
      </c>
      <c r="D38" s="1791">
        <f>ROUNDDOWN(MIN(('数据-取费表'!$B$2-D37)/365,D34),1)</f>
        <v>119.7</v>
      </c>
      <c r="E38" s="1727" t="s">
        <v>848</v>
      </c>
      <c r="F38" s="1694"/>
      <c r="G38" s="1694"/>
      <c r="H38" s="1694"/>
      <c r="I38" s="1707"/>
      <c r="J38" s="1694"/>
      <c r="K38" s="1775"/>
      <c r="L38" s="1694"/>
      <c r="M38" s="1694"/>
      <c r="N38" s="1694"/>
      <c r="O38" s="1694"/>
      <c r="P38" s="1694"/>
      <c r="Q38" s="1694"/>
      <c r="R38" s="1694"/>
      <c r="S38" s="1694"/>
      <c r="T38" s="1694"/>
      <c r="U38" s="1694"/>
    </row>
    <row r="39" spans="1:21">
      <c r="A39" s="3341"/>
      <c r="B39" s="337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353" t="s">
        <v>1981</v>
      </c>
      <c r="T40" s="1731" t="str">
        <f>NUMBERSTRING(7-K40,1)&amp;"通"</f>
        <v>七通</v>
      </c>
      <c r="U40" s="1694"/>
    </row>
    <row r="41" spans="1:21">
      <c r="A41" s="1663"/>
      <c r="B41" s="3345" t="s">
        <v>1715</v>
      </c>
      <c r="C41" s="3345"/>
      <c r="D41" s="3345"/>
      <c r="E41" s="334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53"/>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2887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174977.07-9183.9</f>
        <v>165793.17000000001</v>
      </c>
      <c r="B3" s="22">
        <f>IF(C3="否",G5-AT5,G5)</f>
        <v>381104</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381104</v>
      </c>
      <c r="H5" s="27">
        <f t="shared" ref="H5:AT5" si="0">SUM(H13:H641)</f>
        <v>381104</v>
      </c>
      <c r="I5" s="27">
        <f t="shared" si="0"/>
        <v>338012</v>
      </c>
      <c r="J5" s="27">
        <f t="shared" si="0"/>
        <v>0</v>
      </c>
      <c r="K5" s="27">
        <f t="shared" si="0"/>
        <v>43092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334812</v>
      </c>
      <c r="BA5" s="29">
        <f t="shared" si="1"/>
        <v>334812</v>
      </c>
      <c r="BB5" s="29">
        <f t="shared" si="1"/>
        <v>334812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165793.17000000001</v>
      </c>
      <c r="F6" s="27" t="s">
        <v>1</v>
      </c>
      <c r="G6" s="27" t="s">
        <v>2</v>
      </c>
      <c r="H6" s="33">
        <f>SUMIF(I$12:AB$12,"总值",I6:AB6)</f>
        <v>165793.17000000001</v>
      </c>
      <c r="I6" s="27">
        <f t="shared" ref="I6:AB6" si="2">ROUND($A$3*I5/$B$3,2)</f>
        <v>147046.69</v>
      </c>
      <c r="J6" s="27">
        <f t="shared" si="2"/>
        <v>0</v>
      </c>
      <c r="K6" s="27">
        <f t="shared" si="2"/>
        <v>18746.48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145654.57999999999</v>
      </c>
      <c r="AZ6" s="27" t="s">
        <v>3</v>
      </c>
      <c r="BA6" s="27">
        <f>ROUND($AY$6*BA5/$AZ$5,2)</f>
        <v>145654.57999999999</v>
      </c>
      <c r="BB6" s="27">
        <f>ROUND($AY$6*BB5/$AZ$5,2)</f>
        <v>145654.57999999999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18" t="s">
        <v>3042</v>
      </c>
      <c r="J9" s="51"/>
      <c r="K9" s="3018" t="s">
        <v>3042</v>
      </c>
      <c r="L9" s="51"/>
      <c r="M9" s="3018"/>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18" t="s">
        <v>920</v>
      </c>
      <c r="J10" s="51"/>
      <c r="K10" s="3020" t="s">
        <v>2981</v>
      </c>
      <c r="L10" s="51"/>
      <c r="M10" s="3020"/>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t="str">
        <f>K9</f>
        <v>地上</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3043</v>
      </c>
      <c r="J11" s="71"/>
      <c r="K11" s="3019" t="s">
        <v>3188</v>
      </c>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t="s">
        <v>3031</v>
      </c>
      <c r="B13" s="3013"/>
      <c r="C13" s="3013"/>
      <c r="D13" s="3014" t="s">
        <v>1675</v>
      </c>
      <c r="E13" s="27">
        <f t="shared" ref="E13:E20" si="6">IF($C$3="是",ROUND($A$3*G13/$B$3,2),ROUND($A$3*(G13-AT13)/$B$3,2))</f>
        <v>42088.23</v>
      </c>
      <c r="F13" s="81"/>
      <c r="G13" s="82">
        <f t="shared" ref="G13:G20" si="7">H13+AC13+AT13</f>
        <v>96747</v>
      </c>
      <c r="H13" s="33">
        <f t="shared" ref="H13:H20" si="8">SUMIF(I$12:AB$12,"总值",I13:AB13)</f>
        <v>96747</v>
      </c>
      <c r="I13" s="3204">
        <v>96747</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t="str">
        <f t="shared" ref="AV13:AX20" si="10">A13</f>
        <v>FS04-0100-6076</v>
      </c>
      <c r="AW13" s="17">
        <f t="shared" si="10"/>
        <v>0</v>
      </c>
      <c r="AX13" s="17">
        <f t="shared" si="10"/>
        <v>0</v>
      </c>
      <c r="AY13" s="996">
        <f t="shared" ref="AY13:AY20" si="11">ROUND($AY$6*AZ13/$AZ$5,2)</f>
        <v>42088.23</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3" t="s">
        <v>3032</v>
      </c>
      <c r="B14" s="3013"/>
      <c r="C14" s="3015"/>
      <c r="D14" s="3014" t="s">
        <v>1675</v>
      </c>
      <c r="E14" s="27">
        <f t="shared" si="6"/>
        <v>36160.46</v>
      </c>
      <c r="F14" s="81"/>
      <c r="G14" s="82">
        <f t="shared" si="7"/>
        <v>83121</v>
      </c>
      <c r="H14" s="33">
        <f t="shared" si="8"/>
        <v>83121</v>
      </c>
      <c r="I14" s="3204">
        <v>83121</v>
      </c>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t="str">
        <f t="shared" si="10"/>
        <v>FS04-0100-6077</v>
      </c>
      <c r="AW14" s="17">
        <f t="shared" si="10"/>
        <v>0</v>
      </c>
      <c r="AX14" s="17">
        <f t="shared" si="10"/>
        <v>0</v>
      </c>
      <c r="AY14" s="996">
        <f t="shared" si="11"/>
        <v>36160.46</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3" t="s">
        <v>3033</v>
      </c>
      <c r="B15" s="3013"/>
      <c r="C15" s="3015"/>
      <c r="D15" s="3014" t="s">
        <v>1675</v>
      </c>
      <c r="E15" s="27">
        <f t="shared" si="6"/>
        <v>26486.61</v>
      </c>
      <c r="F15" s="81"/>
      <c r="G15" s="82">
        <f t="shared" si="7"/>
        <v>60884</v>
      </c>
      <c r="H15" s="33">
        <f t="shared" si="8"/>
        <v>60884</v>
      </c>
      <c r="I15" s="3204">
        <v>60884</v>
      </c>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t="str">
        <f t="shared" si="10"/>
        <v>FS04-0100-6078</v>
      </c>
      <c r="AW15" s="17">
        <f t="shared" si="10"/>
        <v>0</v>
      </c>
      <c r="AX15" s="17">
        <f t="shared" si="10"/>
        <v>0</v>
      </c>
      <c r="AY15" s="996">
        <f t="shared" si="11"/>
        <v>26486.61</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3" t="s">
        <v>3034</v>
      </c>
      <c r="B16" s="3013"/>
      <c r="C16" s="81"/>
      <c r="D16" s="3014" t="s">
        <v>3041</v>
      </c>
      <c r="E16" s="27">
        <f t="shared" si="6"/>
        <v>1392.11</v>
      </c>
      <c r="F16" s="81"/>
      <c r="G16" s="82">
        <f t="shared" si="7"/>
        <v>3200</v>
      </c>
      <c r="H16" s="33">
        <f t="shared" si="8"/>
        <v>3200</v>
      </c>
      <c r="I16" s="3204">
        <v>3200</v>
      </c>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3" t="s">
        <v>3189</v>
      </c>
      <c r="B17" s="3013"/>
      <c r="C17" s="81"/>
      <c r="D17" s="3014" t="s">
        <v>1675</v>
      </c>
      <c r="E17" s="27">
        <f t="shared" si="6"/>
        <v>0</v>
      </c>
      <c r="F17" s="81"/>
      <c r="G17" s="82">
        <f t="shared" si="7"/>
        <v>0</v>
      </c>
      <c r="H17" s="33">
        <f t="shared" si="8"/>
        <v>0</v>
      </c>
      <c r="I17" s="3204">
        <v>0</v>
      </c>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t="str">
        <f t="shared" si="10"/>
        <v>FS04-0100-6081住宅</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3" t="s">
        <v>3036</v>
      </c>
      <c r="B18" s="85"/>
      <c r="C18" s="88"/>
      <c r="D18" s="3016" t="s">
        <v>3041</v>
      </c>
      <c r="E18" s="87">
        <f t="shared" si="6"/>
        <v>0</v>
      </c>
      <c r="F18" s="88"/>
      <c r="G18" s="89">
        <f t="shared" si="7"/>
        <v>0</v>
      </c>
      <c r="H18" s="90">
        <f t="shared" si="8"/>
        <v>0</v>
      </c>
      <c r="I18" s="320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3" t="s">
        <v>3037</v>
      </c>
      <c r="B19" s="1399"/>
      <c r="C19" s="1395"/>
      <c r="D19" s="80" t="s">
        <v>1675</v>
      </c>
      <c r="E19" s="87">
        <f t="shared" si="6"/>
        <v>22362.05</v>
      </c>
      <c r="F19" s="88"/>
      <c r="G19" s="89">
        <f t="shared" si="7"/>
        <v>51403</v>
      </c>
      <c r="H19" s="90">
        <f t="shared" si="8"/>
        <v>51403</v>
      </c>
      <c r="I19" s="320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22362.05</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3" t="s">
        <v>3038</v>
      </c>
      <c r="B20" s="1399"/>
      <c r="C20" s="1395"/>
      <c r="D20" s="80" t="s">
        <v>1675</v>
      </c>
      <c r="E20" s="87">
        <f t="shared" si="6"/>
        <v>18557.240000000002</v>
      </c>
      <c r="F20" s="88"/>
      <c r="G20" s="89">
        <f t="shared" si="7"/>
        <v>42657</v>
      </c>
      <c r="H20" s="90">
        <f t="shared" si="8"/>
        <v>42657</v>
      </c>
      <c r="I20" s="320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18557.240000000002</v>
      </c>
      <c r="AZ20" s="87">
        <f t="shared" si="12"/>
        <v>42657</v>
      </c>
      <c r="BA20" s="87">
        <f t="shared" si="13"/>
        <v>42657</v>
      </c>
      <c r="BB20" s="87">
        <f t="shared" si="14"/>
        <v>42657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3" t="s">
        <v>3039</v>
      </c>
      <c r="B21" s="1394"/>
      <c r="C21" s="88"/>
      <c r="D21" s="80" t="s">
        <v>3041</v>
      </c>
      <c r="E21" s="87">
        <f t="shared" ref="E21:E112" si="33">IF($C$3="是",ROUND($A$3*G21/$B$3,2),ROUND($A$3*(G21-AT21)/$B$3,2))</f>
        <v>18746.48</v>
      </c>
      <c r="F21" s="88"/>
      <c r="G21" s="89">
        <f t="shared" ref="G21:G109" si="34">H21+AC21+AT21</f>
        <v>43092</v>
      </c>
      <c r="H21" s="90">
        <f t="shared" ref="H21:H109" si="35">SUMIF(I$12:AB$12,"总值",I21:AB21)</f>
        <v>43092</v>
      </c>
      <c r="I21" s="3207"/>
      <c r="J21" s="91"/>
      <c r="K21" s="1397">
        <v>43092</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3" t="s">
        <v>3190</v>
      </c>
      <c r="B22" s="1394"/>
      <c r="C22" s="1395"/>
      <c r="D22" s="80"/>
      <c r="E22" s="87">
        <f t="shared" si="33"/>
        <v>0</v>
      </c>
      <c r="F22" s="88"/>
      <c r="G22" s="89">
        <f t="shared" si="34"/>
        <v>0</v>
      </c>
      <c r="H22" s="90">
        <f t="shared" si="35"/>
        <v>0</v>
      </c>
      <c r="I22" s="1397"/>
      <c r="J22" s="91"/>
      <c r="K22" s="1397">
        <v>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t="str">
        <f t="shared" si="37"/>
        <v>FS04-0100-6081商业</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1" t="s">
        <v>0</v>
      </c>
      <c r="B1" s="3381" t="s">
        <v>4</v>
      </c>
      <c r="C1" s="3381" t="s">
        <v>5</v>
      </c>
      <c r="D1" s="3382" t="s">
        <v>40</v>
      </c>
      <c r="E1" s="3382" t="s">
        <v>41</v>
      </c>
      <c r="F1" s="3382"/>
      <c r="G1" s="3382"/>
      <c r="H1" s="3382"/>
      <c r="I1" s="3382"/>
      <c r="J1" s="3382"/>
      <c r="K1" s="3382"/>
      <c r="L1" s="3382"/>
      <c r="M1" s="3382"/>
    </row>
    <row r="2" spans="1:13" ht="27" customHeight="1">
      <c r="A2" s="3381"/>
      <c r="B2" s="3381"/>
      <c r="C2" s="3381"/>
      <c r="D2" s="3382"/>
      <c r="E2" s="3382" t="s">
        <v>24</v>
      </c>
      <c r="F2" s="3382" t="s">
        <v>25</v>
      </c>
      <c r="G2" s="3382"/>
      <c r="H2" s="3382"/>
      <c r="I2" s="3382"/>
      <c r="J2" s="3382" t="s">
        <v>26</v>
      </c>
      <c r="K2" s="3382"/>
      <c r="L2" s="3382"/>
      <c r="M2" s="3382"/>
    </row>
    <row r="3" spans="1:13" ht="28.5">
      <c r="A3" s="3381"/>
      <c r="B3" s="3381"/>
      <c r="C3" s="3381"/>
      <c r="D3" s="3382"/>
      <c r="E3" s="33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2" t="s">
        <v>42</v>
      </c>
      <c r="B9" s="3382"/>
      <c r="C9" s="33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7" sqref="J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92" t="s">
        <v>200</v>
      </c>
      <c r="B2" s="3392"/>
      <c r="C2" s="3392"/>
      <c r="D2" s="1976" t="s">
        <v>201</v>
      </c>
      <c r="E2" s="106" t="s">
        <v>202</v>
      </c>
      <c r="F2" s="1985"/>
      <c r="G2" s="1198"/>
      <c r="H2" s="1199"/>
      <c r="I2" s="1200" t="s">
        <v>854</v>
      </c>
      <c r="J2" s="1985"/>
      <c r="K2" s="1985"/>
      <c r="L2" s="1985"/>
    </row>
    <row r="3" spans="1:16" ht="15.75" thickBot="1">
      <c r="A3" s="3393" t="s">
        <v>203</v>
      </c>
      <c r="B3" s="3393"/>
      <c r="C3" s="3393"/>
      <c r="D3" s="107">
        <f>'数据-基础表'!AY6</f>
        <v>145654.57999999999</v>
      </c>
      <c r="E3" s="107">
        <f>'数据-基础表'!AZ5</f>
        <v>334812</v>
      </c>
      <c r="F3" s="1985"/>
      <c r="G3" s="280" t="s">
        <v>855</v>
      </c>
      <c r="H3" s="275" t="s">
        <v>856</v>
      </c>
      <c r="I3" s="1977">
        <f>ROUND('数据-基础表'!B3/'数据-基础表'!A3,2)</f>
        <v>2.2999999999999998</v>
      </c>
      <c r="J3" s="1985"/>
      <c r="K3" s="1985"/>
      <c r="L3" s="1985"/>
    </row>
    <row r="4" spans="1:16" ht="15">
      <c r="A4" s="3394"/>
      <c r="B4" s="3395"/>
      <c r="C4" s="3396"/>
      <c r="D4" s="108" t="s">
        <v>201</v>
      </c>
      <c r="E4" s="109" t="s">
        <v>202</v>
      </c>
      <c r="F4" s="1985"/>
      <c r="G4" s="1201"/>
      <c r="H4" s="275" t="s">
        <v>857</v>
      </c>
      <c r="I4" s="1977">
        <f>ROUND(SUMIF('数据-基础表'!I9:AS9,"地上",'数据-基础表'!I5:AS5)/'数据-基础表'!A3,2)</f>
        <v>2.2999999999999998</v>
      </c>
      <c r="J4" s="1985"/>
      <c r="K4" s="1985"/>
      <c r="L4" s="1985"/>
    </row>
    <row r="5" spans="1:16">
      <c r="A5" s="110" t="s">
        <v>204</v>
      </c>
      <c r="B5" s="3397" t="s">
        <v>227</v>
      </c>
      <c r="C5" s="3397"/>
      <c r="D5" s="111">
        <f>ROUND($D$3*E5/$E$3,2)</f>
        <v>145654.57999999999</v>
      </c>
      <c r="E5" s="112">
        <f>SUMIF('数据-基础表'!$11:$11,"住宅",'数据-基础表'!$5:$5)</f>
        <v>334812</v>
      </c>
      <c r="F5" s="1985"/>
      <c r="G5" s="280" t="s">
        <v>858</v>
      </c>
      <c r="H5" s="275" t="s">
        <v>856</v>
      </c>
      <c r="I5" s="1977">
        <f>ROUND(E31/D31,2)</f>
        <v>2.2999999999999998</v>
      </c>
      <c r="J5" s="1985"/>
      <c r="K5" s="1985"/>
      <c r="L5" s="1985"/>
    </row>
    <row r="6" spans="1:16" ht="15" thickBot="1">
      <c r="A6" s="113"/>
      <c r="B6" s="3397" t="s">
        <v>205</v>
      </c>
      <c r="C6" s="3397"/>
      <c r="D6" s="111">
        <f>ROUND($D$3*E6/$E$3,2)</f>
        <v>0</v>
      </c>
      <c r="E6" s="112">
        <f>E3-E5</f>
        <v>0</v>
      </c>
      <c r="F6" s="1985"/>
      <c r="G6" s="1201"/>
      <c r="H6" s="275" t="s">
        <v>857</v>
      </c>
      <c r="I6" s="1977">
        <f>ROUND(F31/D31,2)</f>
        <v>2.2999999999999998</v>
      </c>
      <c r="J6" s="1985"/>
      <c r="K6" s="1985"/>
      <c r="L6" s="1985"/>
    </row>
    <row r="7" spans="1:16" ht="15">
      <c r="A7" s="3389"/>
      <c r="B7" s="3390"/>
      <c r="C7" s="3391"/>
      <c r="D7" s="108" t="s">
        <v>201</v>
      </c>
      <c r="E7" s="114" t="s">
        <v>228</v>
      </c>
      <c r="F7" s="1985"/>
      <c r="G7" s="1156" t="s">
        <v>1642</v>
      </c>
      <c r="H7" s="1157"/>
      <c r="I7" s="1847">
        <v>2.2799999999999998</v>
      </c>
      <c r="J7" s="1985"/>
      <c r="K7" s="1985"/>
      <c r="L7" s="1985"/>
    </row>
    <row r="8" spans="1:16">
      <c r="A8" s="110" t="s">
        <v>206</v>
      </c>
      <c r="B8" s="115" t="s">
        <v>207</v>
      </c>
      <c r="C8" s="111" t="s">
        <v>208</v>
      </c>
      <c r="D8" s="111">
        <f t="shared" ref="D8:D15" si="0">ROUND($D$3*E8/$E$3,2)</f>
        <v>145654.57999999999</v>
      </c>
      <c r="E8" s="116">
        <f>SUMIF('数据-基础表'!BB10:BK10,"地上",'数据-基础表'!BB5:BK5)</f>
        <v>334812</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145654.57999999999</v>
      </c>
      <c r="E16" s="120">
        <f>SUM(E8:E15)</f>
        <v>334812</v>
      </c>
      <c r="F16" s="1985"/>
      <c r="G16" s="1987"/>
      <c r="H16" s="968" t="s">
        <v>216</v>
      </c>
      <c r="I16" s="969"/>
      <c r="J16" s="1985"/>
      <c r="K16" s="3383" t="s">
        <v>2562</v>
      </c>
      <c r="L16" s="3384"/>
      <c r="M16" s="3384"/>
      <c r="N16" s="3384"/>
      <c r="O16" s="3384"/>
      <c r="P16" s="3385"/>
    </row>
    <row r="17" spans="1:19" ht="15">
      <c r="A17" s="121" t="s">
        <v>213</v>
      </c>
      <c r="B17" s="122" t="s">
        <v>214</v>
      </c>
      <c r="C17" s="2299" t="s">
        <v>2309</v>
      </c>
      <c r="D17" s="108" t="s">
        <v>201</v>
      </c>
      <c r="E17" s="124" t="s">
        <v>202</v>
      </c>
      <c r="F17" s="125"/>
      <c r="G17" s="1366"/>
      <c r="H17" s="970" t="s">
        <v>215</v>
      </c>
      <c r="I17" s="971" t="s">
        <v>2308</v>
      </c>
      <c r="J17" s="1985"/>
      <c r="K17" s="3386" t="s">
        <v>2563</v>
      </c>
      <c r="L17" s="3387"/>
      <c r="M17" s="3388"/>
      <c r="N17" s="3386" t="s">
        <v>2564</v>
      </c>
      <c r="O17" s="3387"/>
      <c r="P17" s="3388"/>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4" t="s">
        <v>2993</v>
      </c>
      <c r="D19" s="111">
        <f t="shared" ref="D19:D26" si="1">ROUND($D$3*E19/$E$3,2)</f>
        <v>145654.57999999999</v>
      </c>
      <c r="E19" s="134">
        <f t="shared" ref="E19:E26" si="2">SUM(F19:G19)</f>
        <v>334812</v>
      </c>
      <c r="F19" s="135">
        <f>E3</f>
        <v>334812</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145654.57999999999</v>
      </c>
      <c r="S19" s="2302">
        <f t="shared" si="5"/>
        <v>334812</v>
      </c>
    </row>
    <row r="20" spans="1:19">
      <c r="A20" s="138"/>
      <c r="B20" s="115" t="s">
        <v>223</v>
      </c>
      <c r="C20" s="3024"/>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4"/>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145654.57999999999</v>
      </c>
      <c r="E27" s="143">
        <f>IF(SUM(E19:E26)='数据-基础表'!BA5,SUM(E19:E26),IF(F27="地上面积有误","面积有误","地下面积有误"))</f>
        <v>334812</v>
      </c>
      <c r="F27" s="134">
        <f>IF(SUM(F19:F26)=E8,SUM(F19:F26),"地上面积有误")</f>
        <v>334812</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145654.57999999999</v>
      </c>
      <c r="S27" s="275">
        <f>IF(SUM(S19:S26)=$E$3,SUM(S19:S26),SUM(S19:S26)&amp;"误差"&amp;ROUND(SUM(S19:S26)-E3,2))</f>
        <v>334812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145654.57999999999</v>
      </c>
      <c r="E31" s="1372">
        <f>E27+E30</f>
        <v>334812</v>
      </c>
      <c r="F31" s="1373">
        <f>F27+F30</f>
        <v>334812</v>
      </c>
      <c r="G31" s="1374">
        <f>G27+G30</f>
        <v>0</v>
      </c>
      <c r="H31" s="1985"/>
      <c r="I31" s="1985"/>
      <c r="J31" s="1985"/>
      <c r="K31" s="1985"/>
      <c r="L31" s="1985"/>
    </row>
    <row r="32" spans="1:19">
      <c r="A32" s="1985"/>
      <c r="B32" s="2364" t="s">
        <v>2317</v>
      </c>
      <c r="C32" s="2648"/>
      <c r="D32" s="1201"/>
      <c r="E32" s="1201">
        <f>SUMIF(C19:C26,"*住宅*",E19:E26)</f>
        <v>334812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43711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72643</v>
      </c>
      <c r="F6" s="174">
        <f>SUMIF(项目基本情况!D$15:I$15,C6,项目基本情况!D$19:I$19)</f>
        <v>70</v>
      </c>
      <c r="G6" s="175">
        <f>IF(ISERROR(ROUND(POWER(1+H6,D6-F6)*(POWER(1+H6,F6)-1)/(POWER(1+H6,D6)-1),3)),0,ROUND(POWER(1+H6,D6-F6)*(POWER(1+H6,F6)-1)/(POWER(1+H6,D6)-1),3))</f>
        <v>1</v>
      </c>
      <c r="H6" s="3025">
        <v>3.5000000000000003E-2</v>
      </c>
      <c r="I6" s="3025">
        <v>0.04</v>
      </c>
      <c r="J6" s="176">
        <v>0.05</v>
      </c>
      <c r="K6" s="179">
        <f>SUMIF('数据-汇总表'!C$19:C$33,'数据-取费表'!A6,'数据-汇总表'!E$19:E$33)</f>
        <v>334812</v>
      </c>
      <c r="L6" s="3026">
        <f>建安取值!C5</f>
        <v>5000</v>
      </c>
      <c r="M6" s="177">
        <f t="shared" ref="M6:M14" si="0">ROUND(K6*L6/10000,0)</f>
        <v>167406</v>
      </c>
      <c r="N6" s="3027">
        <v>0</v>
      </c>
      <c r="O6" s="177">
        <f>IF($N$5="成新度","——",ROUND(M6*N6,0))</f>
        <v>0</v>
      </c>
      <c r="P6" s="178">
        <f>IF($N$5="成新度","——",M6-O6)</f>
        <v>167406</v>
      </c>
      <c r="Q6" s="3028">
        <f>建安取值!C6</f>
        <v>0.35</v>
      </c>
      <c r="R6" s="179">
        <f>SUMIF('数据-汇总表'!C$19:C$33,A6,'数据-汇总表'!R$19:R$33)</f>
        <v>145654.57999999999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39">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2981</v>
      </c>
      <c r="D7" s="2309">
        <f>SUMIF(项目基本情况!D$15:I$15,C7,项目基本情况!D$18:I$18)</f>
        <v>40</v>
      </c>
      <c r="E7" s="2310" t="str">
        <f>IF(B7="","",SUMIF(项目基本情况!D$15:I$15,C7,项目基本情况!D$17:I$17))</f>
        <v/>
      </c>
      <c r="F7" s="174">
        <f>SUMIF(项目基本情况!D$15:I$15,C7,项目基本情况!D$19:I$19)</f>
        <v>39.229999999999997</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49.24</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334812</v>
      </c>
      <c r="L16" s="206">
        <f>ROUND(M16*10000/SUM(K6:K14),0)</f>
        <v>5000</v>
      </c>
      <c r="M16" s="206">
        <f>SUM(M6:M14)</f>
        <v>167406</v>
      </c>
      <c r="N16" s="207">
        <f>ROUND(SUMPRODUCT(M6:M14,N6:N14)/M16,3)</f>
        <v>0</v>
      </c>
      <c r="O16" s="206">
        <f>SUM(O6:O14)</f>
        <v>0</v>
      </c>
      <c r="P16" s="206">
        <f>SUM(P6:P14)</f>
        <v>167406</v>
      </c>
      <c r="Q16" s="208">
        <f>ROUND(SUMPRODUCT(Q6:Q13,K6:K13)/SUMPRODUCT((Q6:Q13&gt;0)*(K6:K13)),2)</f>
        <v>0.35</v>
      </c>
      <c r="R16" s="2312">
        <f>SUM(R6:R13)</f>
        <v>145654.57999999999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4"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5"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5"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6" t="s">
        <v>2899</v>
      </c>
      <c r="D53" s="3077"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2901</v>
      </c>
      <c r="B54" s="186"/>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2902</v>
      </c>
      <c r="B55" s="186"/>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2903</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2904</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2905</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2906</v>
      </c>
      <c r="B59" s="186">
        <v>1.5</v>
      </c>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98" t="s">
        <v>1660</v>
      </c>
      <c r="B1" s="3399"/>
      <c r="C1" s="3399"/>
      <c r="D1" s="3399"/>
      <c r="E1" s="3399"/>
      <c r="F1" s="3399"/>
      <c r="G1" s="3399"/>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1" t="s">
        <v>2917</v>
      </c>
      <c r="D3" s="2010"/>
      <c r="E3" s="1229" t="s">
        <v>1663</v>
      </c>
      <c r="F3" s="1230" t="s">
        <v>1651</v>
      </c>
      <c r="G3" s="3085" t="s">
        <v>2916</v>
      </c>
      <c r="H3" s="2009"/>
      <c r="I3" s="2009"/>
      <c r="J3" s="2009"/>
      <c r="K3" s="2009"/>
      <c r="L3" s="2009"/>
      <c r="M3" s="2009"/>
      <c r="N3" s="2009"/>
      <c r="O3" s="2009"/>
      <c r="P3" s="2009"/>
      <c r="Q3" s="2009"/>
      <c r="R3" s="2009"/>
    </row>
    <row r="4" spans="1:18" ht="41.25">
      <c r="A4" s="1229"/>
      <c r="B4" s="1231" t="s">
        <v>1664</v>
      </c>
      <c r="C4" s="3082" t="s">
        <v>2918</v>
      </c>
      <c r="D4" s="2010"/>
      <c r="E4" s="1232"/>
      <c r="F4" s="1233" t="s">
        <v>1665</v>
      </c>
      <c r="G4" s="3083" t="s">
        <v>2913</v>
      </c>
      <c r="H4" s="2009"/>
      <c r="I4" s="2009"/>
      <c r="J4" s="2009"/>
      <c r="K4" s="2009"/>
      <c r="L4" s="2009"/>
      <c r="M4" s="2009"/>
      <c r="N4" s="2009"/>
      <c r="O4" s="2009"/>
      <c r="P4" s="2009"/>
      <c r="Q4" s="2009"/>
      <c r="R4" s="2009"/>
    </row>
    <row r="5" spans="1:18" ht="41.25">
      <c r="A5" s="1229"/>
      <c r="B5" s="1231" t="s">
        <v>1666</v>
      </c>
      <c r="C5" s="3082" t="s">
        <v>2919</v>
      </c>
      <c r="D5" s="2010"/>
      <c r="E5" s="1232"/>
      <c r="F5" s="1231" t="s">
        <v>2542</v>
      </c>
      <c r="G5" s="3083" t="s">
        <v>2914</v>
      </c>
      <c r="H5" s="2009"/>
      <c r="I5" s="2009"/>
      <c r="J5" s="2009"/>
      <c r="K5" s="2009"/>
      <c r="L5" s="2009"/>
      <c r="M5" s="2009"/>
      <c r="N5" s="2009"/>
      <c r="O5" s="2009"/>
      <c r="P5" s="2009"/>
      <c r="Q5" s="2009"/>
      <c r="R5" s="2009"/>
    </row>
    <row r="6" spans="1:18" ht="54">
      <c r="A6" s="1229"/>
      <c r="B6" s="1231" t="s">
        <v>1652</v>
      </c>
      <c r="C6" s="3083" t="s">
        <v>2913</v>
      </c>
      <c r="D6" s="2010"/>
      <c r="E6" s="1232"/>
      <c r="F6" s="1231" t="s">
        <v>2543</v>
      </c>
      <c r="G6" s="3083" t="s">
        <v>2911</v>
      </c>
      <c r="H6" s="2009"/>
      <c r="I6" s="2009"/>
      <c r="J6" s="2009"/>
      <c r="K6" s="2009"/>
      <c r="L6" s="2009"/>
      <c r="M6" s="2009"/>
      <c r="N6" s="2009"/>
      <c r="O6" s="2009"/>
      <c r="P6" s="2009"/>
      <c r="Q6" s="2009"/>
      <c r="R6" s="2009"/>
    </row>
    <row r="7" spans="1:18" ht="41.25" thickBot="1">
      <c r="A7" s="1229"/>
      <c r="B7" s="1231" t="s">
        <v>2542</v>
      </c>
      <c r="C7" s="3083" t="s">
        <v>2914</v>
      </c>
      <c r="D7" s="2011"/>
      <c r="E7" s="1234"/>
      <c r="F7" s="1235" t="s">
        <v>1667</v>
      </c>
      <c r="G7" s="3086" t="s">
        <v>2915</v>
      </c>
      <c r="H7" s="2009"/>
      <c r="I7" s="2009"/>
      <c r="J7" s="2009"/>
      <c r="K7" s="2009"/>
      <c r="L7" s="2009"/>
      <c r="M7" s="2009"/>
      <c r="N7" s="2009"/>
      <c r="O7" s="2009"/>
      <c r="P7" s="2009"/>
      <c r="Q7" s="2009"/>
      <c r="R7" s="2009"/>
    </row>
    <row r="8" spans="1:18" ht="27">
      <c r="A8" s="1229"/>
      <c r="B8" s="1231" t="s">
        <v>2543</v>
      </c>
      <c r="C8" s="3083" t="s">
        <v>2911</v>
      </c>
      <c r="D8" s="2011"/>
      <c r="E8" s="2011"/>
      <c r="F8" s="1554"/>
      <c r="G8" s="1554"/>
      <c r="H8" s="2009"/>
      <c r="I8" s="2009"/>
      <c r="J8" s="2009"/>
      <c r="K8" s="2009"/>
      <c r="L8" s="2009"/>
      <c r="M8" s="2009"/>
      <c r="N8" s="2009"/>
      <c r="O8" s="2009"/>
      <c r="P8" s="2009"/>
      <c r="Q8" s="2009"/>
      <c r="R8" s="2009"/>
    </row>
    <row r="9" spans="1:18" ht="40.5">
      <c r="A9" s="1229"/>
      <c r="B9" s="1231" t="s">
        <v>1653</v>
      </c>
      <c r="C9" s="3082"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4"/>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4"/>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7"/>
    </row>
    <row r="22" spans="1:7" ht="27">
      <c r="A22" s="2590"/>
      <c r="B22" s="1231" t="s">
        <v>2543</v>
      </c>
      <c r="C22" s="1005" t="str">
        <f>C8</f>
        <v>估价对象所在区域基础设施水平</v>
      </c>
      <c r="D22" s="2010"/>
      <c r="E22" s="2587"/>
      <c r="F22" s="1247" t="s">
        <v>1668</v>
      </c>
      <c r="G22" s="2794"/>
    </row>
    <row r="23" spans="1:7" ht="15" thickBot="1">
      <c r="A23" s="2590"/>
      <c r="B23" s="1247" t="s">
        <v>1658</v>
      </c>
      <c r="C23" s="3087"/>
      <c r="E23" s="2588"/>
      <c r="F23" s="1248" t="s">
        <v>1672</v>
      </c>
      <c r="G23" s="3088"/>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0" sqref="B10"/>
    </sheetView>
  </sheetViews>
  <sheetFormatPr defaultColWidth="14.625" defaultRowHeight="13.5"/>
  <cols>
    <col min="1" max="1" width="24.375" customWidth="1"/>
  </cols>
  <sheetData>
    <row r="1" spans="1:9" ht="16.5">
      <c r="A1" s="3045" t="s">
        <v>2839</v>
      </c>
      <c r="B1" s="3045">
        <f>SUM(B14:B23)</f>
        <v>334812</v>
      </c>
      <c r="C1" s="3046"/>
      <c r="D1" s="3046"/>
      <c r="E1" s="3046"/>
      <c r="F1" s="3046"/>
    </row>
    <row r="2" spans="1:9" ht="16.5">
      <c r="A2" s="3045" t="s">
        <v>2840</v>
      </c>
      <c r="B2" s="3045">
        <f>SUM(C14:C23)</f>
        <v>145654.57999999999</v>
      </c>
      <c r="C2" s="3046"/>
      <c r="D2" s="3046"/>
      <c r="E2" s="3046"/>
      <c r="F2" s="3046"/>
    </row>
    <row r="3" spans="1:9" ht="16.5">
      <c r="A3" s="3045" t="s">
        <v>2841</v>
      </c>
      <c r="B3" s="3047">
        <f>项目基本情况!D3</f>
        <v>43711</v>
      </c>
      <c r="C3" s="3046"/>
      <c r="D3" s="3046"/>
      <c r="E3" s="3046"/>
      <c r="F3" s="3046"/>
    </row>
    <row r="4" spans="1:9" ht="33">
      <c r="A4" s="3045" t="s">
        <v>2842</v>
      </c>
      <c r="B4" s="3045" t="s">
        <v>2843</v>
      </c>
      <c r="C4" s="3045" t="s">
        <v>2844</v>
      </c>
      <c r="D4" s="3045" t="s">
        <v>2845</v>
      </c>
      <c r="E4" s="3046"/>
      <c r="F4" s="3046"/>
    </row>
    <row r="5" spans="1:9" ht="16.5">
      <c r="A5" s="3045" t="s">
        <v>2846</v>
      </c>
      <c r="B5" s="3045">
        <f ca="1">SUM(D14:D23)</f>
        <v>419686</v>
      </c>
      <c r="C5" s="3045">
        <f ca="1">ROUND(B5*10000/$B$1,0)</f>
        <v>12535</v>
      </c>
      <c r="D5" s="3045">
        <f ca="1">ROUND(B5*10000/$B$2,0)</f>
        <v>28814</v>
      </c>
      <c r="E5" s="3046"/>
      <c r="F5" s="3046"/>
    </row>
    <row r="6" spans="1:9" ht="16.5">
      <c r="A6" s="3045" t="s">
        <v>2847</v>
      </c>
      <c r="B6" s="3045">
        <f>SUM(G14:G23)</f>
        <v>0</v>
      </c>
      <c r="C6" s="3045">
        <f t="shared" ref="C6:C8" si="0">ROUND(B6*10000/$B$1,0)</f>
        <v>0</v>
      </c>
      <c r="D6" s="3045">
        <f t="shared" ref="D6:D8" si="1">ROUND(B6*10000/$B$2,0)</f>
        <v>0</v>
      </c>
      <c r="E6" s="3046"/>
      <c r="F6" s="3046"/>
    </row>
    <row r="7" spans="1:9" ht="16.5">
      <c r="A7" s="3045" t="s">
        <v>2848</v>
      </c>
      <c r="B7" s="3045">
        <f>SUM(H14:H23)</f>
        <v>0</v>
      </c>
      <c r="C7" s="3045">
        <f t="shared" si="0"/>
        <v>0</v>
      </c>
      <c r="D7" s="3045">
        <f t="shared" si="1"/>
        <v>0</v>
      </c>
      <c r="E7" s="3046"/>
      <c r="F7" s="3046"/>
    </row>
    <row r="8" spans="1:9" ht="16.5">
      <c r="A8" s="3045" t="s">
        <v>2849</v>
      </c>
      <c r="B8" s="3045">
        <f>SUM(I14:I23)</f>
        <v>0</v>
      </c>
      <c r="C8" s="3045">
        <f t="shared" si="0"/>
        <v>0</v>
      </c>
      <c r="D8" s="3045">
        <f t="shared" si="1"/>
        <v>0</v>
      </c>
      <c r="E8" s="3046"/>
      <c r="F8" s="3046"/>
    </row>
    <row r="9" spans="1:9" ht="16.5">
      <c r="A9" s="3045" t="s">
        <v>2850</v>
      </c>
      <c r="B9" s="3048"/>
      <c r="C9" s="3046"/>
      <c r="D9" s="3046"/>
      <c r="E9" s="3046"/>
      <c r="F9" s="3046"/>
    </row>
    <row r="10" spans="1:9" ht="16.5">
      <c r="A10" s="3045" t="s">
        <v>2851</v>
      </c>
      <c r="B10" s="3048"/>
      <c r="C10" s="3046"/>
      <c r="D10" s="3046"/>
      <c r="E10" s="3046"/>
      <c r="F10" s="3046"/>
    </row>
    <row r="11" spans="1:9" ht="16.5">
      <c r="A11" s="3045" t="s">
        <v>2868</v>
      </c>
      <c r="B11" s="3048"/>
      <c r="C11" s="3046"/>
      <c r="D11" s="3046"/>
      <c r="E11" s="3046"/>
      <c r="F11" s="3046"/>
    </row>
    <row r="12" spans="1:9" ht="16.5">
      <c r="A12" s="3046"/>
      <c r="B12" s="3046"/>
      <c r="C12" s="3046"/>
      <c r="D12" s="3046"/>
      <c r="E12" s="3046"/>
      <c r="F12" s="3046"/>
    </row>
    <row r="13" spans="1:9" ht="33">
      <c r="A13" s="3051" t="s">
        <v>2867</v>
      </c>
      <c r="B13" s="3049" t="s">
        <v>2839</v>
      </c>
      <c r="C13" s="3049" t="s">
        <v>2840</v>
      </c>
      <c r="D13" s="3049" t="s">
        <v>2852</v>
      </c>
      <c r="E13" s="3045" t="s">
        <v>2866</v>
      </c>
      <c r="F13" s="3045" t="s">
        <v>2845</v>
      </c>
      <c r="G13" s="3049" t="s">
        <v>2853</v>
      </c>
      <c r="H13" s="3049" t="s">
        <v>2854</v>
      </c>
      <c r="I13" s="3049" t="s">
        <v>2855</v>
      </c>
    </row>
    <row r="14" spans="1:9" ht="16.5">
      <c r="A14" s="3052" t="s">
        <v>2865</v>
      </c>
      <c r="B14" s="3049">
        <f>结果表!L38</f>
        <v>334812</v>
      </c>
      <c r="C14" s="3049">
        <f>结果表!K38</f>
        <v>145654.57999999999</v>
      </c>
      <c r="D14" s="3049">
        <f ca="1">结果表!C42</f>
        <v>419686</v>
      </c>
      <c r="E14" s="3049">
        <f ca="1">ROUND(D14*10000/B14,0)</f>
        <v>12535</v>
      </c>
      <c r="F14" s="3049">
        <f ca="1">ROUND(D14*10000/C14,0)</f>
        <v>28814</v>
      </c>
      <c r="G14" s="3049" t="str">
        <f>结果表!C44</f>
        <v>——</v>
      </c>
      <c r="H14" s="3049" t="str">
        <f>结果表!C45</f>
        <v>——</v>
      </c>
      <c r="I14" s="3049" t="str">
        <f>结果表!C46</f>
        <v>——</v>
      </c>
    </row>
    <row r="15" spans="1:9" ht="16.5">
      <c r="A15" s="3052" t="s">
        <v>2856</v>
      </c>
      <c r="B15" s="3053"/>
      <c r="C15" s="3053"/>
      <c r="D15" s="3053"/>
      <c r="E15" s="3049" t="e">
        <f t="shared" ref="E15:E23" si="2">ROUND(D15*10000/B15,0)</f>
        <v>#DIV/0!</v>
      </c>
      <c r="F15" s="3049" t="e">
        <f t="shared" ref="F15:F23" si="3">ROUND(D15*10000/C15,0)</f>
        <v>#DIV/0!</v>
      </c>
      <c r="G15" s="3050"/>
      <c r="H15" s="3050"/>
      <c r="I15" s="3053"/>
    </row>
    <row r="16" spans="1:9" ht="16.5">
      <c r="A16" s="3052" t="s">
        <v>2857</v>
      </c>
      <c r="B16" s="3053"/>
      <c r="C16" s="3053"/>
      <c r="D16" s="3053"/>
      <c r="E16" s="3049" t="e">
        <f t="shared" si="2"/>
        <v>#DIV/0!</v>
      </c>
      <c r="F16" s="3049" t="e">
        <f t="shared" si="3"/>
        <v>#DIV/0!</v>
      </c>
      <c r="G16" s="3050"/>
      <c r="H16" s="3050"/>
      <c r="I16" s="3053"/>
    </row>
    <row r="17" spans="1:9" ht="16.5">
      <c r="A17" s="3052" t="s">
        <v>2858</v>
      </c>
      <c r="B17" s="3053"/>
      <c r="C17" s="3053"/>
      <c r="D17" s="3053"/>
      <c r="E17" s="3049" t="e">
        <f t="shared" si="2"/>
        <v>#DIV/0!</v>
      </c>
      <c r="F17" s="3049" t="e">
        <f t="shared" si="3"/>
        <v>#DIV/0!</v>
      </c>
      <c r="G17" s="3050"/>
      <c r="H17" s="3050"/>
      <c r="I17" s="3053"/>
    </row>
    <row r="18" spans="1:9" ht="16.5">
      <c r="A18" s="3052" t="s">
        <v>2859</v>
      </c>
      <c r="B18" s="3053"/>
      <c r="C18" s="3053"/>
      <c r="D18" s="3053"/>
      <c r="E18" s="3049" t="e">
        <f t="shared" si="2"/>
        <v>#DIV/0!</v>
      </c>
      <c r="F18" s="3049" t="e">
        <f t="shared" si="3"/>
        <v>#DIV/0!</v>
      </c>
      <c r="G18" s="3053"/>
      <c r="H18" s="3053"/>
      <c r="I18" s="3053"/>
    </row>
    <row r="19" spans="1:9" ht="16.5">
      <c r="A19" s="3052" t="s">
        <v>2860</v>
      </c>
      <c r="B19" s="3053"/>
      <c r="C19" s="3053"/>
      <c r="D19" s="3053"/>
      <c r="E19" s="3049" t="e">
        <f t="shared" si="2"/>
        <v>#DIV/0!</v>
      </c>
      <c r="F19" s="3049" t="e">
        <f t="shared" si="3"/>
        <v>#DIV/0!</v>
      </c>
      <c r="G19" s="3053"/>
      <c r="H19" s="3053"/>
      <c r="I19" s="3053"/>
    </row>
    <row r="20" spans="1:9" ht="16.5">
      <c r="A20" s="3052" t="s">
        <v>2861</v>
      </c>
      <c r="B20" s="3053"/>
      <c r="C20" s="3053"/>
      <c r="D20" s="3053"/>
      <c r="E20" s="3049" t="e">
        <f t="shared" si="2"/>
        <v>#DIV/0!</v>
      </c>
      <c r="F20" s="3049" t="e">
        <f t="shared" si="3"/>
        <v>#DIV/0!</v>
      </c>
      <c r="G20" s="3053"/>
      <c r="H20" s="3053"/>
      <c r="I20" s="3053"/>
    </row>
    <row r="21" spans="1:9" ht="16.5">
      <c r="A21" s="3052" t="s">
        <v>2862</v>
      </c>
      <c r="B21" s="3053"/>
      <c r="C21" s="3053"/>
      <c r="D21" s="3053"/>
      <c r="E21" s="3049" t="e">
        <f t="shared" si="2"/>
        <v>#DIV/0!</v>
      </c>
      <c r="F21" s="3049" t="e">
        <f t="shared" si="3"/>
        <v>#DIV/0!</v>
      </c>
      <c r="G21" s="3053"/>
      <c r="H21" s="3053"/>
      <c r="I21" s="3053"/>
    </row>
    <row r="22" spans="1:9" ht="16.5">
      <c r="A22" s="3052" t="s">
        <v>2863</v>
      </c>
      <c r="B22" s="3053"/>
      <c r="C22" s="3053"/>
      <c r="D22" s="3053"/>
      <c r="E22" s="3049" t="e">
        <f t="shared" si="2"/>
        <v>#DIV/0!</v>
      </c>
      <c r="F22" s="3049" t="e">
        <f t="shared" si="3"/>
        <v>#DIV/0!</v>
      </c>
      <c r="G22" s="3053"/>
      <c r="H22" s="3053"/>
      <c r="I22" s="3053"/>
    </row>
    <row r="23" spans="1:9" ht="16.5">
      <c r="A23" s="3052" t="s">
        <v>2864</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27"/>
  <sheetViews>
    <sheetView topLeftCell="A7" zoomScaleNormal="100" workbookViewId="0">
      <selection activeCell="E17" sqref="E17"/>
    </sheetView>
  </sheetViews>
  <sheetFormatPr defaultRowHeight="13.5"/>
  <cols>
    <col min="1" max="1" width="9" style="3261"/>
    <col min="2" max="2" width="16" style="3261" customWidth="1"/>
    <col min="3" max="8" width="9" style="3261"/>
    <col min="9" max="9" width="9.5" style="3261" bestFit="1" customWidth="1"/>
    <col min="10" max="10" width="15.75" style="3261" customWidth="1"/>
    <col min="11" max="11" width="13" style="3261" customWidth="1"/>
    <col min="12" max="12" width="14.5" style="3261" customWidth="1"/>
    <col min="13" max="13" width="13.375" style="3261" customWidth="1"/>
    <col min="14" max="16384" width="9" style="3261"/>
  </cols>
  <sheetData>
    <row r="1" spans="2:13">
      <c r="B1" s="3402" t="s">
        <v>3167</v>
      </c>
      <c r="C1" s="3403"/>
      <c r="D1" s="3403"/>
      <c r="E1" s="3403"/>
      <c r="F1" s="3403"/>
      <c r="G1" s="3403"/>
      <c r="H1" s="3403"/>
      <c r="I1" s="3403"/>
      <c r="J1" s="3403"/>
      <c r="K1" s="3403"/>
      <c r="L1" s="3403"/>
    </row>
    <row r="2" spans="2:13">
      <c r="B2" s="3404"/>
      <c r="C2" s="3404"/>
      <c r="D2" s="3404"/>
      <c r="E2" s="3404"/>
      <c r="F2" s="3404"/>
      <c r="G2" s="3404"/>
      <c r="H2" s="3404"/>
      <c r="I2" s="3404"/>
      <c r="J2" s="3404"/>
      <c r="K2" s="3404"/>
      <c r="L2" s="3404"/>
    </row>
    <row r="3" spans="2:13" ht="69" customHeight="1">
      <c r="B3" s="3262"/>
      <c r="C3" s="3263" t="s">
        <v>3122</v>
      </c>
      <c r="D3" s="3263" t="s">
        <v>3123</v>
      </c>
      <c r="E3" s="3263" t="s">
        <v>3124</v>
      </c>
      <c r="F3" s="3263" t="s">
        <v>3125</v>
      </c>
      <c r="G3" s="3263" t="s">
        <v>3126</v>
      </c>
      <c r="H3" s="3263" t="s">
        <v>3127</v>
      </c>
      <c r="I3" s="3263" t="s">
        <v>3128</v>
      </c>
      <c r="J3" s="3263" t="s">
        <v>3129</v>
      </c>
      <c r="K3" s="3264" t="s">
        <v>3130</v>
      </c>
      <c r="L3" s="3265" t="s">
        <v>3131</v>
      </c>
    </row>
    <row r="4" spans="2:13">
      <c r="B4" s="3263" t="s">
        <v>3132</v>
      </c>
      <c r="C4" s="3262">
        <f>基准地价住宅!C6</f>
        <v>3870</v>
      </c>
      <c r="D4" s="3262">
        <f>基准地价住宅!C12</f>
        <v>1</v>
      </c>
      <c r="E4" s="3262">
        <f>基准地价住宅!C16</f>
        <v>40</v>
      </c>
      <c r="F4" s="3262">
        <f>基准地价住宅!C18</f>
        <v>1</v>
      </c>
      <c r="G4" s="3262">
        <f>基准地价住宅!C19</f>
        <v>1.6563000000000001</v>
      </c>
      <c r="H4" s="3262">
        <f ca="1">基准地价住宅!C20</f>
        <v>1</v>
      </c>
      <c r="I4" s="3262">
        <f>基准地价住宅!C21</f>
        <v>0.88849999999999996</v>
      </c>
      <c r="J4" s="3262">
        <f>基准地价住宅!C24</f>
        <v>0.95650000000000002</v>
      </c>
      <c r="K4" s="3266">
        <f ca="1">基准地价住宅!B3</f>
        <v>5504</v>
      </c>
      <c r="L4" s="3267">
        <f ca="1">ROUND(K4*0.25,0)</f>
        <v>1376</v>
      </c>
    </row>
    <row r="5" spans="2:13">
      <c r="B5" s="3263" t="s">
        <v>3133</v>
      </c>
      <c r="C5" s="3262">
        <f>'[3]基准地价--商业'!$C$6</f>
        <v>3780</v>
      </c>
      <c r="D5" s="3262">
        <f>'[3]基准地价--商业'!$C$7</f>
        <v>1</v>
      </c>
      <c r="E5" s="3262">
        <f>'[3]基准地价--商业'!$C$16</f>
        <v>30</v>
      </c>
      <c r="F5" s="3262">
        <f>'[3]基准地价--商业'!$C$18</f>
        <v>1</v>
      </c>
      <c r="G5" s="3262">
        <f>'[3]基准地价--商业'!$C$19</f>
        <v>1.3875999999999999</v>
      </c>
      <c r="H5" s="3262">
        <f>'[3]基准地价--商业'!$C$20</f>
        <v>0.99429999999999996</v>
      </c>
      <c r="I5" s="3262">
        <f>'[3]基准地价--商业'!$C$21</f>
        <v>0.9284</v>
      </c>
      <c r="J5" s="3262">
        <f>'[3]基准地价--商业'!$C$24</f>
        <v>0.93799999999999994</v>
      </c>
      <c r="K5" s="3304">
        <f>'[3]基准地价--商业'!$B$3</f>
        <v>4578</v>
      </c>
      <c r="L5" s="3267">
        <f t="shared" ref="L5:L6" si="0">ROUND(K5*0.25,0)</f>
        <v>1145</v>
      </c>
    </row>
    <row r="6" spans="2:13">
      <c r="B6" s="3263" t="s">
        <v>3134</v>
      </c>
      <c r="C6" s="3262">
        <f>'[4]基准地价--办公'!$C$6</f>
        <v>3750</v>
      </c>
      <c r="D6" s="3262">
        <f>'[4]基准地价--办公'!$C$7</f>
        <v>1</v>
      </c>
      <c r="E6" s="3262">
        <f>'[4]基准地价--办公'!$C$16</f>
        <v>30</v>
      </c>
      <c r="F6" s="3262">
        <f>'[4]基准地价--办公'!$C$18</f>
        <v>1</v>
      </c>
      <c r="G6" s="3262">
        <f>'[4]基准地价--办公'!$C$19</f>
        <v>1.3875999999999999</v>
      </c>
      <c r="H6" s="3262">
        <f>'[4]基准地价--办公'!$C$20</f>
        <v>0.99660000000000004</v>
      </c>
      <c r="I6" s="3262">
        <f>'[4]基准地价--办公'!$C$21</f>
        <v>0.95299999999999996</v>
      </c>
      <c r="J6" s="3262">
        <f>'[4]基准地价--办公'!$C$24</f>
        <v>0.94520000000000004</v>
      </c>
      <c r="K6" s="3309">
        <f>'[4]基准地价--办公'!$B$3</f>
        <v>4709</v>
      </c>
      <c r="L6" s="3267">
        <f t="shared" si="0"/>
        <v>1177</v>
      </c>
    </row>
    <row r="7" spans="2:13">
      <c r="B7" s="3400" t="s">
        <v>3166</v>
      </c>
      <c r="C7" s="3401"/>
      <c r="D7" s="3401"/>
      <c r="E7" s="3401"/>
      <c r="F7" s="3401"/>
      <c r="G7" s="3401"/>
      <c r="H7" s="3401"/>
      <c r="I7" s="3401"/>
      <c r="J7" s="3401"/>
      <c r="K7" s="3400" t="s">
        <v>3135</v>
      </c>
      <c r="L7" s="3401"/>
    </row>
    <row r="8" spans="2:13" ht="54">
      <c r="B8" s="3263" t="s">
        <v>3161</v>
      </c>
      <c r="C8" s="3263" t="s">
        <v>3164</v>
      </c>
      <c r="D8" s="3263" t="s">
        <v>3136</v>
      </c>
      <c r="E8" s="3263" t="s">
        <v>3163</v>
      </c>
      <c r="F8" s="3263" t="s">
        <v>3162</v>
      </c>
      <c r="G8" s="3263" t="s">
        <v>3140</v>
      </c>
      <c r="H8" s="3263" t="s">
        <v>3137</v>
      </c>
      <c r="I8" s="3263" t="s">
        <v>3138</v>
      </c>
      <c r="J8" s="3263" t="s">
        <v>3139</v>
      </c>
      <c r="K8" s="3264" t="s">
        <v>3130</v>
      </c>
      <c r="L8" s="3265" t="s">
        <v>3131</v>
      </c>
    </row>
    <row r="9" spans="2:13" ht="22.5" customHeight="1">
      <c r="B9" s="3263" t="s">
        <v>3168</v>
      </c>
      <c r="C9" s="3262">
        <f>[5]剩余法住宅!$C$8</f>
        <v>35344</v>
      </c>
      <c r="D9" s="3262">
        <f>I15</f>
        <v>334812</v>
      </c>
      <c r="E9" s="3262"/>
      <c r="F9" s="3262"/>
      <c r="G9" s="3262"/>
      <c r="H9" s="3262"/>
      <c r="I9" s="3262"/>
      <c r="J9" s="3262">
        <f>C9</f>
        <v>35344</v>
      </c>
      <c r="K9" s="3266">
        <f ca="1">结果表汇总!J5</f>
        <v>15548</v>
      </c>
      <c r="L9" s="3265">
        <f t="shared" ref="L9:L13" ca="1" si="1">ROUND(K9*0.25,0)</f>
        <v>3887</v>
      </c>
    </row>
    <row r="10" spans="2:13" ht="24" customHeight="1">
      <c r="B10" s="3263" t="s">
        <v>3141</v>
      </c>
      <c r="C10" s="3262">
        <f>'[3]比较法售价-商业'!$B$3</f>
        <v>22784</v>
      </c>
      <c r="D10" s="3262"/>
      <c r="E10" s="3262"/>
      <c r="F10" s="3262"/>
      <c r="G10" s="3262"/>
      <c r="H10" s="3262"/>
      <c r="I10" s="3262"/>
      <c r="J10" s="3270">
        <f>C10</f>
        <v>22784</v>
      </c>
      <c r="K10" s="3266">
        <f>结果表汇总!J6</f>
        <v>6659</v>
      </c>
      <c r="L10" s="3265">
        <f t="shared" si="1"/>
        <v>1665</v>
      </c>
    </row>
    <row r="11" spans="2:13" ht="25.5" customHeight="1">
      <c r="B11" s="3263" t="s">
        <v>3142</v>
      </c>
      <c r="C11" s="3262"/>
      <c r="D11" s="3262"/>
      <c r="E11" s="3262"/>
      <c r="F11" s="3262"/>
      <c r="G11" s="3262"/>
      <c r="H11" s="3262"/>
      <c r="I11" s="3262"/>
      <c r="J11" s="3270" t="s">
        <v>3169</v>
      </c>
      <c r="K11" s="3266">
        <f>结果表汇总!M6</f>
        <v>4129</v>
      </c>
      <c r="L11" s="3265">
        <f t="shared" si="1"/>
        <v>1032</v>
      </c>
    </row>
    <row r="12" spans="2:13" ht="25.5" customHeight="1">
      <c r="B12" s="3262" t="s">
        <v>3143</v>
      </c>
      <c r="C12" s="3262">
        <f>'[4]比较法售价-办公'!$B$3</f>
        <v>16119</v>
      </c>
      <c r="D12" s="3262"/>
      <c r="E12" s="3262"/>
      <c r="F12" s="3262"/>
      <c r="G12" s="3262"/>
      <c r="H12" s="3262"/>
      <c r="I12" s="3262"/>
      <c r="J12" s="3262">
        <f>C12</f>
        <v>16119</v>
      </c>
      <c r="K12" s="3266">
        <f>结果表汇总!J7</f>
        <v>5883</v>
      </c>
      <c r="L12" s="3265">
        <f t="shared" si="1"/>
        <v>1471</v>
      </c>
    </row>
    <row r="13" spans="2:13" ht="24" customHeight="1">
      <c r="B13" s="3263" t="s">
        <v>3144</v>
      </c>
      <c r="C13" s="3262"/>
      <c r="D13" s="3262"/>
      <c r="E13" s="3262"/>
      <c r="F13" s="3262"/>
      <c r="G13" s="3262"/>
      <c r="H13" s="3262"/>
      <c r="I13" s="3262"/>
      <c r="J13" s="3270" t="s">
        <v>3170</v>
      </c>
      <c r="K13" s="3266">
        <f>结果表汇总!M7</f>
        <v>4666</v>
      </c>
      <c r="L13" s="3265">
        <f t="shared" si="1"/>
        <v>1167</v>
      </c>
    </row>
    <row r="14" spans="2:13" ht="35.25" customHeight="1">
      <c r="B14" s="3268" t="s">
        <v>3145</v>
      </c>
      <c r="C14" s="3268" t="s">
        <v>3146</v>
      </c>
      <c r="D14" s="3268" t="s">
        <v>3147</v>
      </c>
      <c r="E14" s="3268" t="s">
        <v>3148</v>
      </c>
      <c r="F14" s="3268" t="s">
        <v>3147</v>
      </c>
      <c r="G14" s="3268" t="s">
        <v>3149</v>
      </c>
      <c r="H14" s="3268" t="s">
        <v>3147</v>
      </c>
      <c r="I14" s="3268" t="s">
        <v>3150</v>
      </c>
      <c r="J14" s="3268" t="s">
        <v>3151</v>
      </c>
      <c r="K14" s="3268" t="s">
        <v>3152</v>
      </c>
      <c r="L14" s="3268" t="s">
        <v>3153</v>
      </c>
      <c r="M14" s="3268" t="s">
        <v>3171</v>
      </c>
    </row>
    <row r="15" spans="2:13">
      <c r="B15" s="3263" t="s">
        <v>3154</v>
      </c>
      <c r="C15" s="3262">
        <f ca="1">结果表汇总!H5</f>
        <v>5504</v>
      </c>
      <c r="D15" s="3262">
        <f>结果表汇总!I5</f>
        <v>0.4</v>
      </c>
      <c r="E15" s="3262">
        <f ca="1">结果表汇总!J5</f>
        <v>15548</v>
      </c>
      <c r="F15" s="3262">
        <f>1-D15</f>
        <v>0.6</v>
      </c>
      <c r="G15" s="3263" t="s">
        <v>3165</v>
      </c>
      <c r="H15" s="3263" t="s">
        <v>3165</v>
      </c>
      <c r="I15" s="3262">
        <f>结果表汇总!D8</f>
        <v>334812</v>
      </c>
      <c r="J15" s="3262">
        <f ca="1">结果表汇总!E8</f>
        <v>386038.24</v>
      </c>
      <c r="K15" s="3266">
        <f ca="1">结果表汇总!C8</f>
        <v>11530</v>
      </c>
      <c r="L15" s="3267">
        <f ca="1">结果表汇总!C14</f>
        <v>2883</v>
      </c>
      <c r="M15" s="3265">
        <f t="shared" ref="M15:M16" ca="1" si="2">ROUND(I15*L15/10000,2)</f>
        <v>96526.3</v>
      </c>
    </row>
    <row r="16" spans="2:13">
      <c r="B16" s="3263" t="s">
        <v>3155</v>
      </c>
      <c r="C16" s="3262">
        <f>结果表汇总!H6</f>
        <v>4636</v>
      </c>
      <c r="D16" s="3262">
        <f>结果表汇总!I6</f>
        <v>0.3</v>
      </c>
      <c r="E16" s="3262">
        <f>结果表汇总!J6</f>
        <v>6659</v>
      </c>
      <c r="F16" s="3262">
        <f>结果表汇总!K6</f>
        <v>0.5</v>
      </c>
      <c r="G16" s="3262">
        <f>结果表汇总!M6</f>
        <v>4129</v>
      </c>
      <c r="H16" s="3262">
        <f>结果表汇总!N6</f>
        <v>0.19999999999999996</v>
      </c>
      <c r="I16" s="3262">
        <f>结果表汇总!D9</f>
        <v>43092</v>
      </c>
      <c r="J16" s="3262">
        <f>结果表汇总!E9</f>
        <v>23898.82</v>
      </c>
      <c r="K16" s="3266">
        <f>结果表汇总!C9</f>
        <v>5546</v>
      </c>
      <c r="L16" s="3267">
        <f>结果表汇总!C15</f>
        <v>1387</v>
      </c>
      <c r="M16" s="3265">
        <f t="shared" si="2"/>
        <v>5976.86</v>
      </c>
    </row>
    <row r="17" spans="2:13">
      <c r="B17" s="3263" t="s">
        <v>3156</v>
      </c>
      <c r="C17" s="3262">
        <f>结果表汇总!H7</f>
        <v>4746</v>
      </c>
      <c r="D17" s="3262">
        <f>结果表汇总!I7</f>
        <v>0.3</v>
      </c>
      <c r="E17" s="3262">
        <f>结果表汇总!J7</f>
        <v>5883</v>
      </c>
      <c r="F17" s="3262">
        <f>结果表汇总!K7</f>
        <v>0.5</v>
      </c>
      <c r="G17" s="3262">
        <f>结果表汇总!M7</f>
        <v>4666</v>
      </c>
      <c r="H17" s="3262">
        <f>结果表汇总!N7</f>
        <v>0.19999999999999996</v>
      </c>
      <c r="I17" s="3263" t="s">
        <v>3165</v>
      </c>
      <c r="J17" s="3263" t="s">
        <v>3165</v>
      </c>
      <c r="K17" s="3264" t="s">
        <v>3165</v>
      </c>
      <c r="L17" s="3265" t="s">
        <v>3165</v>
      </c>
      <c r="M17" s="3265" t="s">
        <v>3165</v>
      </c>
    </row>
    <row r="18" spans="2:13">
      <c r="B18" s="3263" t="s">
        <v>3157</v>
      </c>
      <c r="C18" s="3263" t="s">
        <v>3165</v>
      </c>
      <c r="D18" s="3263" t="s">
        <v>3165</v>
      </c>
      <c r="E18" s="3263" t="s">
        <v>3165</v>
      </c>
      <c r="F18" s="3263" t="s">
        <v>3165</v>
      </c>
      <c r="G18" s="3263" t="s">
        <v>3165</v>
      </c>
      <c r="H18" s="3263" t="s">
        <v>3165</v>
      </c>
      <c r="I18" s="3263" t="s">
        <v>3165</v>
      </c>
      <c r="J18" s="3262">
        <f ca="1">结果表汇总!E11</f>
        <v>409937.06</v>
      </c>
      <c r="K18" s="3264" t="s">
        <v>3165</v>
      </c>
      <c r="L18" s="3265" t="s">
        <v>3165</v>
      </c>
      <c r="M18" s="3265" t="s">
        <v>3165</v>
      </c>
    </row>
    <row r="19" spans="2:13">
      <c r="B19" s="3263" t="s">
        <v>3158</v>
      </c>
      <c r="C19" s="3262"/>
      <c r="D19" s="3262"/>
      <c r="E19" s="3262"/>
      <c r="F19" s="3262"/>
      <c r="G19" s="3262"/>
      <c r="H19" s="3262"/>
      <c r="I19" s="3262"/>
      <c r="J19" s="3262"/>
      <c r="K19" s="3266"/>
      <c r="L19" s="3267"/>
      <c r="M19" s="3265" t="e">
        <f ca="1">#REF!+M15+M16</f>
        <v>#REF!</v>
      </c>
    </row>
    <row r="20" spans="2:13">
      <c r="B20" s="3263" t="s">
        <v>3159</v>
      </c>
      <c r="C20" s="3262"/>
      <c r="D20" s="3262"/>
      <c r="E20" s="3262"/>
      <c r="F20" s="3262"/>
      <c r="G20" s="3262"/>
      <c r="H20" s="3262"/>
      <c r="I20" s="3262"/>
      <c r="J20" s="3262">
        <v>300594.19</v>
      </c>
      <c r="K20" s="3266"/>
      <c r="L20" s="3267"/>
      <c r="M20" s="3271"/>
    </row>
    <row r="21" spans="2:13">
      <c r="B21" s="3263" t="s">
        <v>3160</v>
      </c>
      <c r="C21" s="3262"/>
      <c r="D21" s="3262"/>
      <c r="E21" s="3262"/>
      <c r="F21" s="3262"/>
      <c r="G21" s="3262"/>
      <c r="H21" s="3262"/>
      <c r="I21" s="3262"/>
      <c r="J21" s="3262" t="e">
        <f ca="1">J20+M19</f>
        <v>#REF!</v>
      </c>
      <c r="K21" s="3266"/>
      <c r="L21" s="3267"/>
      <c r="M21" s="3271"/>
    </row>
    <row r="22" spans="2:13" s="3269" customFormat="1"/>
    <row r="23" spans="2:13" s="3269" customFormat="1"/>
    <row r="24" spans="2:13" s="3269" customFormat="1"/>
    <row r="25" spans="2:13" s="3269" customFormat="1"/>
    <row r="26" spans="2:13" s="3269" customFormat="1"/>
    <row r="27" spans="2:13" s="3269" customFormat="1"/>
  </sheetData>
  <mergeCells count="3">
    <mergeCell ref="B7:J7"/>
    <mergeCell ref="K7:L7"/>
    <mergeCell ref="B1:L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41" t="str">
        <f>项目基本情况!K2</f>
        <v>北京市房山区邢家坞村出让国有建设用地使用权</v>
      </c>
      <c r="B2" s="3442"/>
      <c r="C2" s="3443"/>
      <c r="D2" s="3443"/>
      <c r="E2" s="3443"/>
      <c r="F2" s="3443"/>
      <c r="G2" s="3442"/>
      <c r="H2" s="3442"/>
      <c r="I2" s="3444"/>
      <c r="J2" s="2031"/>
      <c r="K2" s="2030"/>
      <c r="L2" s="2030"/>
      <c r="M2" s="2030"/>
      <c r="N2" s="2030"/>
      <c r="O2" s="2030"/>
      <c r="P2" s="2030"/>
      <c r="Q2" s="2030"/>
      <c r="R2" s="2030"/>
      <c r="S2" s="2030"/>
      <c r="T2" s="2030"/>
      <c r="U2" s="2030"/>
      <c r="V2" s="2030"/>
    </row>
    <row r="3" spans="1:22" ht="14.25">
      <c r="A3" s="3434" t="s">
        <v>295</v>
      </c>
      <c r="B3" s="3435"/>
      <c r="C3" s="3435"/>
      <c r="D3" s="3435"/>
      <c r="E3" s="3435"/>
      <c r="F3" s="3435"/>
      <c r="G3" s="3435"/>
      <c r="H3" s="3435"/>
      <c r="I3" s="3435"/>
      <c r="J3" s="2031"/>
      <c r="K3" s="2030"/>
      <c r="L3" s="2030"/>
      <c r="M3" s="2030"/>
      <c r="N3" s="2030"/>
      <c r="O3" s="2030"/>
      <c r="P3" s="2030"/>
      <c r="Q3" s="2030"/>
      <c r="R3" s="2030"/>
      <c r="S3" s="2030"/>
      <c r="T3" s="2030"/>
      <c r="U3" s="2030"/>
      <c r="V3" s="2030"/>
    </row>
    <row r="4" spans="1:22" ht="14.25">
      <c r="A4" s="258" t="s">
        <v>296</v>
      </c>
      <c r="B4" s="259" t="s">
        <v>297</v>
      </c>
      <c r="C4" s="260" t="s">
        <v>3047</v>
      </c>
      <c r="D4" s="260" t="s">
        <v>3094</v>
      </c>
      <c r="E4" s="3406" t="s">
        <v>298</v>
      </c>
      <c r="F4" s="3407"/>
      <c r="G4" s="3407"/>
      <c r="H4" s="3407"/>
      <c r="I4" s="3436"/>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05" t="s">
        <v>299</v>
      </c>
      <c r="B5" s="3431">
        <v>25</v>
      </c>
      <c r="C5" s="3429">
        <v>0.3</v>
      </c>
      <c r="D5" s="3433">
        <f>1-C5</f>
        <v>0.7</v>
      </c>
      <c r="E5" s="261" t="s">
        <v>300</v>
      </c>
      <c r="F5" s="262"/>
      <c r="G5" s="262"/>
      <c r="H5" s="262"/>
      <c r="I5" s="263"/>
      <c r="J5" s="2031"/>
      <c r="K5" s="2030"/>
      <c r="L5" s="2030"/>
      <c r="M5" s="2030"/>
      <c r="N5" s="2030"/>
      <c r="O5" s="2030"/>
      <c r="P5" s="2030"/>
      <c r="Q5" s="2030"/>
      <c r="R5" s="2030"/>
      <c r="S5" s="2030"/>
      <c r="T5" s="2030"/>
      <c r="U5" s="2030"/>
      <c r="V5" s="2030"/>
    </row>
    <row r="6" spans="1:22" ht="14.25">
      <c r="A6" s="3405"/>
      <c r="B6" s="3431"/>
      <c r="C6" s="3432"/>
      <c r="D6" s="3433"/>
      <c r="E6" s="261" t="s">
        <v>301</v>
      </c>
      <c r="F6" s="262"/>
      <c r="G6" s="262"/>
      <c r="H6" s="262"/>
      <c r="I6" s="263"/>
      <c r="J6" s="2031"/>
      <c r="K6" s="2030"/>
      <c r="L6" s="2030"/>
      <c r="M6" s="2030"/>
      <c r="N6" s="2030"/>
      <c r="O6" s="2030"/>
      <c r="P6" s="2030"/>
      <c r="Q6" s="2030"/>
      <c r="R6" s="2030"/>
      <c r="S6" s="2030"/>
      <c r="T6" s="2030"/>
      <c r="U6" s="2030"/>
      <c r="V6" s="2030"/>
    </row>
    <row r="7" spans="1:22" ht="14.25">
      <c r="A7" s="3405"/>
      <c r="B7" s="3431"/>
      <c r="C7" s="3430"/>
      <c r="D7" s="3433"/>
      <c r="E7" s="261" t="s">
        <v>302</v>
      </c>
      <c r="F7" s="262"/>
      <c r="G7" s="262"/>
      <c r="H7" s="262"/>
      <c r="I7" s="263"/>
      <c r="J7" s="2031"/>
      <c r="K7" s="2030"/>
      <c r="L7" s="2030"/>
      <c r="M7" s="2030"/>
      <c r="N7" s="2030"/>
      <c r="O7" s="2030"/>
      <c r="P7" s="2030"/>
      <c r="Q7" s="2030"/>
      <c r="R7" s="2030"/>
      <c r="S7" s="2030"/>
      <c r="T7" s="2030"/>
      <c r="U7" s="2030"/>
      <c r="V7" s="2030"/>
    </row>
    <row r="8" spans="1:22" ht="14.25">
      <c r="A8" s="3405" t="s">
        <v>303</v>
      </c>
      <c r="B8" s="3431">
        <v>15</v>
      </c>
      <c r="C8" s="3429"/>
      <c r="D8" s="3433"/>
      <c r="E8" s="261" t="s">
        <v>304</v>
      </c>
      <c r="F8" s="262"/>
      <c r="G8" s="262"/>
      <c r="H8" s="262"/>
      <c r="I8" s="263"/>
      <c r="J8" s="2031"/>
      <c r="K8" s="2030"/>
      <c r="L8" s="2030"/>
      <c r="M8" s="2030"/>
      <c r="N8" s="2030"/>
      <c r="O8" s="2030"/>
      <c r="P8" s="2030"/>
      <c r="Q8" s="2030"/>
      <c r="R8" s="2030"/>
      <c r="S8" s="2030"/>
      <c r="T8" s="2030"/>
      <c r="U8" s="2030"/>
      <c r="V8" s="2030"/>
    </row>
    <row r="9" spans="1:22" ht="14.25">
      <c r="A9" s="3405"/>
      <c r="B9" s="3431"/>
      <c r="C9" s="3430"/>
      <c r="D9" s="3433"/>
      <c r="E9" s="261" t="s">
        <v>305</v>
      </c>
      <c r="F9" s="262"/>
      <c r="G9" s="262"/>
      <c r="H9" s="262"/>
      <c r="I9" s="263"/>
      <c r="J9" s="2031"/>
      <c r="K9" s="2030"/>
      <c r="L9" s="2030"/>
      <c r="M9" s="2030"/>
      <c r="N9" s="2030"/>
      <c r="O9" s="2030"/>
      <c r="P9" s="2030"/>
      <c r="Q9" s="2030"/>
      <c r="R9" s="2030"/>
      <c r="S9" s="2030"/>
      <c r="T9" s="2030"/>
      <c r="U9" s="2030"/>
      <c r="V9" s="2030"/>
    </row>
    <row r="10" spans="1:22" ht="14.25">
      <c r="A10" s="3405" t="s">
        <v>306</v>
      </c>
      <c r="B10" s="3431">
        <v>15</v>
      </c>
      <c r="C10" s="3429"/>
      <c r="D10" s="3433"/>
      <c r="E10" s="261" t="s">
        <v>307</v>
      </c>
      <c r="F10" s="262"/>
      <c r="G10" s="262"/>
      <c r="H10" s="262"/>
      <c r="I10" s="263"/>
      <c r="J10" s="2031"/>
      <c r="K10" s="2030"/>
      <c r="L10" s="2030"/>
      <c r="M10" s="2030"/>
      <c r="N10" s="2030"/>
      <c r="O10" s="2030"/>
      <c r="P10" s="2030"/>
      <c r="Q10" s="2030"/>
      <c r="R10" s="2030"/>
      <c r="S10" s="2030"/>
      <c r="T10" s="2030"/>
      <c r="U10" s="2030"/>
      <c r="V10" s="2030"/>
    </row>
    <row r="11" spans="1:22" ht="14.25">
      <c r="A11" s="3405"/>
      <c r="B11" s="3431"/>
      <c r="C11" s="3430"/>
      <c r="D11" s="3433"/>
      <c r="E11" s="261" t="s">
        <v>308</v>
      </c>
      <c r="F11" s="262"/>
      <c r="G11" s="262"/>
      <c r="H11" s="262"/>
      <c r="I11" s="263"/>
      <c r="J11" s="2031"/>
      <c r="K11" s="2030"/>
      <c r="L11" s="2030"/>
      <c r="M11" s="2030"/>
      <c r="N11" s="2030"/>
      <c r="O11" s="2030"/>
      <c r="P11" s="2030"/>
      <c r="Q11" s="2030"/>
      <c r="R11" s="2030"/>
      <c r="S11" s="2030"/>
      <c r="T11" s="2030"/>
      <c r="U11" s="2030"/>
      <c r="V11" s="2030"/>
    </row>
    <row r="12" spans="1:22" ht="14.25">
      <c r="A12" s="3405" t="s">
        <v>309</v>
      </c>
      <c r="B12" s="3431">
        <v>15</v>
      </c>
      <c r="C12" s="3429"/>
      <c r="D12" s="3433"/>
      <c r="E12" s="261" t="s">
        <v>310</v>
      </c>
      <c r="F12" s="262"/>
      <c r="G12" s="262"/>
      <c r="H12" s="262"/>
      <c r="I12" s="263"/>
      <c r="J12" s="2031"/>
      <c r="K12" s="2030"/>
      <c r="L12" s="2030"/>
      <c r="M12" s="2030"/>
      <c r="N12" s="2030"/>
      <c r="O12" s="2030"/>
      <c r="P12" s="2030"/>
      <c r="Q12" s="2030"/>
      <c r="R12" s="2030"/>
      <c r="S12" s="2030"/>
      <c r="T12" s="2030"/>
      <c r="U12" s="2030"/>
      <c r="V12" s="2030"/>
    </row>
    <row r="13" spans="1:22" ht="14.25">
      <c r="A13" s="3405"/>
      <c r="B13" s="3431"/>
      <c r="C13" s="3430"/>
      <c r="D13" s="3433"/>
      <c r="E13" s="261" t="s">
        <v>311</v>
      </c>
      <c r="F13" s="262"/>
      <c r="G13" s="262"/>
      <c r="H13" s="262"/>
      <c r="I13" s="263"/>
      <c r="J13" s="2031"/>
      <c r="K13" s="2030"/>
      <c r="L13" s="2030"/>
      <c r="M13" s="2030"/>
      <c r="N13" s="2030"/>
      <c r="O13" s="2030"/>
      <c r="P13" s="2030"/>
      <c r="Q13" s="2030"/>
      <c r="R13" s="2030"/>
      <c r="S13" s="2030"/>
      <c r="T13" s="2030"/>
      <c r="U13" s="2030"/>
      <c r="V13" s="2030"/>
    </row>
    <row r="14" spans="1:22" ht="14.25">
      <c r="A14" s="3405" t="s">
        <v>312</v>
      </c>
      <c r="B14" s="3431">
        <v>30</v>
      </c>
      <c r="C14" s="3429"/>
      <c r="D14" s="3433"/>
      <c r="E14" s="261" t="s">
        <v>313</v>
      </c>
      <c r="F14" s="262"/>
      <c r="G14" s="262"/>
      <c r="H14" s="262"/>
      <c r="I14" s="263"/>
      <c r="J14" s="2031"/>
      <c r="K14" s="2030"/>
      <c r="L14" s="2030"/>
      <c r="M14" s="2030"/>
      <c r="N14" s="2030"/>
      <c r="O14" s="2030"/>
      <c r="P14" s="2030"/>
      <c r="Q14" s="2030"/>
      <c r="R14" s="2030"/>
      <c r="S14" s="2030"/>
      <c r="T14" s="2030"/>
      <c r="U14" s="2030"/>
      <c r="V14" s="2030"/>
    </row>
    <row r="15" spans="1:22" ht="14.25">
      <c r="A15" s="3405"/>
      <c r="B15" s="3431"/>
      <c r="C15" s="3432"/>
      <c r="D15" s="3433"/>
      <c r="E15" s="261" t="s">
        <v>314</v>
      </c>
      <c r="F15" s="262"/>
      <c r="G15" s="262"/>
      <c r="H15" s="262"/>
      <c r="I15" s="263"/>
      <c r="J15" s="2031"/>
      <c r="K15" s="2030"/>
      <c r="L15" s="2030"/>
      <c r="M15" s="2030"/>
      <c r="N15" s="2030"/>
      <c r="O15" s="2030"/>
      <c r="P15" s="2030"/>
      <c r="Q15" s="2030"/>
      <c r="R15" s="2030"/>
      <c r="S15" s="2030"/>
      <c r="T15" s="2030"/>
      <c r="U15" s="2030"/>
      <c r="V15" s="2030"/>
    </row>
    <row r="16" spans="1:22" ht="14.25">
      <c r="A16" s="3405"/>
      <c r="B16" s="3431"/>
      <c r="C16" s="3430"/>
      <c r="D16" s="3433"/>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184281</v>
      </c>
      <c r="D19" s="271">
        <f ca="1">SUMIF(INDIRECT("'"&amp;D4&amp;"'"&amp;"!A:A"),结果表!B19,INDIRECT("'"&amp;D4&amp;"'"&amp;"!B:B"))</f>
        <v>520574</v>
      </c>
      <c r="E19" s="268" t="s">
        <v>320</v>
      </c>
      <c r="F19" s="269" t="s">
        <v>319</v>
      </c>
      <c r="G19" s="272">
        <f ca="1">ROUND(C19*$C$18+D19*$D$18,0)</f>
        <v>419686</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5504</v>
      </c>
      <c r="D20" s="277">
        <f ca="1">SUMIF(INDIRECT("'"&amp;D4&amp;"'"&amp;"!A:A"),结果表!B20,INDIRECT("'"&amp;D4&amp;"'"&amp;"!B:B"))</f>
        <v>15548</v>
      </c>
      <c r="E20" s="274"/>
      <c r="F20" s="275" t="s">
        <v>322</v>
      </c>
      <c r="G20" s="278">
        <f ca="1">ROUND(C20*$C$18+D20*$D$18,0)</f>
        <v>12535</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10292</v>
      </c>
      <c r="D21" s="151">
        <f ca="1">SUMIF(INDIRECT("'"&amp;D4&amp;"'"&amp;"!A:A"),结果表!B21,INDIRECT("'"&amp;D4&amp;"'"&amp;"!B:B"))</f>
        <v>35740</v>
      </c>
      <c r="E21" s="274"/>
      <c r="F21" s="280" t="s">
        <v>324</v>
      </c>
      <c r="G21" s="282">
        <f ca="1">ROUND(C21*$C$18+D21*$D$18,0)</f>
        <v>28106</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1.8248924197285668</v>
      </c>
      <c r="E22" s="284"/>
      <c r="F22" s="285"/>
      <c r="G22" s="286">
        <f ca="1">ROUND(G19/('数据-汇总表'!D3/666.67),0)</f>
        <v>1921</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411"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12"/>
      <c r="B25" s="1321" t="s">
        <v>328</v>
      </c>
      <c r="C25" s="290">
        <f>IF(B30=0,0,C30)</f>
        <v>0</v>
      </c>
      <c r="D25" s="291"/>
      <c r="E25" s="311"/>
      <c r="F25" s="311"/>
      <c r="G25" s="311"/>
      <c r="H25" s="311"/>
      <c r="I25" s="311"/>
      <c r="J25" s="2030"/>
      <c r="K25" s="1255" t="str">
        <f ca="1">项目基本情况!B16&amp;"国有建设用地使用权价格："&amp;O38&amp;"万元"</f>
        <v>出让国有建设用地使用权价格：419686万元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大写金额：人民币肆拾壹亿玖仟陆佰捌拾陆万元整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单位面积地价：28814元/平方米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楼面地价：12535元/平方米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2" t="s">
        <v>333</v>
      </c>
      <c r="B30" s="309"/>
      <c r="C30" s="309"/>
      <c r="D30" s="310"/>
      <c r="E30" s="312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419686</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12535</v>
      </c>
      <c r="D33" s="1386" t="s">
        <v>1685</v>
      </c>
      <c r="E33" s="3411"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28814</v>
      </c>
      <c r="D34" s="1388" t="s">
        <v>1685</v>
      </c>
      <c r="E34" s="3452"/>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1921</v>
      </c>
      <c r="D35" s="1391" t="s">
        <v>1687</v>
      </c>
      <c r="E35" s="3453"/>
      <c r="F35" s="301" t="s">
        <v>339</v>
      </c>
      <c r="G35" s="982"/>
      <c r="H35" s="981" t="s">
        <v>340</v>
      </c>
      <c r="I35" s="311"/>
      <c r="J35" s="2030"/>
      <c r="K35" s="3426" t="s">
        <v>347</v>
      </c>
      <c r="L35" s="3426" t="s">
        <v>348</v>
      </c>
      <c r="M35" s="1264" t="s">
        <v>349</v>
      </c>
      <c r="N35" s="3426" t="s">
        <v>350</v>
      </c>
      <c r="O35" s="3426" t="s">
        <v>351</v>
      </c>
      <c r="P35" s="2030"/>
      <c r="V35" s="2030"/>
    </row>
    <row r="36" spans="1:26" ht="16.5" customHeight="1">
      <c r="A36" s="303" t="s">
        <v>341</v>
      </c>
      <c r="B36" s="304" t="s">
        <v>330</v>
      </c>
      <c r="C36" s="305" t="s">
        <v>342</v>
      </c>
      <c r="D36" s="305" t="s">
        <v>343</v>
      </c>
      <c r="E36" s="306" t="s">
        <v>344</v>
      </c>
      <c r="F36" s="311"/>
      <c r="G36" s="311"/>
      <c r="H36" s="311"/>
      <c r="I36" s="311"/>
      <c r="J36" s="2032"/>
      <c r="K36" s="3427"/>
      <c r="L36" s="3427"/>
      <c r="M36" s="1266" t="s">
        <v>352</v>
      </c>
      <c r="N36" s="3427"/>
      <c r="O36" s="3427"/>
      <c r="P36" s="2030"/>
      <c r="V36" s="2030"/>
    </row>
    <row r="37" spans="1:26" ht="16.5" customHeight="1" thickBot="1">
      <c r="A37" s="1260" t="s">
        <v>345</v>
      </c>
      <c r="B37" s="307"/>
      <c r="C37" s="294"/>
      <c r="D37" s="294"/>
      <c r="E37" s="295"/>
      <c r="F37" s="311"/>
      <c r="G37" s="311"/>
      <c r="H37" s="311"/>
      <c r="I37" s="311"/>
      <c r="J37" s="2032"/>
      <c r="K37" s="3428"/>
      <c r="L37" s="3428"/>
      <c r="M37" s="1267"/>
      <c r="N37" s="3428"/>
      <c r="O37" s="3428"/>
      <c r="P37" s="2030"/>
      <c r="V37" s="2030"/>
    </row>
    <row r="38" spans="1:26" ht="16.5" customHeight="1" thickBot="1">
      <c r="A38" s="1260" t="s">
        <v>346</v>
      </c>
      <c r="B38" s="307"/>
      <c r="C38" s="294"/>
      <c r="D38" s="294"/>
      <c r="E38" s="295"/>
      <c r="F38" s="311"/>
      <c r="G38" s="311"/>
      <c r="H38" s="311"/>
      <c r="I38" s="311"/>
      <c r="J38" s="2032"/>
      <c r="K38" s="1268">
        <f>'数据-汇总表'!D3</f>
        <v>145654.57999999999</v>
      </c>
      <c r="L38" s="1269">
        <f>'数据-汇总表'!E3</f>
        <v>334812</v>
      </c>
      <c r="M38" s="1269">
        <f ca="1">C34</f>
        <v>28814</v>
      </c>
      <c r="N38" s="1269">
        <f ca="1">C33</f>
        <v>12535</v>
      </c>
      <c r="O38" s="1270">
        <f ca="1">C32</f>
        <v>419686</v>
      </c>
      <c r="P38" s="2030"/>
      <c r="V38" s="2030"/>
    </row>
    <row r="39" spans="1:26" ht="16.5" customHeight="1" thickBot="1">
      <c r="A39" s="1265"/>
      <c r="B39" s="308"/>
      <c r="C39" s="309"/>
      <c r="D39" s="309"/>
      <c r="E39" s="310"/>
      <c r="F39" s="311"/>
      <c r="G39" s="311"/>
      <c r="H39" s="311"/>
      <c r="I39" s="311"/>
      <c r="J39" s="2032"/>
      <c r="K39" s="3471" t="str">
        <f>MID(A44,3,LEN(A44)-2)</f>
        <v/>
      </c>
      <c r="L39" s="3472"/>
      <c r="M39" s="3472"/>
      <c r="N39" s="3473"/>
      <c r="O39" s="1393" t="str">
        <f>C44</f>
        <v>——</v>
      </c>
      <c r="P39" s="2030"/>
      <c r="V39" s="2030"/>
    </row>
    <row r="40" spans="1:26" ht="19.5" thickBot="1">
      <c r="A40" s="104" t="s">
        <v>870</v>
      </c>
      <c r="B40" s="311"/>
      <c r="C40" s="311"/>
      <c r="D40" s="311"/>
      <c r="E40" s="311"/>
      <c r="F40" s="311"/>
      <c r="G40" s="311"/>
      <c r="H40" s="311"/>
      <c r="I40" s="311"/>
      <c r="J40" s="2032"/>
      <c r="K40" s="3471" t="str">
        <f t="shared" ref="K40:K41" si="0">MID(A45,3,LEN(A45)-2)</f>
        <v/>
      </c>
      <c r="L40" s="3472"/>
      <c r="M40" s="3472"/>
      <c r="N40" s="3473"/>
      <c r="O40" s="1393" t="str">
        <f>C45</f>
        <v>——</v>
      </c>
      <c r="P40" s="2030"/>
      <c r="V40" s="2030"/>
    </row>
    <row r="41" spans="1:26" ht="16.5" thickBot="1">
      <c r="A41" s="312" t="s">
        <v>353</v>
      </c>
      <c r="B41" s="313"/>
      <c r="C41" s="314" t="s">
        <v>354</v>
      </c>
      <c r="D41" s="315" t="s">
        <v>355</v>
      </c>
      <c r="E41" s="315" t="s">
        <v>356</v>
      </c>
      <c r="F41" s="316" t="s">
        <v>357</v>
      </c>
      <c r="G41" s="311"/>
      <c r="H41" s="311"/>
      <c r="I41" s="311"/>
      <c r="J41" s="2032"/>
      <c r="K41" s="3471" t="str">
        <f t="shared" si="0"/>
        <v/>
      </c>
      <c r="L41" s="3472"/>
      <c r="M41" s="3472"/>
      <c r="N41" s="3473"/>
      <c r="O41" s="1393" t="str">
        <f>C46</f>
        <v>——</v>
      </c>
      <c r="P41" s="2030"/>
      <c r="V41" s="2030"/>
    </row>
    <row r="42" spans="1:26" ht="29.25">
      <c r="A42" s="3413" t="s">
        <v>2063</v>
      </c>
      <c r="B42" s="3414"/>
      <c r="C42" s="264">
        <f ca="1">C32</f>
        <v>419686</v>
      </c>
      <c r="D42" s="317">
        <f ca="1">C33</f>
        <v>12535</v>
      </c>
      <c r="E42" s="317">
        <f ca="1">C34</f>
        <v>28814</v>
      </c>
      <c r="F42" s="318">
        <f ca="1">C35</f>
        <v>1921</v>
      </c>
      <c r="G42" s="311"/>
      <c r="H42" s="311"/>
      <c r="I42" s="319"/>
      <c r="J42" s="2032"/>
      <c r="K42" s="1271" t="s">
        <v>358</v>
      </c>
      <c r="L42" s="2049" t="s">
        <v>359</v>
      </c>
      <c r="M42" s="1272" t="s">
        <v>360</v>
      </c>
      <c r="N42" s="2050" t="s">
        <v>361</v>
      </c>
      <c r="O42" s="2051" t="s">
        <v>362</v>
      </c>
      <c r="P42" s="2030"/>
      <c r="V42" s="2030"/>
    </row>
    <row r="43" spans="1:26" ht="30">
      <c r="A43" s="3424" t="s">
        <v>2726</v>
      </c>
      <c r="B43" s="3425"/>
      <c r="C43" s="264">
        <f>IF(H33="正常操作",G33+G34+G35,G34+G35)</f>
        <v>0</v>
      </c>
      <c r="D43" s="317" t="s">
        <v>43</v>
      </c>
      <c r="E43" s="317" t="s">
        <v>44</v>
      </c>
      <c r="F43" s="318" t="s">
        <v>44</v>
      </c>
      <c r="G43" s="2866" t="s">
        <v>949</v>
      </c>
      <c r="H43" s="311"/>
      <c r="I43" s="319"/>
      <c r="J43" s="2032"/>
      <c r="K43" s="1273" t="str">
        <f>C4</f>
        <v>基准地价住宅</v>
      </c>
      <c r="L43" s="1274">
        <f ca="1">IF(L42="估价结果/万元",C19,C20)</f>
        <v>184281</v>
      </c>
      <c r="M43" s="1275">
        <f>C18</f>
        <v>0.3</v>
      </c>
      <c r="N43" s="1276">
        <f ca="1">IF(N42="测算结果/万元",G19,G20)</f>
        <v>419686</v>
      </c>
      <c r="O43" s="1277">
        <f ca="1">IF(O42="最终结果/万元",C32,C33)</f>
        <v>419686</v>
      </c>
      <c r="P43" s="2030"/>
      <c r="V43" s="2030"/>
    </row>
    <row r="44" spans="1:26" ht="18.75" thickBot="1">
      <c r="A44" s="3413" t="str">
        <f>IF(OR(项目基本情况!E8="抵押价格",项目基本情况!E8="已注销及未注销"),"3.抵押价格","——")</f>
        <v>——</v>
      </c>
      <c r="B44" s="3414"/>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520574</v>
      </c>
      <c r="M44" s="1280">
        <f>D18</f>
        <v>0.7</v>
      </c>
      <c r="N44" s="1281"/>
      <c r="O44" s="1282"/>
      <c r="P44" s="2030"/>
      <c r="V44" s="2030"/>
    </row>
    <row r="45" spans="1:26" ht="15">
      <c r="A45" s="3419" t="str">
        <f>IF(项目基本情况!E8="已注销及未注销","4.抵押担保权已注销时的抵押价格",IF(项目基本情况!E8="已注销","3.抵押担保权已注销时的抵押价格","——"))</f>
        <v>——</v>
      </c>
      <c r="B45" s="342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15" t="str">
        <f>IF(项目基本情况!E9="抵押净值",IF(A45="——","4.抵押净值","5.抵押净值"),"——")</f>
        <v>——</v>
      </c>
      <c r="B46" s="3416"/>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60" t="s">
        <v>371</v>
      </c>
      <c r="B63" s="3461"/>
      <c r="C63" s="3462"/>
      <c r="D63" s="341">
        <f ca="1">ROUND(C42*F63,0)</f>
        <v>251812</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421" t="s">
        <v>375</v>
      </c>
      <c r="B64" s="3422"/>
      <c r="C64" s="3422"/>
      <c r="D64" s="3422"/>
      <c r="E64" s="3422"/>
      <c r="F64" s="3422"/>
      <c r="G64" s="3423"/>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417" t="s">
        <v>383</v>
      </c>
      <c r="B66" s="3418"/>
      <c r="C66" s="3418"/>
      <c r="D66" s="261">
        <f ca="1">IF(H66="情况1",0,IF(H66="情况2",D70,IF(H66="情况3",D71,IF(H66="情况4",D72))))</f>
        <v>13190</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475" t="s">
        <v>382</v>
      </c>
      <c r="M66" s="3476"/>
      <c r="N66" s="2460"/>
      <c r="O66" s="2461"/>
      <c r="P66" s="2462"/>
      <c r="Q66" s="2030"/>
      <c r="R66" s="2030"/>
      <c r="S66" s="2030"/>
      <c r="T66" s="2030"/>
      <c r="U66" s="2030"/>
      <c r="V66" s="2030"/>
    </row>
    <row r="67" spans="1:22" ht="25.5" customHeight="1">
      <c r="A67" s="352" t="s">
        <v>387</v>
      </c>
      <c r="B67" s="3408" t="s">
        <v>388</v>
      </c>
      <c r="C67" s="3408"/>
      <c r="D67" s="353">
        <v>0</v>
      </c>
      <c r="E67" s="41" t="s">
        <v>389</v>
      </c>
      <c r="F67" s="62" t="s">
        <v>21</v>
      </c>
      <c r="G67" s="3463"/>
      <c r="H67" s="311"/>
      <c r="I67" s="1292"/>
      <c r="J67" s="2037"/>
      <c r="K67" s="1978">
        <v>2</v>
      </c>
      <c r="L67" s="3474" t="s">
        <v>386</v>
      </c>
      <c r="M67" s="3474"/>
      <c r="N67" s="1325">
        <f>'数据-取费表'!B2</f>
        <v>43711</v>
      </c>
      <c r="O67" s="1325"/>
      <c r="P67" s="1325"/>
      <c r="Q67" s="2030"/>
      <c r="R67" s="2030"/>
      <c r="S67" s="2030"/>
      <c r="T67" s="2030"/>
      <c r="U67" s="2030"/>
      <c r="V67" s="2030"/>
    </row>
    <row r="68" spans="1:22" ht="25.5" customHeight="1">
      <c r="A68" s="354"/>
      <c r="B68" s="3408" t="s">
        <v>391</v>
      </c>
      <c r="C68" s="3408"/>
      <c r="D68" s="355"/>
      <c r="E68" s="77"/>
      <c r="F68" s="356"/>
      <c r="G68" s="3464"/>
      <c r="H68" s="311"/>
      <c r="I68" s="1292"/>
      <c r="J68" s="2037"/>
      <c r="K68" s="1978">
        <v>3</v>
      </c>
      <c r="L68" s="3474" t="s">
        <v>390</v>
      </c>
      <c r="M68" s="3474"/>
      <c r="N68" s="1293">
        <f ca="1">C42</f>
        <v>419686</v>
      </c>
      <c r="O68" s="1293"/>
      <c r="P68" s="1293"/>
      <c r="Q68" s="2030"/>
      <c r="R68" s="2030"/>
      <c r="S68" s="2030"/>
      <c r="T68" s="2030"/>
      <c r="U68" s="2030"/>
      <c r="V68" s="2030"/>
    </row>
    <row r="69" spans="1:22" ht="12" customHeight="1">
      <c r="A69" s="357"/>
      <c r="B69" s="3408" t="s">
        <v>392</v>
      </c>
      <c r="C69" s="3408"/>
      <c r="D69" s="358"/>
      <c r="E69" s="73"/>
      <c r="F69" s="356"/>
      <c r="G69" s="3465"/>
      <c r="H69" s="311"/>
      <c r="I69" s="1292"/>
      <c r="J69" s="2037"/>
      <c r="K69" s="1294">
        <v>4</v>
      </c>
      <c r="L69" s="3479" t="s">
        <v>2878</v>
      </c>
      <c r="M69" s="3480"/>
      <c r="N69" s="1295" t="str">
        <f>C44</f>
        <v>——</v>
      </c>
      <c r="O69" s="1295"/>
      <c r="P69" s="1295"/>
      <c r="Q69" s="2030"/>
      <c r="R69" s="2030"/>
      <c r="S69" s="2030"/>
      <c r="T69" s="2030"/>
      <c r="U69" s="2030"/>
      <c r="V69" s="2030"/>
    </row>
    <row r="70" spans="1:22" ht="24" customHeight="1">
      <c r="A70" s="359" t="s">
        <v>393</v>
      </c>
      <c r="B70" s="3408" t="s">
        <v>394</v>
      </c>
      <c r="C70" s="3408"/>
      <c r="D70" s="358">
        <f ca="1">ROUND(D63*'数据-取费表'!B41/(1+'数据-取费表'!C42),0)</f>
        <v>13190</v>
      </c>
      <c r="E70" s="17" t="s">
        <v>395</v>
      </c>
      <c r="F70" s="360">
        <f>'数据-取费表'!B41</f>
        <v>5.5000000000000007E-2</v>
      </c>
      <c r="G70" s="361"/>
      <c r="H70" s="311"/>
      <c r="I70" s="1292"/>
      <c r="J70" s="2037"/>
      <c r="K70" s="3062"/>
      <c r="L70" s="3063"/>
      <c r="M70" s="3063"/>
      <c r="N70" s="3064" t="s">
        <v>2883</v>
      </c>
      <c r="O70" s="3063"/>
      <c r="P70" s="3065"/>
      <c r="Q70" s="2030"/>
      <c r="R70" s="2030"/>
      <c r="S70" s="2030"/>
      <c r="T70" s="2030"/>
      <c r="U70" s="2030"/>
      <c r="V70" s="2030"/>
    </row>
    <row r="71" spans="1:22" ht="12" customHeight="1">
      <c r="A71" s="359" t="s">
        <v>401</v>
      </c>
      <c r="B71" s="3409" t="s">
        <v>402</v>
      </c>
      <c r="C71" s="3410"/>
      <c r="D71" s="358">
        <f ca="1">ROUND(D63*'数据-取费表'!B41/(1+'数据-取费表'!C42),0)</f>
        <v>13190</v>
      </c>
      <c r="E71" s="17" t="s">
        <v>395</v>
      </c>
      <c r="F71" s="360">
        <f>'数据-取费表'!B41</f>
        <v>5.5000000000000007E-2</v>
      </c>
      <c r="G71" s="361"/>
      <c r="H71" s="311"/>
      <c r="I71" s="1292"/>
      <c r="J71" s="2037"/>
      <c r="K71" s="3061" t="s">
        <v>396</v>
      </c>
      <c r="L71" s="3481" t="s">
        <v>397</v>
      </c>
      <c r="M71" s="3481"/>
      <c r="N71" s="3061" t="s">
        <v>398</v>
      </c>
      <c r="O71" s="3061" t="s">
        <v>399</v>
      </c>
      <c r="P71" s="3061" t="s">
        <v>400</v>
      </c>
      <c r="Q71" s="2030"/>
      <c r="R71" s="2030"/>
      <c r="S71" s="2030"/>
      <c r="T71" s="2030"/>
      <c r="U71" s="2030"/>
      <c r="V71" s="2030"/>
    </row>
    <row r="72" spans="1:22" ht="12" customHeight="1">
      <c r="A72" s="359" t="s">
        <v>404</v>
      </c>
      <c r="B72" s="3409" t="s">
        <v>405</v>
      </c>
      <c r="C72" s="3410"/>
      <c r="D72" s="358">
        <f ca="1">C86</f>
        <v>13080</v>
      </c>
      <c r="E72" s="73" t="s">
        <v>406</v>
      </c>
      <c r="F72" s="360">
        <f>'数据-取费表'!B41</f>
        <v>5.5000000000000007E-2</v>
      </c>
      <c r="G72" s="361"/>
      <c r="H72" s="1298"/>
      <c r="I72" s="1292"/>
      <c r="J72" s="2037"/>
      <c r="K72" s="1978">
        <v>1</v>
      </c>
      <c r="L72" s="3456" t="s">
        <v>403</v>
      </c>
      <c r="M72" s="3456"/>
      <c r="N72" s="1296">
        <f ca="1">D66</f>
        <v>13190</v>
      </c>
      <c r="O72" s="1861" t="str">
        <f>E66</f>
        <v>销售额×税（费）率</v>
      </c>
      <c r="P72" s="1297">
        <f>F66</f>
        <v>5.5000000000000007E-2</v>
      </c>
      <c r="Q72" s="2030"/>
      <c r="R72" s="2030"/>
      <c r="S72" s="2030"/>
      <c r="T72" s="2030"/>
      <c r="U72" s="2030"/>
      <c r="V72" s="2030"/>
    </row>
    <row r="73" spans="1:22" ht="24" customHeight="1">
      <c r="A73" s="3450" t="s">
        <v>408</v>
      </c>
      <c r="B73" s="3418"/>
      <c r="C73" s="3418"/>
      <c r="D73" s="362">
        <f>IF(H73="个人住宅",0,ROUND(D63*I73,0))</f>
        <v>0</v>
      </c>
      <c r="E73" s="17" t="s">
        <v>409</v>
      </c>
      <c r="F73" s="360" t="str">
        <f>IF(H73="正常",I73,"免征")</f>
        <v>免征</v>
      </c>
      <c r="G73" s="361"/>
      <c r="H73" s="191" t="s">
        <v>2451</v>
      </c>
      <c r="I73" s="360">
        <f>'数据-取费表'!B49</f>
        <v>5.0000000000000001E-4</v>
      </c>
      <c r="J73" s="2037"/>
      <c r="K73" s="1978">
        <v>2</v>
      </c>
      <c r="L73" s="3456" t="s">
        <v>407</v>
      </c>
      <c r="M73" s="3456"/>
      <c r="N73" s="1296">
        <f t="shared" ref="N73:P74" si="1">D73</f>
        <v>0</v>
      </c>
      <c r="O73" s="1861" t="str">
        <f t="shared" si="1"/>
        <v>销售额×税（费）率</v>
      </c>
      <c r="P73" s="1297" t="str">
        <f t="shared" si="1"/>
        <v>免征</v>
      </c>
      <c r="Q73" s="2030"/>
      <c r="R73" s="2030"/>
      <c r="S73" s="2030"/>
      <c r="T73" s="2030"/>
      <c r="U73" s="2030"/>
      <c r="V73" s="2030"/>
    </row>
    <row r="74" spans="1:22" ht="24.75">
      <c r="A74" s="3450" t="s">
        <v>412</v>
      </c>
      <c r="B74" s="3418"/>
      <c r="C74" s="3418"/>
      <c r="D74" s="362">
        <f ca="1">IF(H74="个人住宅",D75,D76)</f>
        <v>142098</v>
      </c>
      <c r="E74" s="17" t="s">
        <v>413</v>
      </c>
      <c r="F74" s="360" t="str">
        <f>IF(H74="正常",F76,"免征")</f>
        <v>——</v>
      </c>
      <c r="G74" s="983" t="s">
        <v>414</v>
      </c>
      <c r="H74" s="363" t="s">
        <v>410</v>
      </c>
      <c r="I74" s="42"/>
      <c r="J74" s="2037"/>
      <c r="K74" s="1978">
        <v>3</v>
      </c>
      <c r="L74" s="3456" t="s">
        <v>411</v>
      </c>
      <c r="M74" s="3456"/>
      <c r="N74" s="1296">
        <f t="shared" ca="1" si="1"/>
        <v>142098</v>
      </c>
      <c r="O74" s="1861" t="str">
        <f t="shared" si="1"/>
        <v>增值额×税（费）率</v>
      </c>
      <c r="P74" s="1299" t="str">
        <f t="shared" si="1"/>
        <v>——</v>
      </c>
      <c r="Q74" s="2030"/>
      <c r="R74" s="2030"/>
      <c r="S74" s="2030"/>
      <c r="T74" s="2030"/>
      <c r="U74" s="2030"/>
      <c r="V74" s="2030"/>
    </row>
    <row r="75" spans="1:22" ht="24">
      <c r="A75" s="359" t="s">
        <v>415</v>
      </c>
      <c r="B75" s="3406" t="s">
        <v>416</v>
      </c>
      <c r="C75" s="3436"/>
      <c r="D75" s="364">
        <v>0</v>
      </c>
      <c r="E75" s="41" t="s">
        <v>417</v>
      </c>
      <c r="F75" s="365"/>
      <c r="G75" s="361"/>
      <c r="H75" s="42"/>
      <c r="I75" s="42"/>
      <c r="J75" s="2037"/>
      <c r="K75" s="3054">
        <f>IF(H77="非个人房产","",4)</f>
        <v>4</v>
      </c>
      <c r="L75" s="3456" t="str">
        <f>IF(H77="非个人房产","——","个人所得税")</f>
        <v>个人所得税</v>
      </c>
      <c r="M75" s="3456"/>
      <c r="N75" s="1300">
        <f ca="1">D77</f>
        <v>2518</v>
      </c>
      <c r="O75" s="1874" t="str">
        <f>E77</f>
        <v>销售额×税（费）率</v>
      </c>
      <c r="P75" s="1301">
        <f>F77</f>
        <v>0.01</v>
      </c>
      <c r="Q75" s="2030"/>
      <c r="R75" s="2030"/>
      <c r="S75" s="2030"/>
      <c r="T75" s="2030"/>
      <c r="U75" s="2030"/>
      <c r="V75" s="2030"/>
    </row>
    <row r="76" spans="1:22" ht="24.75">
      <c r="A76" s="359" t="s">
        <v>393</v>
      </c>
      <c r="B76" s="3406" t="s">
        <v>419</v>
      </c>
      <c r="C76" s="3407"/>
      <c r="D76" s="362">
        <f ca="1">IF(H76="转让取得",C99,C115)</f>
        <v>142098</v>
      </c>
      <c r="E76" s="17" t="s">
        <v>420</v>
      </c>
      <c r="F76" s="53" t="s">
        <v>21</v>
      </c>
      <c r="G76" s="361"/>
      <c r="H76" s="363" t="s">
        <v>421</v>
      </c>
      <c r="I76" s="42"/>
      <c r="J76" s="2037"/>
      <c r="K76" s="3054" t="str">
        <f>IF(项目基本情况!K6="上海银行",IF(K75="",4,K75+1),"")</f>
        <v/>
      </c>
      <c r="L76" s="3467" t="str">
        <f>IF(项目基本情况!K6="上海银行","其他处置费用","")</f>
        <v/>
      </c>
      <c r="M76" s="3468"/>
      <c r="N76" s="1296" t="str">
        <f>IF(项目基本情况!K6="上海银行",N89,"")</f>
        <v/>
      </c>
      <c r="O76" s="3469" t="str">
        <f>IF(项目基本情况!K6="上海银行","包含处置中涉及的律师、诉讼、拍卖、评估等费用","")</f>
        <v/>
      </c>
      <c r="P76" s="3470"/>
      <c r="Q76" s="2030"/>
      <c r="R76" s="2030"/>
      <c r="S76" s="2030"/>
      <c r="T76" s="2030"/>
      <c r="U76" s="2030"/>
      <c r="V76" s="2030"/>
    </row>
    <row r="77" spans="1:22" ht="26.25" thickBot="1">
      <c r="A77" s="3458" t="s">
        <v>423</v>
      </c>
      <c r="B77" s="3459"/>
      <c r="C77" s="3459"/>
      <c r="D77" s="366">
        <f ca="1">IF(H77="非个人房产","——",IF(H77="个人住宅",0,ROUND(D63*I77,0)))</f>
        <v>2518</v>
      </c>
      <c r="E77" s="367" t="str">
        <f>IF(H77="非个人房产","——","销售额×税（费）率")</f>
        <v>销售额×税（费）率</v>
      </c>
      <c r="F77" s="368">
        <f>IF(H77="非个人房产","——",IF(H77="个人住宅","免征",I77))</f>
        <v>0.01</v>
      </c>
      <c r="G77" s="984" t="s">
        <v>414</v>
      </c>
      <c r="H77" s="363" t="s">
        <v>2879</v>
      </c>
      <c r="I77" s="369">
        <v>0.01</v>
      </c>
      <c r="J77" s="2037"/>
      <c r="K77" s="3457">
        <f>IF(AND(K75="",K76=""),4,IF(项目基本情况!K6="上海银行",K76+1,K75+1))</f>
        <v>5</v>
      </c>
      <c r="L77" s="3456" t="s">
        <v>2880</v>
      </c>
      <c r="M77" s="3060" t="s">
        <v>418</v>
      </c>
      <c r="N77" s="1302"/>
      <c r="O77" s="1303">
        <f ca="1">SUMIF(N72:N76,"&lt;9e307")</f>
        <v>157806</v>
      </c>
      <c r="P77" s="1304"/>
      <c r="Q77" s="3058" t="e">
        <f ca="1">O77/N69</f>
        <v>#VALUE!</v>
      </c>
      <c r="R77" s="2030"/>
      <c r="S77" s="2030"/>
      <c r="T77" s="2030"/>
      <c r="U77" s="2030"/>
      <c r="V77" s="2030"/>
    </row>
    <row r="78" spans="1:22" ht="12" customHeight="1">
      <c r="A78" s="1305"/>
      <c r="B78" s="311"/>
      <c r="C78" s="311"/>
      <c r="D78" s="311"/>
      <c r="E78" s="42"/>
      <c r="F78" s="42"/>
      <c r="G78" s="42"/>
      <c r="H78" s="1003"/>
      <c r="I78" s="311"/>
      <c r="J78" s="2037"/>
      <c r="K78" s="3457"/>
      <c r="L78" s="3456"/>
      <c r="M78" s="3060" t="s">
        <v>422</v>
      </c>
      <c r="N78" s="1302"/>
      <c r="O78" s="1303" t="str">
        <f ca="1">NUMBERSTRING(INT(O77*10000),2)&amp;"元整"</f>
        <v>壹拾伍亿柒仟捌佰零陆万元整</v>
      </c>
      <c r="P78" s="1304"/>
      <c r="Q78" s="2030"/>
      <c r="R78" s="2030"/>
      <c r="S78" s="2030"/>
      <c r="T78" s="2030"/>
      <c r="U78" s="2030"/>
      <c r="V78" s="2030"/>
    </row>
    <row r="79" spans="1:22" ht="13.5" thickBot="1">
      <c r="A79" s="3451" t="s">
        <v>424</v>
      </c>
      <c r="B79" s="3451"/>
      <c r="C79" s="3451"/>
      <c r="D79" s="3451"/>
      <c r="E79" s="3451"/>
      <c r="F79" s="42"/>
      <c r="G79" s="42"/>
      <c r="H79" s="1003"/>
      <c r="I79" s="311"/>
      <c r="J79" s="2037"/>
      <c r="K79" s="3477">
        <f>K77+1</f>
        <v>6</v>
      </c>
      <c r="L79" s="3456" t="s">
        <v>2881</v>
      </c>
      <c r="M79" s="3060" t="s">
        <v>418</v>
      </c>
      <c r="N79" s="1302"/>
      <c r="O79" s="1303" t="e">
        <f ca="1">N69-O77</f>
        <v>#VALUE!</v>
      </c>
      <c r="P79" s="1304"/>
      <c r="Q79" s="2030"/>
      <c r="R79" s="2030"/>
      <c r="S79" s="2030"/>
      <c r="T79" s="2030"/>
      <c r="U79" s="2030"/>
      <c r="V79" s="2030"/>
    </row>
    <row r="80" spans="1:22" ht="12.75">
      <c r="A80" s="3446" t="s">
        <v>425</v>
      </c>
      <c r="B80" s="3447"/>
      <c r="C80" s="994"/>
      <c r="D80" s="994" t="s">
        <v>426</v>
      </c>
      <c r="E80" s="370" t="s">
        <v>427</v>
      </c>
      <c r="F80" s="42"/>
      <c r="G80" s="42"/>
      <c r="H80" s="1003"/>
      <c r="I80" s="311"/>
      <c r="J80" s="2030"/>
      <c r="K80" s="3478"/>
      <c r="L80" s="3456"/>
      <c r="M80" s="3060"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239821</v>
      </c>
      <c r="D81" s="373"/>
      <c r="E81" s="374"/>
      <c r="F81" s="42"/>
      <c r="G81" s="42"/>
      <c r="H81" s="1003"/>
      <c r="I81" s="311"/>
      <c r="J81" s="2030"/>
      <c r="K81" s="3054">
        <f>K79+1</f>
        <v>7</v>
      </c>
      <c r="L81" s="3454" t="s">
        <v>2882</v>
      </c>
      <c r="M81" s="3455"/>
      <c r="N81" s="1306"/>
      <c r="O81" s="1307" t="e">
        <f ca="1">ROUND(O79*10000/'数据-汇总表'!E3,0)</f>
        <v>#VALUE!</v>
      </c>
      <c r="P81" s="1308"/>
      <c r="Q81" s="2030"/>
      <c r="R81" s="2030"/>
      <c r="S81" s="2030"/>
      <c r="T81" s="2030"/>
      <c r="U81" s="2030"/>
      <c r="V81" s="2030"/>
    </row>
    <row r="82" spans="1:26" ht="13.5" thickTop="1">
      <c r="A82" s="375" t="s">
        <v>1818</v>
      </c>
      <c r="B82" s="376" t="s">
        <v>429</v>
      </c>
      <c r="C82" s="377">
        <f ca="1">D63</f>
        <v>251812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466" t="s">
        <v>2869</v>
      </c>
      <c r="L83" s="3066" t="s">
        <v>2870</v>
      </c>
      <c r="M83" s="3056" t="e">
        <f>IF(N69&gt;10000,N69*0.5%,IF(AND(N69&gt;1000,N69&lt;=10000),N69*1%,IF(AND(N69&gt;100,N69&lt;=1000),N69*3%,IF(AND(N69&gt;10,N69&lt;=100),N69*5%,N69*8%))))</f>
        <v>#VALUE!</v>
      </c>
      <c r="N83" s="53" t="e">
        <f>ROUND(M83,1)</f>
        <v>#VALUE!</v>
      </c>
      <c r="O83" s="3059"/>
      <c r="P83" s="2030"/>
      <c r="Q83" s="2030"/>
      <c r="R83" s="2030"/>
      <c r="S83" s="2030"/>
      <c r="T83" s="2030"/>
      <c r="U83" s="2030"/>
      <c r="V83" s="2030"/>
    </row>
    <row r="84" spans="1:26" ht="12.75">
      <c r="A84" s="381" t="s">
        <v>1820</v>
      </c>
      <c r="B84" s="382" t="s">
        <v>431</v>
      </c>
      <c r="C84" s="383">
        <v>2000</v>
      </c>
      <c r="D84" s="384" t="s">
        <v>19</v>
      </c>
      <c r="E84" s="3101" t="s">
        <v>2937</v>
      </c>
      <c r="F84" s="42"/>
      <c r="G84" s="42"/>
      <c r="H84" s="1003"/>
      <c r="I84" s="311"/>
      <c r="J84" s="2030"/>
      <c r="K84" s="3466"/>
      <c r="L84" s="3066" t="s">
        <v>2871</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237821</v>
      </c>
      <c r="D85" s="378" t="s">
        <v>19</v>
      </c>
      <c r="E85" s="379"/>
      <c r="F85" s="42"/>
      <c r="G85" s="42"/>
      <c r="H85" s="1003"/>
      <c r="I85" s="311"/>
      <c r="J85" s="2030"/>
      <c r="K85" s="3466"/>
      <c r="L85" s="3066" t="s">
        <v>2873</v>
      </c>
      <c r="M85" s="3056"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13080</v>
      </c>
      <c r="D86" s="389">
        <f>'数据-取费表'!B41</f>
        <v>5.5000000000000007E-2</v>
      </c>
      <c r="E86" s="390"/>
      <c r="F86" s="42"/>
      <c r="G86" s="42"/>
      <c r="H86" s="1003"/>
      <c r="I86" s="311"/>
      <c r="J86" s="2030"/>
      <c r="K86" s="3466"/>
      <c r="L86" s="3066" t="s">
        <v>2874</v>
      </c>
      <c r="M86" s="3056"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66"/>
      <c r="L87" s="3066" t="s">
        <v>2876</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30"/>
      <c r="R87" s="2030"/>
      <c r="S87" s="2030"/>
      <c r="T87" s="2030"/>
      <c r="U87" s="2030"/>
      <c r="V87" s="2030"/>
      <c r="W87" s="292"/>
      <c r="X87" s="292"/>
      <c r="Y87" s="292"/>
      <c r="Z87" s="292"/>
    </row>
    <row r="88" spans="1:26" s="1314" customFormat="1" ht="15" thickBot="1">
      <c r="A88" s="3448" t="s">
        <v>434</v>
      </c>
      <c r="B88" s="3449"/>
      <c r="C88" s="3449"/>
      <c r="D88" s="3449"/>
      <c r="E88" s="3449"/>
      <c r="F88" s="3449"/>
      <c r="G88" s="3449"/>
      <c r="H88" s="3449"/>
      <c r="I88" s="1315"/>
      <c r="J88" s="2038"/>
      <c r="K88" s="3466"/>
      <c r="L88" s="3066" t="s">
        <v>2877</v>
      </c>
      <c r="M88" s="3056" t="e">
        <f>IF(N69&gt;10000,N69*0.5%,IF(AND(N69&gt;5000,N69&lt;=10000),N69*1%,IF(AND(N69&gt;1000,N69&lt;=5000),N69*2%,IF(AND(N69&gt;200,N69&lt;=1000),N69*3%,N69*5%))))</f>
        <v>#VALUE!</v>
      </c>
      <c r="N88" s="53" t="e">
        <f>ROUND(M88,1)</f>
        <v>#VALUE!</v>
      </c>
      <c r="O88" s="3059"/>
      <c r="P88" s="11"/>
      <c r="Q88" s="2035"/>
      <c r="R88" s="2035"/>
      <c r="S88" s="2035"/>
      <c r="T88" s="2035"/>
      <c r="U88" s="2035"/>
      <c r="V88" s="2035"/>
      <c r="W88" s="2039"/>
      <c r="X88" s="2039"/>
      <c r="Y88" s="2039"/>
      <c r="Z88" s="2039"/>
    </row>
    <row r="89" spans="1:26" s="1314" customFormat="1" ht="14.25">
      <c r="A89" s="3446" t="s">
        <v>425</v>
      </c>
      <c r="B89" s="3447"/>
      <c r="C89" s="994"/>
      <c r="D89" s="994" t="s">
        <v>426</v>
      </c>
      <c r="E89" s="391" t="s">
        <v>435</v>
      </c>
      <c r="F89" s="392"/>
      <c r="G89" s="392"/>
      <c r="H89" s="393"/>
      <c r="I89" s="1316"/>
      <c r="J89" s="2040"/>
      <c r="K89" s="3466"/>
      <c r="L89" s="3066" t="s">
        <v>27</v>
      </c>
      <c r="M89" s="3057"/>
      <c r="N89" s="53" t="e">
        <f>ROUND(SUM(N83:N88),0)</f>
        <v>#VALUE!</v>
      </c>
      <c r="O89" s="3067"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239821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3760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409" t="s">
        <v>444</v>
      </c>
      <c r="F94" s="3408"/>
      <c r="G94" s="3408"/>
      <c r="H94" s="344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1199</v>
      </c>
      <c r="D96" s="406">
        <f>'数据-取费表'!B43</f>
        <v>5.000000000000001E-3</v>
      </c>
      <c r="E96" s="3437" t="s">
        <v>2424</v>
      </c>
      <c r="F96" s="3438"/>
      <c r="G96" s="3438"/>
      <c r="H96" s="343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236061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62.782180851063828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140321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48" t="s">
        <v>451</v>
      </c>
      <c r="B101" s="3449"/>
      <c r="C101" s="3449"/>
      <c r="D101" s="3449"/>
      <c r="E101" s="3449"/>
      <c r="F101" s="3449"/>
      <c r="G101" s="3449"/>
      <c r="H101" s="344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46" t="s">
        <v>425</v>
      </c>
      <c r="B102" s="3447"/>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239821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1889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40" t="s">
        <v>459</v>
      </c>
      <c r="F109" s="3438"/>
      <c r="G109" s="3438"/>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40" t="s">
        <v>461</v>
      </c>
      <c r="F110" s="3438"/>
      <c r="G110" s="3438"/>
      <c r="H110" s="343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1199</v>
      </c>
      <c r="D111" s="406">
        <f>'数据-取费表'!B43</f>
        <v>5.000000000000001E-3</v>
      </c>
      <c r="E111" s="3437" t="s">
        <v>2424</v>
      </c>
      <c r="F111" s="3438"/>
      <c r="G111" s="3438"/>
      <c r="H111" s="343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40" t="s">
        <v>2449</v>
      </c>
      <c r="F112" s="3438"/>
      <c r="G112" s="3438"/>
      <c r="H112" s="343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237932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125.95659078877713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142098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E12"/>
  <sheetViews>
    <sheetView workbookViewId="0">
      <selection activeCell="D10" sqref="D10"/>
    </sheetView>
  </sheetViews>
  <sheetFormatPr defaultRowHeight="13.5"/>
  <cols>
    <col min="3" max="3" width="18.625" customWidth="1"/>
    <col min="4" max="4" width="13.25" customWidth="1"/>
    <col min="5" max="5" width="13.75" customWidth="1"/>
  </cols>
  <sheetData>
    <row r="4" spans="2:5" ht="39.75" customHeight="1">
      <c r="B4" s="3246"/>
      <c r="C4" s="3247" t="s">
        <v>3195</v>
      </c>
      <c r="D4" s="3247" t="s">
        <v>3095</v>
      </c>
      <c r="E4" s="3247" t="s">
        <v>3096</v>
      </c>
    </row>
    <row r="5" spans="2:5" ht="32.25" customHeight="1">
      <c r="B5" s="3248" t="s">
        <v>3097</v>
      </c>
      <c r="C5" s="3249">
        <v>5000</v>
      </c>
      <c r="D5" s="3249">
        <v>4000</v>
      </c>
      <c r="E5" s="3249">
        <v>3000</v>
      </c>
    </row>
    <row r="6" spans="2:5" ht="40.5" customHeight="1">
      <c r="B6" s="3250" t="s">
        <v>3098</v>
      </c>
      <c r="C6" s="3251">
        <v>0.35</v>
      </c>
      <c r="D6" s="3251">
        <v>0.45</v>
      </c>
      <c r="E6" s="3251">
        <v>0.2</v>
      </c>
    </row>
    <row r="7" spans="2:5" ht="28.5" customHeight="1">
      <c r="B7" s="3252" t="s">
        <v>3099</v>
      </c>
      <c r="C7" s="3252" t="s">
        <v>3100</v>
      </c>
      <c r="D7" s="3257">
        <f>'[6]比较法租金-商业'!$C$48</f>
        <v>3</v>
      </c>
      <c r="E7" s="3257">
        <f>'[7]数据-取费表'!$U$6</f>
        <v>2.2000000000000002</v>
      </c>
    </row>
    <row r="8" spans="2:5">
      <c r="B8" s="3245" t="s">
        <v>3104</v>
      </c>
      <c r="C8">
        <v>3</v>
      </c>
    </row>
    <row r="9" spans="2:5">
      <c r="B9" s="3245" t="s">
        <v>3105</v>
      </c>
      <c r="C9">
        <v>35344</v>
      </c>
      <c r="D9" s="3258">
        <f>'[8]比较法售价-商业'!$C$48</f>
        <v>22727</v>
      </c>
      <c r="E9" s="3258">
        <f>'[7]比较法售价-办公'!$C$49</f>
        <v>15903</v>
      </c>
    </row>
    <row r="10" spans="2:5">
      <c r="B10" s="3245" t="s">
        <v>3106</v>
      </c>
      <c r="D10">
        <f>D7</f>
        <v>3</v>
      </c>
      <c r="E10">
        <f>E7</f>
        <v>2.2000000000000002</v>
      </c>
    </row>
    <row r="11" spans="2:5">
      <c r="B11" s="3259" t="s">
        <v>3111</v>
      </c>
      <c r="D11" s="3260">
        <v>5.5E-2</v>
      </c>
      <c r="E11" s="3260">
        <f>D11-0.005</f>
        <v>0.05</v>
      </c>
    </row>
    <row r="12" spans="2:5">
      <c r="B12" s="3259" t="s">
        <v>3112</v>
      </c>
      <c r="D12" s="3260">
        <v>6.5000000000000002E-2</v>
      </c>
      <c r="E12" s="3260">
        <v>0.06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312" t="str">
        <f>项目基本情况!B1</f>
        <v>北京市房山区邢家坞村出让国有建设用地使用权市场价格预评估</v>
      </c>
      <c r="C37" s="3312"/>
      <c r="D37" s="3312"/>
      <c r="E37" s="3312"/>
      <c r="F37" s="3312"/>
      <c r="G37" s="3312"/>
      <c r="H37" s="3312"/>
      <c r="I37" s="3312"/>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2"/>
  <sheetViews>
    <sheetView tabSelected="1" topLeftCell="B7" workbookViewId="0">
      <selection activeCell="C9" sqref="C9"/>
    </sheetView>
  </sheetViews>
  <sheetFormatPr defaultRowHeight="13.5"/>
  <cols>
    <col min="1" max="1" width="3.875" style="3197" hidden="1" customWidth="1"/>
    <col min="2" max="2" width="26.25" style="3197" customWidth="1"/>
    <col min="3" max="3" width="21.875" style="3197" customWidth="1"/>
    <col min="4" max="4" width="19.375" style="3197" customWidth="1"/>
    <col min="5" max="5" width="24.875" style="3197" customWidth="1"/>
    <col min="6" max="6" width="9.625" style="3197" customWidth="1"/>
    <col min="7" max="7" width="17" style="3197" customWidth="1"/>
    <col min="8" max="8" width="16.125" style="3197" customWidth="1"/>
    <col min="9" max="9" width="18.375" style="3197" customWidth="1"/>
    <col min="10" max="10" width="12" style="3197" bestFit="1" customWidth="1"/>
    <col min="11" max="11" width="9" style="3197"/>
    <col min="12" max="12" width="0" hidden="1" customWidth="1"/>
    <col min="13" max="13" width="11.625" style="3197" bestFit="1" customWidth="1"/>
    <col min="14" max="14" width="9" style="3197"/>
    <col min="15" max="15" width="15.375" style="3197" customWidth="1"/>
    <col min="16" max="16384" width="9" style="3197"/>
  </cols>
  <sheetData>
    <row r="1" spans="2:20" hidden="1"/>
    <row r="2" spans="2:20" hidden="1"/>
    <row r="3" spans="2:20" hidden="1"/>
    <row r="4" spans="2:20" ht="30" customHeight="1">
      <c r="D4" s="3209"/>
      <c r="E4" s="3209"/>
      <c r="G4" s="3210" t="s">
        <v>3069</v>
      </c>
      <c r="H4" s="3211" t="s">
        <v>3070</v>
      </c>
      <c r="I4" s="3211" t="s">
        <v>3071</v>
      </c>
      <c r="J4" s="3211" t="s">
        <v>3072</v>
      </c>
      <c r="K4" s="3211" t="s">
        <v>3071</v>
      </c>
      <c r="M4" s="3211" t="s">
        <v>3108</v>
      </c>
      <c r="N4" s="3211" t="s">
        <v>3071</v>
      </c>
      <c r="O4" s="3211" t="s">
        <v>3073</v>
      </c>
      <c r="P4" s="3306" t="s">
        <v>3193</v>
      </c>
      <c r="Q4" s="3197" t="s">
        <v>3196</v>
      </c>
    </row>
    <row r="5" spans="2:20" ht="32.25" customHeight="1">
      <c r="B5" s="3484" t="s">
        <v>3107</v>
      </c>
      <c r="C5" s="3485"/>
      <c r="D5" s="3485"/>
      <c r="E5" s="3485"/>
      <c r="G5" s="3213" t="s">
        <v>3101</v>
      </c>
      <c r="H5" s="3214">
        <f ca="1">基准地价住宅!C29</f>
        <v>5504</v>
      </c>
      <c r="I5" s="3215">
        <v>0.4</v>
      </c>
      <c r="J5" s="3214">
        <f ca="1">结果表!D20</f>
        <v>15548</v>
      </c>
      <c r="K5" s="3215">
        <f>1-I5</f>
        <v>0.6</v>
      </c>
      <c r="M5" s="3214" t="s">
        <v>3110</v>
      </c>
      <c r="N5" s="3215" t="s">
        <v>3110</v>
      </c>
      <c r="O5" s="3214">
        <f ca="1">ROUND(H5*I5+J5*K5,0)</f>
        <v>11530</v>
      </c>
      <c r="P5" s="3307">
        <v>11530</v>
      </c>
      <c r="Q5" s="3310">
        <f ca="1">O5/4</f>
        <v>2882.5</v>
      </c>
      <c r="T5" s="3212" t="s">
        <v>3074</v>
      </c>
    </row>
    <row r="6" spans="2:20" ht="29.25" customHeight="1">
      <c r="B6" s="3486"/>
      <c r="C6" s="3486"/>
      <c r="D6" s="3486"/>
      <c r="E6" s="3486"/>
      <c r="G6" s="3213" t="s">
        <v>3075</v>
      </c>
      <c r="H6" s="3308">
        <f>'[11]基准地价--商业'!$C$29</f>
        <v>4636</v>
      </c>
      <c r="I6" s="3215">
        <v>0.3</v>
      </c>
      <c r="J6" s="3305">
        <f>'[11]剩余法--商业'!$C$37</f>
        <v>6659</v>
      </c>
      <c r="K6" s="3215">
        <v>0.5</v>
      </c>
      <c r="M6" s="3308">
        <f>'[11]收益还原法-商业'!$C$47</f>
        <v>4129</v>
      </c>
      <c r="N6" s="3215">
        <f>1-I6-K6</f>
        <v>0.19999999999999996</v>
      </c>
      <c r="O6" s="3214">
        <f>ROUND(H6*I6+J6*K6+M6*N6,0)</f>
        <v>5546</v>
      </c>
      <c r="P6" s="3307">
        <v>5547</v>
      </c>
      <c r="Q6" s="3310">
        <f>O6/4</f>
        <v>1386.5</v>
      </c>
      <c r="T6" s="3219"/>
    </row>
    <row r="7" spans="2:20" ht="27.75" customHeight="1">
      <c r="B7" s="3221"/>
      <c r="C7" s="3221" t="s">
        <v>3079</v>
      </c>
      <c r="D7" s="3221" t="s">
        <v>3080</v>
      </c>
      <c r="E7" s="3221" t="s">
        <v>3081</v>
      </c>
      <c r="G7" s="3213" t="s">
        <v>3076</v>
      </c>
      <c r="H7" s="3308">
        <f>'[7]基准地价--办公'!$C$29</f>
        <v>4746</v>
      </c>
      <c r="I7" s="3215">
        <v>0.3</v>
      </c>
      <c r="J7" s="3305">
        <f>'[7]剩余法--办公'!$C$37</f>
        <v>5883</v>
      </c>
      <c r="K7" s="3215">
        <v>0.5</v>
      </c>
      <c r="M7" s="3308">
        <f>'[7]收益还原法--办公'!$C$47</f>
        <v>4666</v>
      </c>
      <c r="N7" s="3215">
        <f>1-I7-K7</f>
        <v>0.19999999999999996</v>
      </c>
      <c r="O7" s="3214">
        <f>ROUND(H7*I7+J7*K7+M7*N7,0)</f>
        <v>5299</v>
      </c>
      <c r="P7" s="3307">
        <v>5315</v>
      </c>
      <c r="Q7" s="3310">
        <f t="shared" ref="Q7" si="0">O7/4</f>
        <v>1324.75</v>
      </c>
      <c r="T7" s="3209" t="e">
        <f>#REF!</f>
        <v>#REF!</v>
      </c>
    </row>
    <row r="8" spans="2:20" ht="26.25" customHeight="1">
      <c r="B8" s="3221" t="s">
        <v>3191</v>
      </c>
      <c r="C8" s="3221">
        <f ca="1">O5</f>
        <v>11530</v>
      </c>
      <c r="D8" s="3221">
        <f>'数据-取费表'!K6</f>
        <v>334812</v>
      </c>
      <c r="E8" s="3221">
        <f t="shared" ref="E8:E9" ca="1" si="1">ROUND(C8*D8/10000,2)</f>
        <v>386038.24</v>
      </c>
      <c r="G8"/>
      <c r="H8"/>
      <c r="I8"/>
      <c r="J8"/>
      <c r="K8"/>
      <c r="M8"/>
      <c r="N8"/>
      <c r="O8"/>
      <c r="P8" s="3214"/>
    </row>
    <row r="9" spans="2:20" customFormat="1" ht="26.25" customHeight="1">
      <c r="B9" s="3221" t="s">
        <v>3084</v>
      </c>
      <c r="C9" s="3221">
        <f>O6</f>
        <v>5546</v>
      </c>
      <c r="D9" s="3221">
        <f>'数据-基础表'!K21+'数据-基础表'!K22</f>
        <v>43092</v>
      </c>
      <c r="E9" s="3221">
        <f t="shared" si="1"/>
        <v>23898.82</v>
      </c>
      <c r="G9" s="3209"/>
      <c r="H9" s="3209"/>
      <c r="I9" s="3209"/>
      <c r="J9" s="3209"/>
      <c r="K9" s="3209"/>
      <c r="M9" s="3209"/>
      <c r="N9" s="3197"/>
      <c r="O9" s="3209"/>
      <c r="P9" s="3214"/>
    </row>
    <row r="10" spans="2:20" ht="33" customHeight="1">
      <c r="B10" s="3221" t="s">
        <v>3086</v>
      </c>
      <c r="C10" s="3221">
        <f>O7</f>
        <v>5299</v>
      </c>
      <c r="D10" s="3221" t="s">
        <v>3085</v>
      </c>
      <c r="E10" s="3221" t="s">
        <v>3085</v>
      </c>
      <c r="G10" s="3210" t="s">
        <v>3077</v>
      </c>
      <c r="H10" s="3211" t="s">
        <v>3070</v>
      </c>
      <c r="I10" s="3211" t="s">
        <v>3071</v>
      </c>
      <c r="J10" s="3211" t="s">
        <v>3072</v>
      </c>
      <c r="K10" s="3211" t="s">
        <v>3071</v>
      </c>
      <c r="M10" s="3211" t="s">
        <v>3109</v>
      </c>
      <c r="N10" s="3211" t="s">
        <v>3071</v>
      </c>
      <c r="O10" s="3216" t="s">
        <v>3078</v>
      </c>
      <c r="P10" s="3214"/>
    </row>
    <row r="11" spans="2:20" ht="28.5" customHeight="1">
      <c r="B11" s="3221" t="s">
        <v>3087</v>
      </c>
      <c r="C11" s="3221" t="s">
        <v>3085</v>
      </c>
      <c r="D11" s="3221">
        <f>SUM(D8:D10)</f>
        <v>377904</v>
      </c>
      <c r="E11" s="3221">
        <f ca="1">SUM(E8:E10)</f>
        <v>409937.06</v>
      </c>
      <c r="G11" s="3213" t="s">
        <v>3101</v>
      </c>
      <c r="H11" s="3214">
        <f>[5]结果表!$C$19</f>
        <v>187568</v>
      </c>
      <c r="I11" s="3215">
        <f>I5</f>
        <v>0.4</v>
      </c>
      <c r="J11" s="3214">
        <f>[5]结果表!$D$19</f>
        <v>553349</v>
      </c>
      <c r="K11" s="3215">
        <f>K5</f>
        <v>0.6</v>
      </c>
      <c r="M11" s="3214" t="s">
        <v>3110</v>
      </c>
      <c r="N11" s="3215" t="s">
        <v>3110</v>
      </c>
      <c r="O11" s="3218">
        <f>ROUND(H11*I11+J11*K5,2)</f>
        <v>407036.6</v>
      </c>
      <c r="P11" s="3214"/>
    </row>
    <row r="12" spans="2:20" ht="25.5" customHeight="1">
      <c r="G12" s="3217" t="s">
        <v>3075</v>
      </c>
      <c r="H12" s="3214">
        <f>[9]结果表!$C$19</f>
        <v>25603</v>
      </c>
      <c r="I12" s="3215">
        <f>I6</f>
        <v>0.3</v>
      </c>
      <c r="J12" s="3214">
        <f>[9]结果表!$D$19</f>
        <v>41629</v>
      </c>
      <c r="K12" s="3215">
        <f>K6</f>
        <v>0.5</v>
      </c>
      <c r="M12" s="3214">
        <f>'[9]收益还原法-商业'!$B$2</f>
        <v>24419</v>
      </c>
      <c r="N12" s="3215">
        <f>N6</f>
        <v>0.19999999999999996</v>
      </c>
      <c r="O12" s="3218">
        <f>ROUND(H12*I12+J12*K12,2)</f>
        <v>28495.4</v>
      </c>
    </row>
    <row r="13" spans="2:20" ht="25.5" customHeight="1">
      <c r="B13" s="3221"/>
      <c r="C13" s="3221" t="s">
        <v>3079</v>
      </c>
      <c r="D13" s="3221" t="s">
        <v>3080</v>
      </c>
      <c r="E13" s="3221" t="s">
        <v>3081</v>
      </c>
      <c r="G13" s="3217" t="s">
        <v>3076</v>
      </c>
      <c r="H13" s="3214">
        <f>[10]结果表!$C$19</f>
        <v>134946</v>
      </c>
      <c r="I13" s="3215">
        <f>I7</f>
        <v>0.3</v>
      </c>
      <c r="J13" s="3214">
        <f>[10]结果表!$D$19</f>
        <v>275673</v>
      </c>
      <c r="K13" s="3215">
        <f>K12</f>
        <v>0.5</v>
      </c>
      <c r="M13" s="3214">
        <f>'[4]收益还原法--办公'!$B$2</f>
        <v>32588</v>
      </c>
      <c r="N13" s="3215">
        <f>N7</f>
        <v>0.19999999999999996</v>
      </c>
      <c r="O13" s="3218">
        <f>ROUND(H13*I13+J13*K13,2)</f>
        <v>178320.3</v>
      </c>
    </row>
    <row r="14" spans="2:20" ht="44.25" customHeight="1">
      <c r="B14" s="3221" t="s">
        <v>3192</v>
      </c>
      <c r="C14" s="3221">
        <f ca="1">ROUND(C8*0.25,0)</f>
        <v>2883</v>
      </c>
      <c r="D14" s="3221">
        <f>D8</f>
        <v>334812</v>
      </c>
      <c r="E14" s="3221">
        <f ca="1">ROUND(C14*D14/10000,2)</f>
        <v>96526.3</v>
      </c>
      <c r="G14" s="3256"/>
      <c r="H14" s="3254"/>
      <c r="I14" s="3255"/>
      <c r="J14" s="3254"/>
      <c r="K14" s="3255"/>
      <c r="M14" s="3220"/>
      <c r="O14" s="3254"/>
    </row>
    <row r="15" spans="2:20" ht="35.25" customHeight="1">
      <c r="B15" s="3221" t="s">
        <v>3089</v>
      </c>
      <c r="C15" s="3221">
        <f>ROUND(C9*0.25,0)</f>
        <v>1387</v>
      </c>
      <c r="D15" s="3221">
        <f>D9</f>
        <v>43092</v>
      </c>
      <c r="E15" s="3221">
        <f>ROUND(C15*D15/10000,2)</f>
        <v>5976.86</v>
      </c>
      <c r="G15" s="3209"/>
      <c r="H15" s="3209"/>
      <c r="I15" s="3209"/>
      <c r="J15" s="3209"/>
      <c r="K15" s="3209"/>
      <c r="M15" s="3209"/>
      <c r="O15" s="3209"/>
    </row>
    <row r="16" spans="2:20" ht="42.75" customHeight="1">
      <c r="B16" s="3221" t="s">
        <v>3090</v>
      </c>
      <c r="C16" s="3221">
        <f>ROUND(C10*0.25,0)</f>
        <v>1325</v>
      </c>
      <c r="D16" s="3221" t="s">
        <v>3085</v>
      </c>
      <c r="E16" s="3221" t="s">
        <v>3085</v>
      </c>
      <c r="G16" s="3209"/>
      <c r="H16" s="3209"/>
      <c r="I16" s="3209"/>
      <c r="J16" s="3209"/>
      <c r="K16" s="3209"/>
      <c r="M16" s="3209"/>
      <c r="O16" s="3209"/>
    </row>
    <row r="17" spans="2:15" ht="28.5" customHeight="1">
      <c r="B17" s="3221" t="s">
        <v>3091</v>
      </c>
      <c r="C17" s="3221" t="s">
        <v>3085</v>
      </c>
      <c r="D17" s="3221" t="s">
        <v>3085</v>
      </c>
      <c r="E17" s="3221">
        <f ca="1">SUM(E14:E16)</f>
        <v>102503.16</v>
      </c>
      <c r="G17" s="3222" t="s">
        <v>3082</v>
      </c>
      <c r="H17" s="3487" t="s">
        <v>3070</v>
      </c>
      <c r="I17" s="3488"/>
      <c r="J17" s="3487" t="s">
        <v>3072</v>
      </c>
      <c r="K17" s="3488"/>
      <c r="M17" s="3223"/>
      <c r="O17" s="3223" t="s">
        <v>3071</v>
      </c>
    </row>
    <row r="18" spans="2:15" ht="23.25" customHeight="1">
      <c r="G18" s="3224" t="s">
        <v>3083</v>
      </c>
      <c r="H18" s="3225" t="s">
        <v>3077</v>
      </c>
      <c r="I18" s="3226" t="s">
        <v>3069</v>
      </c>
      <c r="J18" s="3225" t="s">
        <v>3077</v>
      </c>
      <c r="K18" s="3226" t="s">
        <v>3069</v>
      </c>
      <c r="M18" s="3223" t="s">
        <v>3077</v>
      </c>
      <c r="O18" s="3223" t="s">
        <v>3069</v>
      </c>
    </row>
    <row r="19" spans="2:15" ht="26.25" customHeight="1">
      <c r="B19" s="3482" t="s">
        <v>3113</v>
      </c>
      <c r="C19" s="3483"/>
      <c r="D19" s="3483"/>
      <c r="E19" s="3483"/>
      <c r="G19" s="3227" t="s">
        <v>3102</v>
      </c>
      <c r="H19" s="3228" t="e">
        <f>ROUND(I19*D14/10000,2)</f>
        <v>#REF!</v>
      </c>
      <c r="I19" s="3229" t="e">
        <f>ROUND(#REF!*0.25,0)</f>
        <v>#REF!</v>
      </c>
      <c r="J19" s="3228" t="e">
        <f>ROUND(K19*D14/10000,2)</f>
        <v>#REF!</v>
      </c>
      <c r="K19" s="3229" t="e">
        <f>ROUND(#REF!*0.25,0)</f>
        <v>#REF!</v>
      </c>
      <c r="M19" s="3230" t="e">
        <f>ROUND(O19*T7/10000,2)</f>
        <v>#REF!</v>
      </c>
      <c r="O19" s="3229" t="e">
        <f>ROUND(I19*#REF!+K19*#REF!,0)</f>
        <v>#REF!</v>
      </c>
    </row>
    <row r="20" spans="2:15" ht="14.25">
      <c r="B20" s="3243"/>
      <c r="C20" s="3244"/>
      <c r="D20" s="3244"/>
      <c r="E20" s="3244"/>
      <c r="G20" s="3227" t="s">
        <v>3103</v>
      </c>
      <c r="H20" s="3228" t="e">
        <f ca="1">ROUND(I20*T7/10000,2)</f>
        <v>#REF!</v>
      </c>
      <c r="I20" s="3229">
        <f ca="1">ROUND(H5*0.25,0)</f>
        <v>1376</v>
      </c>
      <c r="J20" s="3228" t="e">
        <f ca="1">ROUND(K20*T7/10000,2)</f>
        <v>#REF!</v>
      </c>
      <c r="K20" s="3229">
        <f ca="1">ROUND(J5*0.25,0)</f>
        <v>3887</v>
      </c>
      <c r="M20" s="3230" t="e">
        <f ca="1">ROUND(O20*T7/10000,2)</f>
        <v>#REF!</v>
      </c>
      <c r="O20" s="3229">
        <f ca="1">ROUND(I20*I5+K20*K5,0)</f>
        <v>2883</v>
      </c>
    </row>
    <row r="21" spans="2:15">
      <c r="G21" s="3227" t="s">
        <v>3075</v>
      </c>
      <c r="H21" s="3228" t="e">
        <f>ROUND(I21*T7/10000,2)</f>
        <v>#REF!</v>
      </c>
      <c r="I21" s="3229">
        <f>ROUND(H6*0.25,0)</f>
        <v>1159</v>
      </c>
      <c r="J21" s="3228" t="e">
        <f>ROUND(K21*T7/10000,2)</f>
        <v>#REF!</v>
      </c>
      <c r="K21" s="3229">
        <f>ROUND(J6*0.25,0)</f>
        <v>1665</v>
      </c>
      <c r="M21" s="3230" t="e">
        <f>ROUND(O21*T7/10000,2)</f>
        <v>#REF!</v>
      </c>
      <c r="O21" s="3229">
        <f>ROUND(I21*I6+K21*K6,0)</f>
        <v>1180</v>
      </c>
    </row>
    <row r="22" spans="2:15">
      <c r="G22" s="3227" t="s">
        <v>3076</v>
      </c>
      <c r="H22" s="3228" t="e">
        <f>ROUND(I22*T7/10000,2)</f>
        <v>#REF!</v>
      </c>
      <c r="I22" s="3229">
        <f>ROUND(H7*0.25,0)</f>
        <v>1187</v>
      </c>
      <c r="J22" s="3228" t="e">
        <f>ROUND(K22*T7/10000,2)</f>
        <v>#REF!</v>
      </c>
      <c r="K22" s="3229">
        <f>ROUND(J7*0.25,0)</f>
        <v>1471</v>
      </c>
      <c r="M22" s="3230" t="e">
        <f>ROUND(O22*T7/10000,2)</f>
        <v>#REF!</v>
      </c>
      <c r="O22" s="3229">
        <f>ROUND(I22*I7+K22*K7,0)</f>
        <v>1092</v>
      </c>
    </row>
    <row r="23" spans="2:15">
      <c r="G23" s="3209"/>
      <c r="H23" s="3209"/>
      <c r="I23" s="3209"/>
      <c r="J23" s="3209"/>
      <c r="K23" s="3209"/>
      <c r="M23" s="3209"/>
      <c r="O23" s="3209"/>
    </row>
    <row r="24" spans="2:15" ht="22.5" customHeight="1">
      <c r="G24" s="3209"/>
      <c r="H24" s="3209"/>
      <c r="I24" s="3209"/>
      <c r="J24" s="3209"/>
      <c r="K24" s="3209"/>
      <c r="M24" s="3209"/>
      <c r="O24" s="3209"/>
    </row>
    <row r="25" spans="2:15" ht="14.25">
      <c r="G25" s="3231" t="s">
        <v>3082</v>
      </c>
      <c r="H25" s="3489" t="s">
        <v>3070</v>
      </c>
      <c r="I25" s="3490"/>
      <c r="J25" s="3489" t="s">
        <v>3072</v>
      </c>
      <c r="K25" s="3490"/>
      <c r="M25" s="3233" t="s">
        <v>3071</v>
      </c>
      <c r="O25" s="3232" t="s">
        <v>3071</v>
      </c>
    </row>
    <row r="26" spans="2:15" ht="14.25">
      <c r="G26" s="3234" t="s">
        <v>3088</v>
      </c>
      <c r="H26" s="3235" t="s">
        <v>3077</v>
      </c>
      <c r="I26" s="3236" t="s">
        <v>3069</v>
      </c>
      <c r="J26" s="3235" t="s">
        <v>3077</v>
      </c>
      <c r="K26" s="3236" t="s">
        <v>3069</v>
      </c>
      <c r="M26" s="3232" t="s">
        <v>3069</v>
      </c>
      <c r="O26" s="3232" t="s">
        <v>3077</v>
      </c>
    </row>
    <row r="27" spans="2:15">
      <c r="G27" s="3238" t="s">
        <v>3102</v>
      </c>
      <c r="H27" s="3239" t="e">
        <f>ROUND(#REF!*0.25,2)</f>
        <v>#REF!</v>
      </c>
      <c r="I27" s="3240" t="e">
        <f>ROUND(H27*10000/T7,0)</f>
        <v>#REF!</v>
      </c>
      <c r="J27" s="3239" t="e">
        <f>ROUND(#REF!*0.25,2)</f>
        <v>#REF!</v>
      </c>
      <c r="K27" s="3240" t="e">
        <f>ROUND(J27*10000/T7,0)</f>
        <v>#REF!</v>
      </c>
      <c r="M27" s="3240" t="e">
        <f>ROUND(O27*10000/T7,0)</f>
        <v>#REF!</v>
      </c>
      <c r="O27" s="3239" t="e">
        <f>ROUND(H27*#REF!+J27*#REF!,2)</f>
        <v>#REF!</v>
      </c>
    </row>
    <row r="28" spans="2:15" ht="22.5" customHeight="1">
      <c r="G28" s="3238" t="s">
        <v>3101</v>
      </c>
      <c r="H28" s="3239">
        <f>ROUND(H11*0.25,2)</f>
        <v>46892</v>
      </c>
      <c r="I28" s="3240" t="e">
        <f>ROUND(H28*10000/T7,0)</f>
        <v>#REF!</v>
      </c>
      <c r="J28" s="3239">
        <f>ROUND(J11*0.25,2)</f>
        <v>138337.25</v>
      </c>
      <c r="K28" s="3240" t="e">
        <f>ROUND(J28*10000/T7,0)</f>
        <v>#REF!</v>
      </c>
      <c r="M28" s="3240" t="e">
        <f>ROUND(O28*10000/T7,0)</f>
        <v>#REF!</v>
      </c>
      <c r="O28" s="3239">
        <f>ROUND(H28*I11+J28*K11,2)</f>
        <v>101759.15</v>
      </c>
    </row>
    <row r="29" spans="2:15" ht="14.25">
      <c r="F29" s="3237"/>
      <c r="G29" s="3238" t="s">
        <v>3075</v>
      </c>
      <c r="H29" s="3239">
        <f>ROUND(H12*0.25,2)</f>
        <v>6400.75</v>
      </c>
      <c r="I29" s="3240" t="e">
        <f>ROUND(H29*10000/T7,0)</f>
        <v>#REF!</v>
      </c>
      <c r="J29" s="3239">
        <f>ROUND(J12*0.25,2)</f>
        <v>10407.25</v>
      </c>
      <c r="K29" s="3240" t="e">
        <f>ROUND(J29*10000/T7,0)</f>
        <v>#REF!</v>
      </c>
      <c r="M29" s="3240" t="e">
        <f>ROUND(O29*10000/T7,0)</f>
        <v>#REF!</v>
      </c>
      <c r="O29" s="3239">
        <f>ROUND(H29*I12+J29*K12,2)</f>
        <v>7123.85</v>
      </c>
    </row>
    <row r="30" spans="2:15" ht="14.25">
      <c r="F30" s="3253"/>
      <c r="G30" s="3238" t="s">
        <v>3076</v>
      </c>
      <c r="H30" s="3239">
        <f>ROUND(H13*0.25,2)</f>
        <v>33736.5</v>
      </c>
      <c r="I30" s="3240" t="e">
        <f>ROUND(H30*10000/T7,0)</f>
        <v>#REF!</v>
      </c>
      <c r="J30" s="3239">
        <f>ROUND(J13*0.25,2)</f>
        <v>68918.25</v>
      </c>
      <c r="K30" s="3240" t="e">
        <f>ROUND(J30*10000/T7,0)</f>
        <v>#REF!</v>
      </c>
      <c r="M30" s="3240" t="e">
        <f>ROUND(O30*10000/T7,0)</f>
        <v>#REF!</v>
      </c>
      <c r="O30" s="3239">
        <f>ROUND(H30*I13+J30*K13,2)</f>
        <v>44580.08</v>
      </c>
    </row>
    <row r="31" spans="2:15">
      <c r="G31" s="3241"/>
      <c r="H31" s="3240" t="s">
        <v>3092</v>
      </c>
      <c r="I31" s="3240" t="s">
        <v>3093</v>
      </c>
      <c r="J31" s="3240" t="s">
        <v>3092</v>
      </c>
      <c r="K31" s="3240" t="s">
        <v>3093</v>
      </c>
      <c r="M31" s="3242" t="s">
        <v>3093</v>
      </c>
      <c r="O31" s="3242" t="s">
        <v>3092</v>
      </c>
    </row>
    <row r="34" spans="2:10" ht="33.75" customHeight="1"/>
    <row r="35" spans="2:10" ht="36" customHeight="1"/>
    <row r="38" spans="2:10" ht="23.25" customHeight="1"/>
    <row r="39" spans="2:10" ht="18.75" customHeight="1"/>
    <row r="40" spans="2:10" ht="21" customHeight="1"/>
    <row r="41" spans="2:10">
      <c r="C41" s="3197" t="s">
        <v>3114</v>
      </c>
      <c r="D41" s="3197" t="s">
        <v>3120</v>
      </c>
      <c r="E41" s="3197" t="s">
        <v>3116</v>
      </c>
      <c r="G41" s="3197" t="s">
        <v>3118</v>
      </c>
      <c r="H41" s="3197" t="s">
        <v>3115</v>
      </c>
      <c r="I41" s="3197" t="s">
        <v>3121</v>
      </c>
    </row>
    <row r="42" spans="2:10">
      <c r="B42" s="3013" t="s">
        <v>3031</v>
      </c>
      <c r="C42" s="3204">
        <v>96747</v>
      </c>
      <c r="D42" s="3197">
        <f ca="1">C8</f>
        <v>11530</v>
      </c>
      <c r="E42" s="3197">
        <f ca="1">ROUND(C42*D42/10000,2)</f>
        <v>111549.29</v>
      </c>
      <c r="G42" s="3197">
        <v>42064</v>
      </c>
      <c r="H42" s="3197">
        <f t="shared" ref="H42:H50" ca="1" si="2">ROUND(C42*D42/G42,0)</f>
        <v>26519</v>
      </c>
      <c r="I42" s="3197">
        <f ca="1">ROUND(H42*0.25,0)</f>
        <v>6630</v>
      </c>
    </row>
    <row r="43" spans="2:10">
      <c r="B43" s="3013" t="s">
        <v>3032</v>
      </c>
      <c r="C43" s="3204">
        <v>83121</v>
      </c>
      <c r="D43" s="3197">
        <f ca="1">D42</f>
        <v>11530</v>
      </c>
      <c r="E43" s="3197">
        <f t="shared" ref="E43:E50" ca="1" si="3">ROUND(C43*D43/10000,2)</f>
        <v>95838.51</v>
      </c>
      <c r="F43" s="3197" t="s">
        <v>3117</v>
      </c>
      <c r="G43" s="3197">
        <v>36139.5</v>
      </c>
      <c r="H43" s="3197">
        <f t="shared" ca="1" si="2"/>
        <v>26519</v>
      </c>
      <c r="I43" s="3197">
        <f t="shared" ref="I43:I50" ca="1" si="4">ROUND(H43*0.25,0)</f>
        <v>6630</v>
      </c>
    </row>
    <row r="44" spans="2:10">
      <c r="B44" s="3013" t="s">
        <v>3033</v>
      </c>
      <c r="C44" s="3204">
        <v>60884</v>
      </c>
      <c r="D44" s="3197">
        <f ca="1">D43</f>
        <v>11530</v>
      </c>
      <c r="E44" s="3197">
        <f t="shared" ca="1" si="3"/>
        <v>70199.25</v>
      </c>
      <c r="F44" s="3197">
        <f t="shared" ref="F44:F52" ca="1" si="5">ROUND(D42*0.25,0)</f>
        <v>2883</v>
      </c>
      <c r="G44" s="3197">
        <v>26471.29</v>
      </c>
      <c r="H44" s="3197">
        <f t="shared" ca="1" si="2"/>
        <v>26519</v>
      </c>
      <c r="I44" s="3197">
        <f t="shared" ca="1" si="4"/>
        <v>6630</v>
      </c>
    </row>
    <row r="45" spans="2:10">
      <c r="B45" s="3013" t="s">
        <v>3034</v>
      </c>
      <c r="C45" s="3204">
        <v>3200</v>
      </c>
      <c r="D45" s="3197">
        <v>0</v>
      </c>
      <c r="E45" s="3197">
        <f t="shared" si="3"/>
        <v>0</v>
      </c>
      <c r="F45" s="3197">
        <f t="shared" ca="1" si="5"/>
        <v>2883</v>
      </c>
      <c r="G45" s="3197">
        <v>4000</v>
      </c>
      <c r="H45" s="3197">
        <f t="shared" si="2"/>
        <v>0</v>
      </c>
      <c r="I45" s="3197">
        <f t="shared" si="4"/>
        <v>0</v>
      </c>
    </row>
    <row r="46" spans="2:10">
      <c r="B46" s="3013" t="s">
        <v>3035</v>
      </c>
      <c r="C46" s="3204">
        <v>25715</v>
      </c>
      <c r="D46" s="3197">
        <f>ROUND(E46*10000/C46,0)</f>
        <v>6576</v>
      </c>
      <c r="E46" s="3197">
        <v>16911.03</v>
      </c>
      <c r="F46" s="3197">
        <f t="shared" ca="1" si="5"/>
        <v>2883</v>
      </c>
      <c r="G46" s="3197">
        <v>9183.9</v>
      </c>
      <c r="H46" s="3197">
        <f t="shared" si="2"/>
        <v>18413</v>
      </c>
      <c r="I46" s="3197">
        <f t="shared" si="4"/>
        <v>4603</v>
      </c>
      <c r="J46" s="3197" t="s">
        <v>3119</v>
      </c>
    </row>
    <row r="47" spans="2:10">
      <c r="B47" s="3013" t="s">
        <v>3036</v>
      </c>
      <c r="C47" s="3205">
        <v>0</v>
      </c>
      <c r="D47" s="3197">
        <v>0</v>
      </c>
      <c r="E47" s="3197">
        <f t="shared" si="3"/>
        <v>0</v>
      </c>
      <c r="F47" s="3197">
        <f t="shared" si="5"/>
        <v>0</v>
      </c>
      <c r="G47" s="3197">
        <v>4078.59</v>
      </c>
      <c r="H47" s="3197">
        <f t="shared" si="2"/>
        <v>0</v>
      </c>
      <c r="I47" s="3197">
        <f t="shared" si="4"/>
        <v>0</v>
      </c>
    </row>
    <row r="48" spans="2:10">
      <c r="B48" s="3013" t="s">
        <v>3037</v>
      </c>
      <c r="C48" s="3206">
        <v>51403</v>
      </c>
      <c r="D48" s="3197">
        <f ca="1">D44</f>
        <v>11530</v>
      </c>
      <c r="E48" s="3197">
        <f t="shared" ca="1" si="3"/>
        <v>59267.66</v>
      </c>
      <c r="F48" s="3197">
        <f t="shared" si="5"/>
        <v>1644</v>
      </c>
      <c r="G48" s="3197">
        <v>23364.85</v>
      </c>
      <c r="H48" s="3197">
        <f t="shared" ca="1" si="2"/>
        <v>25366</v>
      </c>
      <c r="I48" s="3197">
        <f t="shared" ca="1" si="4"/>
        <v>6342</v>
      </c>
    </row>
    <row r="49" spans="2:9">
      <c r="B49" s="3013" t="s">
        <v>3038</v>
      </c>
      <c r="C49" s="3206">
        <v>42657</v>
      </c>
      <c r="D49" s="3197" t="e">
        <f>#REF!</f>
        <v>#REF!</v>
      </c>
      <c r="E49" s="3197" t="e">
        <f t="shared" si="3"/>
        <v>#REF!</v>
      </c>
      <c r="F49" s="3197">
        <f t="shared" si="5"/>
        <v>0</v>
      </c>
      <c r="G49" s="3197">
        <v>19389.439999999999</v>
      </c>
      <c r="H49" s="3197" t="e">
        <f t="shared" si="2"/>
        <v>#REF!</v>
      </c>
      <c r="I49" s="3197" t="e">
        <f t="shared" si="4"/>
        <v>#REF!</v>
      </c>
    </row>
    <row r="50" spans="2:9">
      <c r="B50" s="3013" t="s">
        <v>3039</v>
      </c>
      <c r="C50" s="3207">
        <v>43092</v>
      </c>
      <c r="D50" s="3197">
        <f>C9</f>
        <v>5546</v>
      </c>
      <c r="E50" s="3197">
        <f t="shared" si="3"/>
        <v>23898.82</v>
      </c>
      <c r="F50" s="3197">
        <f t="shared" ca="1" si="5"/>
        <v>2883</v>
      </c>
      <c r="G50" s="3197">
        <v>14364.09</v>
      </c>
      <c r="H50" s="3197">
        <f t="shared" si="2"/>
        <v>16638</v>
      </c>
      <c r="I50" s="3197">
        <f t="shared" si="4"/>
        <v>4160</v>
      </c>
    </row>
    <row r="51" spans="2:9">
      <c r="F51" s="3197" t="e">
        <f t="shared" si="5"/>
        <v>#REF!</v>
      </c>
    </row>
    <row r="52" spans="2:9">
      <c r="F52" s="3197">
        <f t="shared" si="5"/>
        <v>1387</v>
      </c>
    </row>
  </sheetData>
  <mergeCells count="6">
    <mergeCell ref="B19:E19"/>
    <mergeCell ref="B5:E6"/>
    <mergeCell ref="H17:I17"/>
    <mergeCell ref="J17:K17"/>
    <mergeCell ref="H25:I25"/>
    <mergeCell ref="J25:K25"/>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24" sqref="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09" t="s">
        <v>920</v>
      </c>
      <c r="C1" s="2106"/>
      <c r="D1" s="2106"/>
      <c r="E1" s="2106"/>
      <c r="F1" s="2106"/>
      <c r="G1" s="2106"/>
      <c r="H1" s="2106"/>
      <c r="I1" s="2106"/>
      <c r="J1" s="2106"/>
      <c r="K1" s="422">
        <f>MATCH(B1,'数据-取费表'!A6:A16,0)+5</f>
        <v>6</v>
      </c>
    </row>
    <row r="2" spans="1:31" s="2043" customFormat="1" ht="18" customHeight="1">
      <c r="A2" s="2103" t="s">
        <v>464</v>
      </c>
      <c r="B2" s="2107">
        <f ca="1">C36</f>
        <v>520574</v>
      </c>
      <c r="C2" s="2106"/>
      <c r="D2" s="2106"/>
      <c r="E2" s="2106"/>
      <c r="F2" s="2106"/>
      <c r="G2" s="2106"/>
      <c r="H2" s="2106"/>
      <c r="I2" s="2106"/>
      <c r="J2" s="2106"/>
      <c r="K2" s="2106"/>
    </row>
    <row r="3" spans="1:31" s="2043" customFormat="1" ht="18" customHeight="1">
      <c r="A3" s="2108" t="s">
        <v>1678</v>
      </c>
      <c r="B3" s="2109">
        <f ca="1">ROUND(B2*10000/IF(B1="",'数据-汇总表'!E3,INDIRECT("'数据-取费表'!K"&amp;$K$1)),0)</f>
        <v>15548</v>
      </c>
      <c r="C3" s="2106"/>
      <c r="D3" s="2106"/>
      <c r="E3" s="2106"/>
      <c r="F3" s="2106"/>
      <c r="G3" s="2106"/>
      <c r="H3" s="2106"/>
      <c r="I3" s="2106"/>
      <c r="J3" s="2106"/>
      <c r="K3" s="2106"/>
    </row>
    <row r="4" spans="1:31" s="2043" customFormat="1" ht="18" customHeight="1">
      <c r="A4" s="426" t="s">
        <v>465</v>
      </c>
      <c r="B4" s="427">
        <f ca="1">ROUND(B2*10000/IF(B1="",'数据-汇总表'!D3,INDIRECT("'数据-取费表'!R"&amp;$K$1)),0)</f>
        <v>35740</v>
      </c>
      <c r="C4" s="428"/>
      <c r="D4" s="422"/>
      <c r="E4" s="422"/>
      <c r="F4" s="422"/>
      <c r="G4" s="422"/>
      <c r="H4" s="422"/>
      <c r="I4" s="422"/>
      <c r="J4" s="422"/>
      <c r="K4" s="422"/>
    </row>
    <row r="5" spans="1:31" s="2043" customFormat="1" ht="18" customHeight="1" thickBot="1">
      <c r="A5" s="429"/>
      <c r="B5" s="430">
        <f ca="1">ROUND(B2/(IF(B1="",'数据-汇总表'!D3,INDIRECT("'数据-取费表'!R"&amp;$K$1))/666.67),0)</f>
        <v>2383</v>
      </c>
      <c r="C5" s="431" t="s">
        <v>466</v>
      </c>
      <c r="D5" s="422"/>
      <c r="E5" s="422"/>
      <c r="F5" s="422"/>
      <c r="G5" s="422"/>
      <c r="H5" s="422"/>
      <c r="I5" s="422"/>
      <c r="J5" s="422"/>
      <c r="K5" s="422"/>
    </row>
    <row r="6" spans="1:31" s="2113" customFormat="1" ht="16.5" customHeight="1">
      <c r="A6" s="2828" t="s">
        <v>1836</v>
      </c>
      <c r="B6" s="2829"/>
      <c r="C6" s="2830">
        <f>SUM(C10:K10)</f>
        <v>1183359.5327999999</v>
      </c>
      <c r="D6" s="2829"/>
      <c r="E6" s="2829"/>
      <c r="F6" s="2829"/>
      <c r="G6" s="2829"/>
      <c r="H6" s="2829"/>
      <c r="I6" s="2829"/>
      <c r="J6" s="2829"/>
      <c r="K6" s="2831"/>
    </row>
    <row r="7" spans="1:31" s="2115" customFormat="1" ht="15">
      <c r="A7" s="2832" t="s">
        <v>467</v>
      </c>
      <c r="B7" s="2833"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4">
        <f>建安取值!C9</f>
        <v>35344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334812</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1841</v>
      </c>
      <c r="B10" s="2822" t="s">
        <v>471</v>
      </c>
      <c r="C10" s="3029">
        <f>C8*C9/10000</f>
        <v>1183359.5327999999</v>
      </c>
      <c r="D10" s="3029"/>
      <c r="E10" s="3029"/>
      <c r="F10" s="2837"/>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1837</v>
      </c>
      <c r="B11" s="2829"/>
      <c r="C11" s="2829"/>
      <c r="D11" s="2829"/>
      <c r="E11" s="2829"/>
      <c r="F11" s="2829"/>
      <c r="G11" s="2829"/>
      <c r="H11" s="2829"/>
      <c r="I11" s="2829"/>
      <c r="J11" s="2829"/>
      <c r="K11" s="2831"/>
    </row>
    <row r="12" spans="1:31" s="2087" customFormat="1" ht="13.5" customHeight="1">
      <c r="A12" s="2840" t="s">
        <v>467</v>
      </c>
      <c r="B12" s="2812" t="s">
        <v>468</v>
      </c>
      <c r="C12" s="2841" t="s">
        <v>472</v>
      </c>
      <c r="D12" s="2808" t="s">
        <v>473</v>
      </c>
      <c r="E12" s="2808" t="s">
        <v>474</v>
      </c>
      <c r="F12" s="2808" t="s">
        <v>475</v>
      </c>
      <c r="G12" s="2812"/>
      <c r="H12" s="2813"/>
      <c r="I12" s="2813"/>
      <c r="J12" s="2813"/>
      <c r="K12" s="2814"/>
    </row>
    <row r="13" spans="1:31" s="2118" customFormat="1" ht="13.5" customHeight="1">
      <c r="A13" s="2842" t="s">
        <v>1842</v>
      </c>
      <c r="B13" s="2843" t="s">
        <v>476</v>
      </c>
      <c r="C13" s="450">
        <f ca="1">IF(B1="",'数据-取费表'!P16,INDIRECT("'数据-取费表'!p"&amp;$K$1)+INDIRECT("'数据-取费表'!t"&amp;$K$1))</f>
        <v>167406</v>
      </c>
      <c r="D13" s="2844"/>
      <c r="E13" s="2845"/>
      <c r="F13" s="2846"/>
      <c r="G13" s="2812"/>
      <c r="H13" s="2813"/>
      <c r="I13" s="2813"/>
      <c r="J13" s="2813"/>
      <c r="K13" s="2814"/>
    </row>
    <row r="14" spans="1:31" s="2118" customFormat="1" ht="13.5" customHeight="1">
      <c r="A14" s="2842" t="s">
        <v>1843</v>
      </c>
      <c r="B14" s="2843" t="s">
        <v>477</v>
      </c>
      <c r="C14" s="53">
        <f ca="1">ROUND(C13*F14,0)</f>
        <v>5022</v>
      </c>
      <c r="D14" s="2844"/>
      <c r="E14" s="2845"/>
      <c r="F14" s="2847">
        <f>'数据-取费表'!B33</f>
        <v>0.03</v>
      </c>
      <c r="G14" s="2812" t="s">
        <v>478</v>
      </c>
      <c r="H14" s="2813"/>
      <c r="I14" s="2813"/>
      <c r="J14" s="2813"/>
      <c r="K14" s="2814"/>
    </row>
    <row r="15" spans="1:31" s="2118" customFormat="1" ht="13.5" customHeight="1">
      <c r="A15" s="2842" t="s">
        <v>1844</v>
      </c>
      <c r="B15" s="2843" t="s">
        <v>479</v>
      </c>
      <c r="C15" s="53">
        <f ca="1">ROUND(IF(B1="",SUMIF('数据-取费表'!C:C,"住宅",'数据-取费表'!P:P)*F15,IF(INDIRECT("'数据-取费表'!c"&amp;$K$1)="住宅",INDIRECT("'数据-取费表'!P"&amp;$K$1)*F15,0)),0)</f>
        <v>8370</v>
      </c>
      <c r="D15" s="2844"/>
      <c r="E15" s="2845"/>
      <c r="F15" s="2847">
        <f>'数据-取费表'!B34</f>
        <v>0.05</v>
      </c>
      <c r="G15" s="2812" t="s">
        <v>480</v>
      </c>
      <c r="H15" s="2813"/>
      <c r="I15" s="2813"/>
      <c r="J15" s="2813"/>
      <c r="K15" s="2814"/>
    </row>
    <row r="16" spans="1:31" s="2119" customFormat="1" ht="13.5" customHeight="1">
      <c r="A16" s="2842" t="s">
        <v>1845</v>
      </c>
      <c r="B16" s="2843" t="s">
        <v>481</v>
      </c>
      <c r="C16" s="53">
        <f ca="1">ROUND(D16*E16/10000,0)</f>
        <v>6696</v>
      </c>
      <c r="D16" s="2844">
        <f ca="1">IF(B1="",'数据-汇总表'!E3,INDIRECT("'数据-取费表'!K"&amp;$K$1)+INDIRECT("'数据-取费表'!S"&amp;$K$1))</f>
        <v>334812</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1846</v>
      </c>
      <c r="B17" s="2843" t="s">
        <v>482</v>
      </c>
      <c r="C17" s="2848">
        <f ca="1">ROUND(C13*F17,0)</f>
        <v>2511</v>
      </c>
      <c r="D17" s="475"/>
      <c r="E17" s="2848"/>
      <c r="F17" s="2849">
        <f>'数据-取费表'!B36</f>
        <v>1.4999999999999999E-2</v>
      </c>
      <c r="G17" s="261" t="s">
        <v>483</v>
      </c>
      <c r="H17" s="2815"/>
      <c r="I17" s="2815"/>
      <c r="J17" s="2815"/>
      <c r="K17" s="279"/>
    </row>
    <row r="18" spans="1:14" s="2118" customFormat="1" ht="13.5" customHeight="1">
      <c r="A18" s="2850" t="s">
        <v>1847</v>
      </c>
      <c r="B18" s="2851" t="s">
        <v>484</v>
      </c>
      <c r="C18" s="2852">
        <f ca="1">SUM(C13:C17)</f>
        <v>190005</v>
      </c>
      <c r="D18" s="2853"/>
      <c r="E18" s="468"/>
      <c r="F18" s="468"/>
      <c r="G18" s="2816" t="s">
        <v>2426</v>
      </c>
      <c r="H18" s="2817"/>
      <c r="I18" s="2817"/>
      <c r="J18" s="2817"/>
      <c r="K18" s="2818"/>
    </row>
    <row r="19" spans="1:14" s="2118" customFormat="1" ht="13.5" customHeight="1">
      <c r="A19" s="2850" t="s">
        <v>1848</v>
      </c>
      <c r="B19" s="2851" t="s">
        <v>485</v>
      </c>
      <c r="C19" s="2808">
        <f ca="1">ROUND(D19*E19/10000,0)</f>
        <v>0</v>
      </c>
      <c r="D19" s="2854">
        <f ca="1">D16</f>
        <v>334812</v>
      </c>
      <c r="E19" s="2808">
        <f>'数据-取费表'!B32</f>
        <v>0</v>
      </c>
      <c r="F19" s="468"/>
      <c r="G19" s="2812" t="s">
        <v>486</v>
      </c>
      <c r="H19" s="2813"/>
      <c r="I19" s="2817"/>
      <c r="J19" s="2817"/>
      <c r="K19" s="2818"/>
    </row>
    <row r="20" spans="1:14" s="2118" customFormat="1" ht="13.5" customHeight="1">
      <c r="A20" s="2850" t="s">
        <v>1849</v>
      </c>
      <c r="B20" s="2851" t="s">
        <v>487</v>
      </c>
      <c r="C20" s="2808">
        <f ca="1">C21+C22-IF(B1="",'数据-取费表'!B29,IF(G20="已全部缴纳",C21+C22,H20))</f>
        <v>5357</v>
      </c>
      <c r="D20" s="2854"/>
      <c r="E20" s="2808"/>
      <c r="F20" s="2855"/>
      <c r="G20" s="3089" t="s">
        <v>3194</v>
      </c>
      <c r="H20" s="2810"/>
      <c r="I20" s="2811" t="s">
        <v>2647</v>
      </c>
      <c r="J20" s="2817"/>
      <c r="K20" s="2818"/>
    </row>
    <row r="21" spans="1:14" s="2118" customFormat="1" ht="13.5" customHeight="1">
      <c r="A21" s="2842" t="s">
        <v>1850</v>
      </c>
      <c r="B21" s="2843" t="s">
        <v>488</v>
      </c>
      <c r="C21" s="53">
        <f ca="1">ROUND(D21*E21/10000,0)</f>
        <v>5357</v>
      </c>
      <c r="D21" s="2844">
        <f ca="1">IF(B1="",'数据-汇总表'!E5,IF(INDIRECT("'数据-取费表'!c"&amp;$K$1)="住宅",INDIRECT("'数据-取费表'!k"&amp;$K$1),0))</f>
        <v>334812</v>
      </c>
      <c r="E21" s="53">
        <f>'数据-取费表'!B27</f>
        <v>160</v>
      </c>
      <c r="F21" s="2847"/>
      <c r="G21" s="26"/>
      <c r="H21" s="51"/>
      <c r="I21" s="51"/>
      <c r="J21" s="51"/>
      <c r="K21" s="2819"/>
    </row>
    <row r="22" spans="1:14" s="2118" customFormat="1" ht="13.5" customHeight="1">
      <c r="A22" s="2842" t="s">
        <v>1851</v>
      </c>
      <c r="B22" s="2843" t="s">
        <v>489</v>
      </c>
      <c r="C22" s="53">
        <f ca="1">ROUND(D22*E22/10000,0)</f>
        <v>0</v>
      </c>
      <c r="D22" s="2844">
        <f ca="1">IF(B1="",'数据-汇总表'!E6,IF(INDIRECT("'数据-取费表'!c"&amp;$K$1)="住宅",INDIRECT("'数据-取费表'!s"&amp;$K$1),INDIRECT("'数据-取费表'!k"&amp;$K$1)+INDIRECT("'数据-取费表'!s"&amp;$K$1)))</f>
        <v>0</v>
      </c>
      <c r="E22" s="53">
        <f>'数据-取费表'!B28</f>
        <v>200</v>
      </c>
      <c r="F22" s="2847"/>
      <c r="G22" s="26"/>
      <c r="H22" s="51"/>
      <c r="I22" s="51"/>
      <c r="J22" s="51"/>
      <c r="K22" s="2819"/>
    </row>
    <row r="23" spans="1:14" s="2118" customFormat="1" ht="13.5" customHeight="1">
      <c r="A23" s="2850" t="s">
        <v>1852</v>
      </c>
      <c r="B23" s="3035" t="s">
        <v>2829</v>
      </c>
      <c r="C23" s="2852">
        <f ca="1">ROUND((C18+C19+C20)*F23,0)</f>
        <v>3907</v>
      </c>
      <c r="D23" s="468"/>
      <c r="E23" s="468"/>
      <c r="F23" s="2856">
        <f>'数据-取费表'!B37</f>
        <v>0.02</v>
      </c>
      <c r="G23" s="2812" t="s">
        <v>2427</v>
      </c>
      <c r="H23" s="2813"/>
      <c r="I23" s="2813"/>
      <c r="J23" s="2813"/>
      <c r="K23" s="2814"/>
      <c r="L23" s="2120"/>
      <c r="M23" s="2120"/>
      <c r="N23" s="2120"/>
    </row>
    <row r="24" spans="1:14" s="2118" customFormat="1" ht="13.5" customHeight="1">
      <c r="A24" s="2850" t="s">
        <v>1853</v>
      </c>
      <c r="B24" s="3035" t="s">
        <v>2832</v>
      </c>
      <c r="C24" s="2852">
        <f>ROUND(C6*F24,0)</f>
        <v>23667</v>
      </c>
      <c r="D24" s="475"/>
      <c r="E24" s="473"/>
      <c r="F24" s="2856">
        <f>'数据-取费表'!B38</f>
        <v>0.02</v>
      </c>
      <c r="G24" s="2821" t="s">
        <v>496</v>
      </c>
      <c r="H24" s="2815"/>
      <c r="I24" s="2815"/>
      <c r="J24" s="2815"/>
      <c r="K24" s="279"/>
      <c r="L24" s="2120"/>
      <c r="M24" s="2120"/>
      <c r="N24" s="2120"/>
    </row>
    <row r="25" spans="1:14" s="2121" customFormat="1" ht="13.5" customHeight="1">
      <c r="A25" s="2850" t="s">
        <v>1854</v>
      </c>
      <c r="B25" s="3035" t="s">
        <v>2830</v>
      </c>
      <c r="C25" s="3311">
        <f>ROUND(F25,4)</f>
        <v>3.0499999999999999E-2</v>
      </c>
      <c r="D25" s="462" t="s">
        <v>2824</v>
      </c>
      <c r="E25" s="469"/>
      <c r="F25" s="2856">
        <f>'数据-取费表'!B48+'数据-取费表'!B49</f>
        <v>3.0499999999999999E-2</v>
      </c>
      <c r="G25" s="2820" t="s">
        <v>2285</v>
      </c>
      <c r="H25" s="2813"/>
      <c r="I25" s="2813"/>
      <c r="J25" s="2813"/>
      <c r="K25" s="2814"/>
    </row>
    <row r="26" spans="1:14" s="2120" customFormat="1" ht="13.5" customHeight="1">
      <c r="A26" s="2850" t="s">
        <v>1855</v>
      </c>
      <c r="B26" s="3036" t="s">
        <v>2831</v>
      </c>
      <c r="C26" s="2857">
        <f ca="1">C28</f>
        <v>16071</v>
      </c>
      <c r="D26" s="467">
        <f ca="1">C27</f>
        <v>0.15390000000000001</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1850</v>
      </c>
      <c r="B27" s="2858" t="s">
        <v>493</v>
      </c>
      <c r="C27" s="2859">
        <f ca="1">ROUND(IF('数据-取费表'!B22&lt;=1,(1+C25)*F26*'数据-取费表'!B24,(1+C25)*(POWER((1+F26),'数据-取费表'!B24)-1)),4)</f>
        <v>0.15390000000000001</v>
      </c>
      <c r="D27" s="472"/>
      <c r="E27" s="473"/>
      <c r="F27" s="474"/>
      <c r="G27" s="2574"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1851</v>
      </c>
      <c r="B28" s="2858" t="s">
        <v>2833</v>
      </c>
      <c r="C28" s="2860">
        <f ca="1">ROUND(IF('数据-取费表'!B22&lt;=1,(C18+C19+C20+C23+C24)*F26*'数据-取费表'!B24/2,(C18+C19+C20+C23+C24)*(POWER((1+F26),'数据-取费表'!B24/2)-1)),0)</f>
        <v>16071</v>
      </c>
      <c r="D28" s="472"/>
      <c r="E28" s="473"/>
      <c r="F28" s="474"/>
      <c r="G28" s="2574" t="str">
        <f>IF('数据-取费表'!B22&lt;=1,"（1）-（4）项×年利率×建设期÷2","（1）-（4）项×((1+年利率)^(建设期÷2)-1)")</f>
        <v>（1）-（4）项×((1+年利率)^(建设期÷2)-1)</v>
      </c>
      <c r="H28" s="2815"/>
      <c r="I28" s="2815"/>
      <c r="J28" s="2815"/>
      <c r="K28" s="279"/>
    </row>
    <row r="29" spans="1:14" s="2122" customFormat="1" ht="13.5" customHeight="1">
      <c r="A29" s="2861" t="s">
        <v>1856</v>
      </c>
      <c r="B29" s="2851" t="s">
        <v>494</v>
      </c>
      <c r="C29" s="2852">
        <f>ROUND(C6*F29/(1+'数据-取费表'!C42),0)</f>
        <v>61985</v>
      </c>
      <c r="D29" s="468"/>
      <c r="E29" s="468"/>
      <c r="F29" s="3037">
        <f>'数据-取费表'!B41</f>
        <v>5.5000000000000007E-2</v>
      </c>
      <c r="G29" s="2821" t="s">
        <v>495</v>
      </c>
      <c r="H29" s="2813"/>
      <c r="I29" s="2813"/>
      <c r="J29" s="2813"/>
      <c r="K29" s="2814"/>
    </row>
    <row r="30" spans="1:14" s="2123" customFormat="1" ht="13.5" customHeight="1">
      <c r="A30" s="1636" t="s">
        <v>1857</v>
      </c>
      <c r="B30" s="2862" t="s">
        <v>497</v>
      </c>
      <c r="C30" s="2857">
        <f ca="1">C31</f>
        <v>300992</v>
      </c>
      <c r="D30" s="477">
        <f ca="1">C32</f>
        <v>0.18440000000000001</v>
      </c>
      <c r="E30" s="469" t="s">
        <v>492</v>
      </c>
      <c r="F30" s="471"/>
      <c r="G30" s="2820" t="s">
        <v>2968</v>
      </c>
      <c r="H30" s="2813"/>
      <c r="I30" s="2813"/>
      <c r="J30" s="2813"/>
      <c r="K30" s="2814"/>
    </row>
    <row r="31" spans="1:14" s="2122" customFormat="1" ht="13.5" customHeight="1">
      <c r="A31" s="803" t="s">
        <v>1850</v>
      </c>
      <c r="B31" s="2858"/>
      <c r="C31" s="450">
        <f ca="1">C18+C19+C20+C23+C24+C26+C29</f>
        <v>300992</v>
      </c>
      <c r="D31" s="472"/>
      <c r="E31" s="473"/>
      <c r="F31" s="474"/>
      <c r="G31" s="261"/>
      <c r="H31" s="2815"/>
      <c r="I31" s="2815"/>
      <c r="J31" s="2815"/>
      <c r="K31" s="279"/>
    </row>
    <row r="32" spans="1:14" s="2122" customFormat="1" ht="13.5" customHeight="1">
      <c r="A32" s="803" t="s">
        <v>1851</v>
      </c>
      <c r="B32" s="2858"/>
      <c r="C32" s="53">
        <f ca="1">ROUND(C25+D26,4)</f>
        <v>0.18440000000000001</v>
      </c>
      <c r="D32" s="472"/>
      <c r="E32" s="473"/>
      <c r="F32" s="474"/>
      <c r="G32" s="261"/>
      <c r="H32" s="2815"/>
      <c r="I32" s="2815"/>
      <c r="J32" s="2815"/>
      <c r="K32" s="279"/>
    </row>
    <row r="33" spans="1:11" s="2124" customFormat="1" ht="13.5" customHeight="1">
      <c r="A33" s="3034" t="s">
        <v>2828</v>
      </c>
      <c r="B33" s="3032" t="s">
        <v>2826</v>
      </c>
      <c r="C33" s="478">
        <f ca="1">C35</f>
        <v>78028</v>
      </c>
      <c r="D33" s="467">
        <f ca="1">C34</f>
        <v>0.36070000000000002</v>
      </c>
      <c r="E33" s="469" t="s">
        <v>492</v>
      </c>
      <c r="F33" s="479">
        <f ca="1">IF(B1="",'数据-取费表'!Q16,INDIRECT("'数据-取费表'!q"&amp;$K$1))</f>
        <v>0.35</v>
      </c>
      <c r="G33" s="2816"/>
      <c r="H33" s="2817"/>
      <c r="I33" s="2817"/>
      <c r="J33" s="2817"/>
      <c r="K33" s="2818"/>
    </row>
    <row r="34" spans="1:11" s="2125" customFormat="1" ht="13.5" customHeight="1">
      <c r="A34" s="375" t="s">
        <v>1850</v>
      </c>
      <c r="B34" s="2863" t="s">
        <v>498</v>
      </c>
      <c r="C34" s="472">
        <f ca="1">ROUND((1+C25)*F33,4)</f>
        <v>0.36070000000000002</v>
      </c>
      <c r="D34" s="472"/>
      <c r="E34" s="473"/>
      <c r="F34" s="480"/>
      <c r="G34" s="261" t="s">
        <v>2286</v>
      </c>
      <c r="H34" s="2815"/>
      <c r="I34" s="2815"/>
      <c r="J34" s="2815"/>
      <c r="K34" s="279"/>
    </row>
    <row r="35" spans="1:11" s="2125" customFormat="1" ht="13.5" customHeight="1" thickBot="1">
      <c r="A35" s="1637" t="s">
        <v>1851</v>
      </c>
      <c r="B35" s="3033" t="s">
        <v>2834</v>
      </c>
      <c r="C35" s="1629">
        <f ca="1">ROUND((C18+C19+C20+C23+C24)*F33,0)</f>
        <v>78028</v>
      </c>
      <c r="D35" s="1630"/>
      <c r="E35" s="2864"/>
      <c r="F35" s="1631"/>
      <c r="G35" s="2822"/>
      <c r="H35" s="2823"/>
      <c r="I35" s="2823"/>
      <c r="J35" s="2823"/>
      <c r="K35" s="2824"/>
    </row>
    <row r="36" spans="1:11" s="2087" customFormat="1" ht="13.5" customHeight="1" thickBot="1">
      <c r="A36" s="284" t="s">
        <v>1838</v>
      </c>
      <c r="B36" s="2826"/>
      <c r="C36" s="2865">
        <f ca="1">ROUND((C6-C30-C33)*F36/(1+D30+D33),0)</f>
        <v>520574</v>
      </c>
      <c r="D36" s="2826"/>
      <c r="E36" s="3181" t="s">
        <v>2978</v>
      </c>
      <c r="F36" s="2826">
        <f ca="1">基准地价住宅!C20</f>
        <v>1</v>
      </c>
      <c r="G36" s="2825" t="s">
        <v>2835</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09"/>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167406</v>
      </c>
      <c r="D13" s="451"/>
      <c r="E13" s="365"/>
      <c r="F13" s="452"/>
      <c r="G13" s="444"/>
      <c r="H13" s="447"/>
      <c r="I13" s="447"/>
      <c r="J13" s="447"/>
      <c r="K13" s="448"/>
    </row>
    <row r="14" spans="1:41" s="2118" customFormat="1" ht="13.5" customHeight="1">
      <c r="A14" s="1634" t="s">
        <v>1843</v>
      </c>
      <c r="B14" s="449" t="s">
        <v>477</v>
      </c>
      <c r="C14" s="53">
        <f ca="1">ROUND(C13*F14,0)</f>
        <v>5022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8370</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6696</v>
      </c>
      <c r="D16" s="451">
        <f ca="1">IF(B1="",'数据-汇总表'!E3,INDIRECT("'数据-取费表'!K"&amp;$K$1)+INDIRECT("'数据-取费表'!S"&amp;$K$1))</f>
        <v>334812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2511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190005</v>
      </c>
      <c r="D18" s="461"/>
      <c r="E18" s="462"/>
      <c r="F18" s="462"/>
      <c r="G18" s="1327" t="s">
        <v>2428</v>
      </c>
      <c r="H18" s="447"/>
      <c r="I18" s="447"/>
      <c r="J18" s="447"/>
      <c r="K18" s="448"/>
    </row>
    <row r="19" spans="1:14" s="2121" customFormat="1" ht="13.5" customHeight="1">
      <c r="A19" s="1635" t="s">
        <v>1848</v>
      </c>
      <c r="B19" s="459" t="s">
        <v>490</v>
      </c>
      <c r="C19" s="460">
        <f ca="1">ROUND(C18*F19,0)</f>
        <v>3800</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0">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13971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13971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2" t="s">
        <v>2827</v>
      </c>
      <c r="C24" s="478">
        <f ca="1">C25</f>
        <v>67832</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67832</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1">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299835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82" t="s">
        <v>2979</v>
      </c>
      <c r="F32" s="483">
        <f ca="1">基准地价住宅!C20</f>
        <v>1</v>
      </c>
      <c r="G32" s="2485" t="s">
        <v>2969</v>
      </c>
      <c r="H32" s="483"/>
      <c r="I32" s="483"/>
      <c r="J32" s="483"/>
      <c r="K32" s="485"/>
    </row>
    <row r="33" spans="1:3">
      <c r="A33" s="2126" t="s">
        <v>2980</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500" t="s">
        <v>519</v>
      </c>
      <c r="D6" s="3501"/>
      <c r="E6" s="3500" t="s">
        <v>520</v>
      </c>
      <c r="F6" s="3501"/>
      <c r="G6" s="3500" t="s">
        <v>521</v>
      </c>
      <c r="H6" s="3501"/>
      <c r="I6" s="3500" t="s">
        <v>522</v>
      </c>
      <c r="J6" s="3501"/>
      <c r="K6" s="514" t="s">
        <v>523</v>
      </c>
      <c r="L6" s="2135"/>
      <c r="M6" s="2134"/>
      <c r="N6" s="2134"/>
      <c r="O6" s="2136"/>
      <c r="P6" s="3502" t="s">
        <v>524</v>
      </c>
      <c r="Q6" s="3503"/>
      <c r="R6" s="3508" t="s">
        <v>520</v>
      </c>
      <c r="S6" s="3509"/>
      <c r="T6" s="3508" t="s">
        <v>521</v>
      </c>
      <c r="U6" s="3509"/>
      <c r="V6" s="3495" t="s">
        <v>522</v>
      </c>
      <c r="W6" s="3495"/>
      <c r="X6" s="1568"/>
      <c r="Y6" s="3508" t="s">
        <v>524</v>
      </c>
      <c r="Z6" s="3509"/>
      <c r="AA6" s="3497" t="s">
        <v>520</v>
      </c>
      <c r="AB6" s="3498" t="s">
        <v>521</v>
      </c>
      <c r="AC6" s="3497" t="s">
        <v>522</v>
      </c>
    </row>
    <row r="7" spans="1:30" ht="20.25">
      <c r="A7" s="515"/>
      <c r="B7" s="516"/>
      <c r="C7" s="3516" t="s">
        <v>2925</v>
      </c>
      <c r="D7" s="3517"/>
      <c r="E7" s="3516" t="s">
        <v>2926</v>
      </c>
      <c r="F7" s="3517"/>
      <c r="G7" s="3516" t="s">
        <v>2927</v>
      </c>
      <c r="H7" s="3517"/>
      <c r="I7" s="3516" t="s">
        <v>2928</v>
      </c>
      <c r="J7" s="3517"/>
      <c r="K7" s="514"/>
      <c r="L7" s="2135"/>
      <c r="M7" s="2134"/>
      <c r="N7" s="2134"/>
      <c r="O7" s="2136"/>
      <c r="P7" s="3504"/>
      <c r="Q7" s="3505"/>
      <c r="R7" s="3510"/>
      <c r="S7" s="3511"/>
      <c r="T7" s="3510"/>
      <c r="U7" s="3511"/>
      <c r="V7" s="3495"/>
      <c r="W7" s="3495"/>
      <c r="X7" s="1568"/>
      <c r="Y7" s="3510"/>
      <c r="Z7" s="3511"/>
      <c r="AA7" s="3498"/>
      <c r="AB7" s="3498"/>
      <c r="AC7" s="3498"/>
    </row>
    <row r="8" spans="1:30" ht="21" thickBot="1">
      <c r="A8" s="515"/>
      <c r="B8" s="516"/>
      <c r="C8" s="3518" t="s">
        <v>2929</v>
      </c>
      <c r="D8" s="3519"/>
      <c r="E8" s="3518" t="s">
        <v>2929</v>
      </c>
      <c r="F8" s="3519"/>
      <c r="G8" s="3514" t="s">
        <v>2929</v>
      </c>
      <c r="H8" s="3515"/>
      <c r="I8" s="3514" t="s">
        <v>2929</v>
      </c>
      <c r="J8" s="3515"/>
      <c r="K8" s="514" t="s">
        <v>525</v>
      </c>
      <c r="L8" s="2135"/>
      <c r="M8" s="2134"/>
      <c r="N8" s="2134"/>
      <c r="O8" s="2136"/>
      <c r="P8" s="3506"/>
      <c r="Q8" s="3507"/>
      <c r="R8" s="3510"/>
      <c r="S8" s="3511"/>
      <c r="T8" s="3512"/>
      <c r="U8" s="3513"/>
      <c r="V8" s="3495"/>
      <c r="W8" s="3495"/>
      <c r="X8" s="1568"/>
      <c r="Y8" s="3512"/>
      <c r="Z8" s="3513"/>
      <c r="AA8" s="3499"/>
      <c r="AB8" s="3499"/>
      <c r="AC8" s="3499"/>
    </row>
    <row r="9" spans="1:30" s="1220" customFormat="1" ht="21" thickBot="1">
      <c r="A9" s="2912"/>
      <c r="B9" s="2919" t="s">
        <v>526</v>
      </c>
      <c r="C9" s="2911">
        <f>'数据-取费表'!B2</f>
        <v>43711</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525" t="s">
        <v>527</v>
      </c>
      <c r="Q9" s="3527"/>
      <c r="R9" s="1569" t="s">
        <v>8</v>
      </c>
      <c r="S9" s="1570">
        <f t="shared" ref="S9:S17" si="0">F9</f>
        <v>0</v>
      </c>
      <c r="T9" s="1569" t="s">
        <v>8</v>
      </c>
      <c r="U9" s="1570">
        <f t="shared" ref="U9:U17" si="1">H9</f>
        <v>0</v>
      </c>
      <c r="V9" s="1569" t="s">
        <v>8</v>
      </c>
      <c r="W9" s="1570">
        <f t="shared" ref="W9:W17" si="2">J9</f>
        <v>0</v>
      </c>
      <c r="X9" s="1571"/>
      <c r="Y9" s="3525" t="s">
        <v>527</v>
      </c>
      <c r="Z9" s="3526"/>
      <c r="AA9" s="1572" t="e">
        <f>D9/F9</f>
        <v>#DIV/0!</v>
      </c>
      <c r="AB9" s="1572" t="e">
        <f>D9/H9</f>
        <v>#DIV/0!</v>
      </c>
      <c r="AC9" s="1572" t="e">
        <f>D9/J9</f>
        <v>#DIV/0!</v>
      </c>
    </row>
    <row r="10" spans="1:30" s="1220" customFormat="1" ht="21" thickBot="1">
      <c r="A10" s="2913"/>
      <c r="B10" s="2920"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525" t="s">
        <v>530</v>
      </c>
      <c r="Q10" s="3526"/>
      <c r="R10" s="1569" t="s">
        <v>8</v>
      </c>
      <c r="S10" s="1570">
        <f t="shared" si="0"/>
        <v>0</v>
      </c>
      <c r="T10" s="1569" t="s">
        <v>8</v>
      </c>
      <c r="U10" s="1570">
        <f t="shared" si="1"/>
        <v>0</v>
      </c>
      <c r="V10" s="1569" t="s">
        <v>8</v>
      </c>
      <c r="W10" s="1570">
        <f t="shared" si="2"/>
        <v>0</v>
      </c>
      <c r="X10" s="1571"/>
      <c r="Y10" s="3525" t="s">
        <v>530</v>
      </c>
      <c r="Z10" s="3526"/>
      <c r="AA10" s="1572" t="e">
        <f t="shared" ref="AA10:AA47" si="3">D10/F10</f>
        <v>#DIV/0!</v>
      </c>
      <c r="AB10" s="1572" t="e">
        <f t="shared" ref="AB10:AB47" si="4">D10/H10</f>
        <v>#DIV/0!</v>
      </c>
      <c r="AC10" s="1572" t="e">
        <f t="shared" ref="AC10:AC47" si="5">D10/J10</f>
        <v>#DIV/0!</v>
      </c>
    </row>
    <row r="11" spans="1:30" s="1220" customFormat="1" ht="20.25">
      <c r="A11" s="2914"/>
      <c r="B11" s="2921" t="s">
        <v>2752</v>
      </c>
      <c r="C11" s="2908"/>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94" t="s">
        <v>532</v>
      </c>
      <c r="Q11" s="1151" t="str">
        <f t="shared" ref="Q11:Q17" si="6">B11</f>
        <v>用途</v>
      </c>
      <c r="R11" s="1569" t="s">
        <v>8</v>
      </c>
      <c r="S11" s="1570">
        <f t="shared" si="0"/>
        <v>100</v>
      </c>
      <c r="T11" s="1569" t="s">
        <v>8</v>
      </c>
      <c r="U11" s="1570">
        <f t="shared" si="1"/>
        <v>100</v>
      </c>
      <c r="V11" s="1569" t="s">
        <v>8</v>
      </c>
      <c r="W11" s="1570">
        <f t="shared" si="2"/>
        <v>100</v>
      </c>
      <c r="X11" s="1571"/>
      <c r="Y11" s="3431" t="s">
        <v>533</v>
      </c>
      <c r="Z11" s="1150" t="str">
        <f t="shared" ref="Z11:Z17" si="7">Q11</f>
        <v>用途</v>
      </c>
      <c r="AA11" s="1572">
        <f t="shared" si="3"/>
        <v>1</v>
      </c>
      <c r="AB11" s="1572">
        <f t="shared" si="4"/>
        <v>1</v>
      </c>
      <c r="AC11" s="1572">
        <f t="shared" si="5"/>
        <v>1</v>
      </c>
    </row>
    <row r="12" spans="1:30" s="1338" customFormat="1" ht="27">
      <c r="A12" s="2915"/>
      <c r="B12" s="2920"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94"/>
      <c r="Q12" s="1151" t="str">
        <f t="shared" si="6"/>
        <v>土地使用年限（年）</v>
      </c>
      <c r="R12" s="1569" t="s">
        <v>8</v>
      </c>
      <c r="S12" s="1570">
        <f t="shared" si="0"/>
        <v>100</v>
      </c>
      <c r="T12" s="1569" t="s">
        <v>8</v>
      </c>
      <c r="U12" s="1570">
        <f t="shared" si="1"/>
        <v>100</v>
      </c>
      <c r="V12" s="1569" t="s">
        <v>8</v>
      </c>
      <c r="W12" s="1570">
        <f t="shared" si="2"/>
        <v>100</v>
      </c>
      <c r="X12" s="1571"/>
      <c r="Y12" s="3431"/>
      <c r="Z12" s="1150" t="str">
        <f t="shared" si="7"/>
        <v>土地使用年限（年）</v>
      </c>
      <c r="AA12" s="1572">
        <f t="shared" si="3"/>
        <v>1</v>
      </c>
      <c r="AB12" s="1572">
        <f t="shared" si="4"/>
        <v>1</v>
      </c>
      <c r="AC12" s="1572">
        <f t="shared" si="5"/>
        <v>1</v>
      </c>
    </row>
    <row r="13" spans="1:30" ht="20.25">
      <c r="A13" s="2916"/>
      <c r="B13" s="2920"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94"/>
      <c r="Q13" s="1151" t="str">
        <f t="shared" si="6"/>
        <v>容积率</v>
      </c>
      <c r="R13" s="1569" t="s">
        <v>8</v>
      </c>
      <c r="S13" s="1570" t="e">
        <f t="shared" si="0"/>
        <v>#N/A</v>
      </c>
      <c r="T13" s="1569" t="s">
        <v>8</v>
      </c>
      <c r="U13" s="1570" t="e">
        <f t="shared" si="1"/>
        <v>#N/A</v>
      </c>
      <c r="V13" s="1569" t="s">
        <v>8</v>
      </c>
      <c r="W13" s="1570" t="e">
        <f t="shared" si="2"/>
        <v>#N/A</v>
      </c>
      <c r="X13" s="1571"/>
      <c r="Y13" s="3431"/>
      <c r="Z13" s="1150" t="str">
        <f t="shared" si="7"/>
        <v>容积率</v>
      </c>
      <c r="AA13" s="1572" t="e">
        <f t="shared" si="3"/>
        <v>#N/A</v>
      </c>
      <c r="AB13" s="1572" t="e">
        <f t="shared" si="4"/>
        <v>#N/A</v>
      </c>
      <c r="AC13" s="1572" t="e">
        <f t="shared" si="5"/>
        <v>#N/A</v>
      </c>
    </row>
    <row r="14" spans="1:30" s="1220" customFormat="1" ht="20.25">
      <c r="A14" s="2913"/>
      <c r="B14" s="2922" t="s">
        <v>2755</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94"/>
      <c r="Q14" s="1151" t="str">
        <f t="shared" si="6"/>
        <v>配建</v>
      </c>
      <c r="R14" s="1569" t="s">
        <v>8</v>
      </c>
      <c r="S14" s="1570">
        <f t="shared" si="0"/>
        <v>100</v>
      </c>
      <c r="T14" s="1569" t="s">
        <v>8</v>
      </c>
      <c r="U14" s="1570">
        <f t="shared" si="1"/>
        <v>100</v>
      </c>
      <c r="V14" s="1569" t="s">
        <v>8</v>
      </c>
      <c r="W14" s="1570">
        <f t="shared" si="2"/>
        <v>100</v>
      </c>
      <c r="X14" s="1571"/>
      <c r="Y14" s="3431"/>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94"/>
      <c r="Q15" s="1151">
        <f t="shared" si="6"/>
        <v>111</v>
      </c>
      <c r="R15" s="1569" t="s">
        <v>8</v>
      </c>
      <c r="S15" s="1570">
        <f t="shared" si="0"/>
        <v>100</v>
      </c>
      <c r="T15" s="1569" t="s">
        <v>8</v>
      </c>
      <c r="U15" s="1570">
        <f t="shared" si="1"/>
        <v>100</v>
      </c>
      <c r="V15" s="1569" t="s">
        <v>8</v>
      </c>
      <c r="W15" s="1570">
        <f t="shared" si="2"/>
        <v>100</v>
      </c>
      <c r="X15" s="1571"/>
      <c r="Y15" s="3431"/>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94"/>
      <c r="Q16" s="1151">
        <f t="shared" si="6"/>
        <v>111</v>
      </c>
      <c r="R16" s="1569" t="s">
        <v>8</v>
      </c>
      <c r="S16" s="1570">
        <f t="shared" si="0"/>
        <v>100</v>
      </c>
      <c r="T16" s="1569" t="s">
        <v>8</v>
      </c>
      <c r="U16" s="1570">
        <f t="shared" si="1"/>
        <v>100</v>
      </c>
      <c r="V16" s="1569" t="s">
        <v>8</v>
      </c>
      <c r="W16" s="1570">
        <f t="shared" si="2"/>
        <v>100</v>
      </c>
      <c r="X16" s="1571"/>
      <c r="Y16" s="3431"/>
      <c r="Z16" s="1150">
        <f t="shared" si="7"/>
        <v>111</v>
      </c>
      <c r="AA16" s="1572">
        <f>D16/F16</f>
        <v>1</v>
      </c>
      <c r="AB16" s="1572">
        <f>D16/H16</f>
        <v>1</v>
      </c>
      <c r="AC16" s="1572">
        <f>D16/J16</f>
        <v>1</v>
      </c>
    </row>
    <row r="17" spans="1:29" ht="99.75">
      <c r="A17" s="2910"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528" t="s">
        <v>537</v>
      </c>
      <c r="Q17" s="1573" t="str">
        <f t="shared" si="6"/>
        <v>居住社区成熟度</v>
      </c>
      <c r="R17" s="1574" t="s">
        <v>8</v>
      </c>
      <c r="S17" s="1575">
        <f t="shared" si="0"/>
        <v>100</v>
      </c>
      <c r="T17" s="1574" t="s">
        <v>8</v>
      </c>
      <c r="U17" s="1575">
        <f t="shared" si="1"/>
        <v>100</v>
      </c>
      <c r="V17" s="1574" t="s">
        <v>8</v>
      </c>
      <c r="W17" s="1575">
        <f t="shared" si="2"/>
        <v>100</v>
      </c>
      <c r="X17" s="1568"/>
      <c r="Y17" s="3528"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529"/>
      <c r="Q18" s="1573"/>
      <c r="R18" s="1574"/>
      <c r="S18" s="1575"/>
      <c r="T18" s="1574"/>
      <c r="U18" s="1575"/>
      <c r="V18" s="1574"/>
      <c r="W18" s="1575"/>
      <c r="X18" s="1568"/>
      <c r="Y18" s="3529"/>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529"/>
      <c r="Q19" s="1573" t="str">
        <f>B19</f>
        <v>商业繁华度</v>
      </c>
      <c r="R19" s="1574" t="s">
        <v>8</v>
      </c>
      <c r="S19" s="1575">
        <f>F19</f>
        <v>100</v>
      </c>
      <c r="T19" s="1574" t="s">
        <v>8</v>
      </c>
      <c r="U19" s="1575">
        <f>H19</f>
        <v>100</v>
      </c>
      <c r="V19" s="1574" t="s">
        <v>8</v>
      </c>
      <c r="W19" s="1575">
        <f>J19</f>
        <v>100</v>
      </c>
      <c r="X19" s="1568"/>
      <c r="Y19" s="3529"/>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529"/>
      <c r="Q20" s="1573"/>
      <c r="R20" s="1574"/>
      <c r="S20" s="1575"/>
      <c r="T20" s="1574"/>
      <c r="U20" s="1575"/>
      <c r="V20" s="1574"/>
      <c r="W20" s="1575"/>
      <c r="X20" s="1568"/>
      <c r="Y20" s="3529"/>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529"/>
      <c r="Q21" s="1573" t="str">
        <f>B21</f>
        <v>办公集聚程度</v>
      </c>
      <c r="R21" s="1574" t="s">
        <v>8</v>
      </c>
      <c r="S21" s="1575">
        <f>F21</f>
        <v>100</v>
      </c>
      <c r="T21" s="1574" t="s">
        <v>8</v>
      </c>
      <c r="U21" s="1575">
        <f>H21</f>
        <v>100</v>
      </c>
      <c r="V21" s="1574" t="s">
        <v>8</v>
      </c>
      <c r="W21" s="1575">
        <f>J21</f>
        <v>100</v>
      </c>
      <c r="X21" s="1568"/>
      <c r="Y21" s="352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529"/>
      <c r="Q22" s="1573"/>
      <c r="R22" s="1574"/>
      <c r="S22" s="1575"/>
      <c r="T22" s="1574"/>
      <c r="U22" s="1575"/>
      <c r="V22" s="1574"/>
      <c r="W22" s="1575"/>
      <c r="X22" s="1568"/>
      <c r="Y22" s="3529"/>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529"/>
      <c r="Q23" s="1573" t="str">
        <f>B23</f>
        <v>交通便捷度</v>
      </c>
      <c r="R23" s="1574" t="s">
        <v>8</v>
      </c>
      <c r="S23" s="1575">
        <f>F23</f>
        <v>100</v>
      </c>
      <c r="T23" s="1574" t="s">
        <v>8</v>
      </c>
      <c r="U23" s="1575">
        <f>H23</f>
        <v>100</v>
      </c>
      <c r="V23" s="1574" t="s">
        <v>8</v>
      </c>
      <c r="W23" s="1575">
        <f>J23</f>
        <v>100</v>
      </c>
      <c r="X23" s="1568"/>
      <c r="Y23" s="3529"/>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529"/>
      <c r="Q24" s="1573"/>
      <c r="R24" s="1574"/>
      <c r="S24" s="1575"/>
      <c r="T24" s="1574"/>
      <c r="U24" s="1575"/>
      <c r="V24" s="1574"/>
      <c r="W24" s="1575"/>
      <c r="X24" s="1568"/>
      <c r="Y24" s="3529"/>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529"/>
      <c r="Q25" s="1573" t="str">
        <f t="shared" ref="Q25:Q39" si="8">B25</f>
        <v>区域土地利用方向</v>
      </c>
      <c r="R25" s="1574" t="s">
        <v>8</v>
      </c>
      <c r="S25" s="1575">
        <f>F25</f>
        <v>100</v>
      </c>
      <c r="T25" s="1574" t="s">
        <v>8</v>
      </c>
      <c r="U25" s="1575">
        <f>H25</f>
        <v>100</v>
      </c>
      <c r="V25" s="1574" t="s">
        <v>8</v>
      </c>
      <c r="W25" s="1575">
        <f>J25</f>
        <v>100</v>
      </c>
      <c r="X25" s="1568"/>
      <c r="Y25" s="3529"/>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529"/>
      <c r="Q26" s="1573"/>
      <c r="R26" s="1574"/>
      <c r="S26" s="1575"/>
      <c r="T26" s="1574"/>
      <c r="U26" s="1575"/>
      <c r="V26" s="1574"/>
      <c r="W26" s="1575"/>
      <c r="X26" s="1568"/>
      <c r="Y26" s="3529"/>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529"/>
      <c r="Q27" s="1573" t="str">
        <f t="shared" si="8"/>
        <v>自然及人文环境状况</v>
      </c>
      <c r="R27" s="1574" t="s">
        <v>8</v>
      </c>
      <c r="S27" s="1575">
        <f>F27</f>
        <v>100</v>
      </c>
      <c r="T27" s="1574" t="s">
        <v>8</v>
      </c>
      <c r="U27" s="1575">
        <f>H27</f>
        <v>100</v>
      </c>
      <c r="V27" s="1574" t="s">
        <v>8</v>
      </c>
      <c r="W27" s="1575">
        <f>J27</f>
        <v>100</v>
      </c>
      <c r="X27" s="1568"/>
      <c r="Y27" s="3529"/>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529"/>
      <c r="Q28" s="1573"/>
      <c r="R28" s="1574"/>
      <c r="S28" s="1575"/>
      <c r="T28" s="1574"/>
      <c r="U28" s="1575"/>
      <c r="V28" s="1574"/>
      <c r="W28" s="1575"/>
      <c r="X28" s="1568"/>
      <c r="Y28" s="3529"/>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529"/>
      <c r="Q29" s="1151" t="str">
        <f t="shared" si="8"/>
        <v>公共配套设施</v>
      </c>
      <c r="R29" s="1569" t="s">
        <v>8</v>
      </c>
      <c r="S29" s="1570">
        <f>F29</f>
        <v>100</v>
      </c>
      <c r="T29" s="1569" t="s">
        <v>8</v>
      </c>
      <c r="U29" s="1570">
        <f>H29</f>
        <v>100</v>
      </c>
      <c r="V29" s="1569" t="s">
        <v>8</v>
      </c>
      <c r="W29" s="1570">
        <f>J29</f>
        <v>100</v>
      </c>
      <c r="X29" s="1571"/>
      <c r="Y29" s="3529"/>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529"/>
      <c r="Q30" s="1151"/>
      <c r="R30" s="1569"/>
      <c r="S30" s="1570"/>
      <c r="T30" s="1569"/>
      <c r="U30" s="1570"/>
      <c r="V30" s="1569"/>
      <c r="W30" s="1570"/>
      <c r="X30" s="1571"/>
      <c r="Y30" s="3529"/>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529"/>
      <c r="Q31" s="2580" t="str">
        <f t="shared" ref="Q31" si="9">B31</f>
        <v>基础设施水平</v>
      </c>
      <c r="R31" s="1569" t="s">
        <v>8</v>
      </c>
      <c r="S31" s="1570">
        <f>F31</f>
        <v>100</v>
      </c>
      <c r="T31" s="1569" t="s">
        <v>8</v>
      </c>
      <c r="U31" s="1570">
        <f>H31</f>
        <v>100</v>
      </c>
      <c r="V31" s="1569" t="s">
        <v>8</v>
      </c>
      <c r="W31" s="1570">
        <f>J31</f>
        <v>100</v>
      </c>
      <c r="X31" s="1571"/>
      <c r="Y31" s="3529"/>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529"/>
      <c r="Q32" s="2580"/>
      <c r="R32" s="1569"/>
      <c r="S32" s="1570"/>
      <c r="T32" s="1569"/>
      <c r="U32" s="1570"/>
      <c r="V32" s="1569"/>
      <c r="W32" s="1570"/>
      <c r="X32" s="1571"/>
      <c r="Y32" s="3529"/>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52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29"/>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529"/>
      <c r="Q34" s="1573" t="str">
        <f t="shared" si="8"/>
        <v>毗邻道路的类型与等级</v>
      </c>
      <c r="R34" s="1574" t="s">
        <v>8</v>
      </c>
      <c r="S34" s="1575">
        <f t="shared" si="10"/>
        <v>100</v>
      </c>
      <c r="T34" s="1574" t="s">
        <v>8</v>
      </c>
      <c r="U34" s="1575">
        <f t="shared" si="11"/>
        <v>100</v>
      </c>
      <c r="V34" s="1574" t="s">
        <v>8</v>
      </c>
      <c r="W34" s="1575">
        <f t="shared" si="12"/>
        <v>100</v>
      </c>
      <c r="X34" s="1568"/>
      <c r="Y34" s="352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529"/>
      <c r="Q35" s="1573"/>
      <c r="R35" s="1574"/>
      <c r="S35" s="1575"/>
      <c r="T35" s="1574"/>
      <c r="U35" s="1575"/>
      <c r="V35" s="1574"/>
      <c r="W35" s="1575"/>
      <c r="X35" s="1568"/>
      <c r="Y35" s="3529"/>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529"/>
      <c r="Q36" s="1573" t="str">
        <f t="shared" si="8"/>
        <v>土地级别</v>
      </c>
      <c r="R36" s="1574" t="s">
        <v>8</v>
      </c>
      <c r="S36" s="1575">
        <f t="shared" si="10"/>
        <v>100</v>
      </c>
      <c r="T36" s="1574" t="s">
        <v>8</v>
      </c>
      <c r="U36" s="1575">
        <f t="shared" si="11"/>
        <v>100</v>
      </c>
      <c r="V36" s="1574" t="s">
        <v>8</v>
      </c>
      <c r="W36" s="1575">
        <f t="shared" si="12"/>
        <v>100</v>
      </c>
      <c r="X36" s="1568"/>
      <c r="Y36" s="352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529"/>
      <c r="Q37" s="1573">
        <f t="shared" si="8"/>
        <v>111</v>
      </c>
      <c r="R37" s="1574" t="s">
        <v>8</v>
      </c>
      <c r="S37" s="1575">
        <f t="shared" si="10"/>
        <v>100</v>
      </c>
      <c r="T37" s="1574" t="s">
        <v>8</v>
      </c>
      <c r="U37" s="1575">
        <f t="shared" si="11"/>
        <v>100</v>
      </c>
      <c r="V37" s="1574" t="s">
        <v>8</v>
      </c>
      <c r="W37" s="1575">
        <f t="shared" si="12"/>
        <v>100</v>
      </c>
      <c r="X37" s="1568"/>
      <c r="Y37" s="352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530" t="s">
        <v>547</v>
      </c>
      <c r="Q38" s="1573">
        <f t="shared" si="8"/>
        <v>111</v>
      </c>
      <c r="R38" s="1574" t="s">
        <v>8</v>
      </c>
      <c r="S38" s="1575">
        <f t="shared" si="10"/>
        <v>100</v>
      </c>
      <c r="T38" s="1574" t="s">
        <v>8</v>
      </c>
      <c r="U38" s="1575">
        <f t="shared" si="11"/>
        <v>100</v>
      </c>
      <c r="V38" s="1574" t="s">
        <v>8</v>
      </c>
      <c r="W38" s="1575">
        <f t="shared" si="12"/>
        <v>100</v>
      </c>
      <c r="X38" s="1568"/>
      <c r="Y38" s="3531"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531"/>
      <c r="Q39" s="1573">
        <f t="shared" si="8"/>
        <v>111</v>
      </c>
      <c r="R39" s="1578" t="s">
        <v>8</v>
      </c>
      <c r="S39" s="1579">
        <f t="shared" si="10"/>
        <v>100</v>
      </c>
      <c r="T39" s="1578" t="s">
        <v>8</v>
      </c>
      <c r="U39" s="1579">
        <f t="shared" si="11"/>
        <v>100</v>
      </c>
      <c r="V39" s="1578" t="s">
        <v>8</v>
      </c>
      <c r="W39" s="1579">
        <f t="shared" si="12"/>
        <v>100</v>
      </c>
      <c r="X39" s="1580"/>
      <c r="Y39" s="3531"/>
      <c r="Z39" s="1581">
        <f t="shared" si="13"/>
        <v>111</v>
      </c>
      <c r="AA39" s="1577">
        <f t="shared" si="3"/>
        <v>1</v>
      </c>
      <c r="AB39" s="1577">
        <f t="shared" si="4"/>
        <v>1</v>
      </c>
      <c r="AC39" s="1577">
        <f t="shared" si="5"/>
        <v>1</v>
      </c>
    </row>
    <row r="40" spans="1:29" ht="20.25">
      <c r="A40" s="2907"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531"/>
      <c r="Q40" s="1573" t="str">
        <f>B40</f>
        <v>宗地面积</v>
      </c>
      <c r="R40" s="1574" t="s">
        <v>8</v>
      </c>
      <c r="S40" s="1575" t="e">
        <f t="shared" si="10"/>
        <v>#N/A</v>
      </c>
      <c r="T40" s="1574" t="s">
        <v>8</v>
      </c>
      <c r="U40" s="1575" t="e">
        <f t="shared" si="11"/>
        <v>#N/A</v>
      </c>
      <c r="V40" s="1574" t="s">
        <v>8</v>
      </c>
      <c r="W40" s="1575" t="e">
        <f t="shared" si="12"/>
        <v>#N/A</v>
      </c>
      <c r="X40" s="1568"/>
      <c r="Y40" s="3531"/>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531"/>
      <c r="Q41" s="1573" t="str">
        <f t="shared" ref="Q41:Q47" si="14">B41</f>
        <v>宗地形状</v>
      </c>
      <c r="R41" s="1574" t="s">
        <v>8</v>
      </c>
      <c r="S41" s="1575">
        <f t="shared" si="10"/>
        <v>100</v>
      </c>
      <c r="T41" s="1574" t="s">
        <v>8</v>
      </c>
      <c r="U41" s="1575">
        <f t="shared" si="11"/>
        <v>100</v>
      </c>
      <c r="V41" s="1574" t="s">
        <v>8</v>
      </c>
      <c r="W41" s="1575">
        <f t="shared" si="12"/>
        <v>100</v>
      </c>
      <c r="X41" s="1568"/>
      <c r="Y41" s="3531"/>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531"/>
      <c r="Q42" s="1573" t="str">
        <f t="shared" si="14"/>
        <v>临街宽度及深度</v>
      </c>
      <c r="R42" s="1574" t="s">
        <v>8</v>
      </c>
      <c r="S42" s="1575">
        <f t="shared" si="10"/>
        <v>100</v>
      </c>
      <c r="T42" s="1574" t="s">
        <v>8</v>
      </c>
      <c r="U42" s="1575">
        <f t="shared" si="11"/>
        <v>100</v>
      </c>
      <c r="V42" s="1574" t="s">
        <v>8</v>
      </c>
      <c r="W42" s="1575">
        <f t="shared" si="12"/>
        <v>100</v>
      </c>
      <c r="X42" s="1568"/>
      <c r="Y42" s="3531"/>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531"/>
      <c r="Q43" s="1573" t="str">
        <f t="shared" si="14"/>
        <v>宗地开发程度</v>
      </c>
      <c r="R43" s="1569" t="s">
        <v>8</v>
      </c>
      <c r="S43" s="1570">
        <f t="shared" si="10"/>
        <v>100</v>
      </c>
      <c r="T43" s="1569" t="s">
        <v>8</v>
      </c>
      <c r="U43" s="1570">
        <f t="shared" si="11"/>
        <v>100</v>
      </c>
      <c r="V43" s="1569" t="s">
        <v>8</v>
      </c>
      <c r="W43" s="1570">
        <f t="shared" si="12"/>
        <v>100</v>
      </c>
      <c r="X43" s="1571"/>
      <c r="Y43" s="3531"/>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531" t="s">
        <v>547</v>
      </c>
      <c r="Q44" s="1573" t="str">
        <f t="shared" si="14"/>
        <v>工程地质条件</v>
      </c>
      <c r="R44" s="1574" t="s">
        <v>8</v>
      </c>
      <c r="S44" s="1575">
        <f t="shared" si="10"/>
        <v>100</v>
      </c>
      <c r="T44" s="1574" t="s">
        <v>8</v>
      </c>
      <c r="U44" s="1575">
        <f t="shared" si="11"/>
        <v>100</v>
      </c>
      <c r="V44" s="1574" t="s">
        <v>8</v>
      </c>
      <c r="W44" s="1575">
        <f t="shared" si="12"/>
        <v>100</v>
      </c>
      <c r="X44" s="1568"/>
      <c r="Y44" s="3531"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531"/>
      <c r="Q45" s="1573">
        <f t="shared" si="14"/>
        <v>111</v>
      </c>
      <c r="R45" s="1574" t="s">
        <v>8</v>
      </c>
      <c r="S45" s="1575">
        <f t="shared" si="10"/>
        <v>100</v>
      </c>
      <c r="T45" s="1574" t="s">
        <v>8</v>
      </c>
      <c r="U45" s="1575">
        <f t="shared" si="11"/>
        <v>100</v>
      </c>
      <c r="V45" s="1574" t="s">
        <v>8</v>
      </c>
      <c r="W45" s="1575">
        <f t="shared" si="12"/>
        <v>100</v>
      </c>
      <c r="X45" s="1568"/>
      <c r="Y45" s="353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531"/>
      <c r="Q46" s="1573">
        <f t="shared" si="14"/>
        <v>111</v>
      </c>
      <c r="R46" s="1574" t="s">
        <v>8</v>
      </c>
      <c r="S46" s="1575">
        <f t="shared" si="10"/>
        <v>100</v>
      </c>
      <c r="T46" s="1574" t="s">
        <v>8</v>
      </c>
      <c r="U46" s="1575">
        <f t="shared" si="11"/>
        <v>100</v>
      </c>
      <c r="V46" s="1574" t="s">
        <v>8</v>
      </c>
      <c r="W46" s="1575">
        <f t="shared" si="12"/>
        <v>100</v>
      </c>
      <c r="X46" s="1568"/>
      <c r="Y46" s="353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531"/>
      <c r="Q47" s="1573">
        <f t="shared" si="14"/>
        <v>111</v>
      </c>
      <c r="R47" s="1578" t="s">
        <v>8</v>
      </c>
      <c r="S47" s="1579">
        <f t="shared" si="10"/>
        <v>100</v>
      </c>
      <c r="T47" s="1578" t="s">
        <v>8</v>
      </c>
      <c r="U47" s="1579">
        <f t="shared" si="11"/>
        <v>100</v>
      </c>
      <c r="V47" s="1578" t="s">
        <v>8</v>
      </c>
      <c r="W47" s="1579">
        <f t="shared" si="12"/>
        <v>100</v>
      </c>
      <c r="X47" s="1580"/>
      <c r="Y47" s="3531"/>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494" t="str">
        <f>A48</f>
        <v>成交单价</v>
      </c>
      <c r="Q48" s="3494"/>
      <c r="R48" s="3495">
        <f>E48</f>
        <v>0</v>
      </c>
      <c r="S48" s="3495"/>
      <c r="T48" s="3495">
        <f>G48</f>
        <v>0</v>
      </c>
      <c r="U48" s="3495"/>
      <c r="V48" s="3495">
        <f>I48</f>
        <v>0</v>
      </c>
      <c r="W48" s="3495"/>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494" t="str">
        <f>A49</f>
        <v>比较价格（元/平方米）</v>
      </c>
      <c r="Q49" s="3494"/>
      <c r="R49" s="3496" t="e">
        <f>ROUND(PRODUCT(R48,AA9:AA47),0)</f>
        <v>#DIV/0!</v>
      </c>
      <c r="S49" s="3496"/>
      <c r="T49" s="3496" t="e">
        <f>ROUND(PRODUCT(T48,AB9:AB47),0)</f>
        <v>#DIV/0!</v>
      </c>
      <c r="U49" s="3496"/>
      <c r="V49" s="3496" t="e">
        <f>ROUND(PRODUCT(V48,AC9:AC47),0)</f>
        <v>#DIV/0!</v>
      </c>
      <c r="W49" s="3496"/>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491" t="str">
        <f>A50</f>
        <v>估价对象XX用房的比较价格（楼面单价，元/平方米）</v>
      </c>
      <c r="Q50" s="3492"/>
      <c r="R50" s="3493" t="e">
        <f>ROUND(AVERAGE(R49:V49),0)</f>
        <v>#DIV/0!</v>
      </c>
      <c r="S50" s="3493"/>
      <c r="T50" s="3493"/>
      <c r="U50" s="3493"/>
      <c r="V50" s="3493"/>
      <c r="W50" s="349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520" t="s">
        <v>2277</v>
      </c>
      <c r="H57" s="3521"/>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334812</v>
      </c>
      <c r="F58" s="636" t="e">
        <f t="shared" ref="F58:F67" si="15">ROUND(B58*E58/10000,0)</f>
        <v>#DIV/0!</v>
      </c>
      <c r="G58" s="3522"/>
      <c r="H58" s="352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524"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524"/>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524"/>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524"/>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145654.57999999999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2019-9-1</v>
      </c>
      <c r="D70" s="2799">
        <f>EDATE(C70,-3)</f>
        <v>43617</v>
      </c>
      <c r="E70" s="2799">
        <f t="shared" ref="E70:N70" si="18">EDATE(D70,-3)</f>
        <v>43525</v>
      </c>
      <c r="F70" s="2799">
        <f t="shared" si="18"/>
        <v>43435</v>
      </c>
      <c r="G70" s="2799">
        <f t="shared" si="18"/>
        <v>43344</v>
      </c>
      <c r="H70" s="2799">
        <f t="shared" si="18"/>
        <v>43252</v>
      </c>
      <c r="I70" s="2799">
        <f t="shared" si="18"/>
        <v>43160</v>
      </c>
      <c r="J70" s="2799">
        <f t="shared" si="18"/>
        <v>43070</v>
      </c>
      <c r="K70" s="2799">
        <f t="shared" si="18"/>
        <v>42979</v>
      </c>
      <c r="L70" s="2799">
        <f t="shared" si="18"/>
        <v>42887</v>
      </c>
      <c r="M70" s="2799">
        <f t="shared" si="18"/>
        <v>42795</v>
      </c>
      <c r="N70" s="2799">
        <f t="shared" si="18"/>
        <v>42705</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5" t="str">
        <f>YEAR(C70)&amp;"-"&amp;ROUNDUP(MONTH(C70)/3,0)</f>
        <v>2019-3</v>
      </c>
      <c r="D72" s="2801" t="str">
        <f>YEAR(D70)&amp;"-"&amp;ROUNDUP(MONTH(D70)/3,0)</f>
        <v>2019-2</v>
      </c>
      <c r="E72" s="2801" t="str">
        <f t="shared" ref="E72:N72" si="19">YEAR(E70)&amp;"-"&amp;ROUNDUP(MONTH(E70)/3,0)</f>
        <v>2019-1</v>
      </c>
      <c r="F72" s="2801" t="str">
        <f t="shared" si="19"/>
        <v>2018-4</v>
      </c>
      <c r="G72" s="2801" t="str">
        <f t="shared" si="19"/>
        <v>2018-3</v>
      </c>
      <c r="H72" s="2801" t="str">
        <f t="shared" si="19"/>
        <v>2018-2</v>
      </c>
      <c r="I72" s="2801" t="str">
        <f t="shared" si="19"/>
        <v>2018-1</v>
      </c>
      <c r="J72" s="2801" t="str">
        <f t="shared" si="19"/>
        <v>2017-4</v>
      </c>
      <c r="K72" s="2801" t="str">
        <f t="shared" si="19"/>
        <v>2017-3</v>
      </c>
      <c r="L72" s="2801" t="str">
        <f t="shared" si="19"/>
        <v>2017-2</v>
      </c>
      <c r="M72" s="2801" t="str">
        <f t="shared" si="19"/>
        <v>2017-1</v>
      </c>
      <c r="N72" s="2801" t="str">
        <f t="shared" si="19"/>
        <v>2016-4</v>
      </c>
      <c r="O72" s="2161"/>
      <c r="P72" s="2162"/>
      <c r="Q72" s="2163"/>
      <c r="R72" s="2163"/>
      <c r="S72" s="2163"/>
      <c r="T72" s="2163"/>
      <c r="U72" s="2163"/>
      <c r="V72" s="2163"/>
      <c r="W72" s="2163"/>
      <c r="X72" s="2163"/>
      <c r="Y72" s="2163"/>
      <c r="Z72" s="2163"/>
      <c r="AA72" s="2163"/>
      <c r="AB72" s="2163"/>
      <c r="AC72" s="2163"/>
    </row>
    <row r="73" spans="1:29" s="1220" customFormat="1" ht="27" customHeight="1">
      <c r="A73" s="2806" t="s">
        <v>2643</v>
      </c>
      <c r="B73" s="479" t="str">
        <f>"北京市平均增长率"&amp;TEXT(SUMIF(基准地价住宅!N21:N25,A73,基准地价住宅!P21:P25),"0.00%")</f>
        <v>北京市平均增长率2.04%</v>
      </c>
      <c r="C73" s="894">
        <v>100</v>
      </c>
      <c r="D73" s="730"/>
      <c r="E73" s="730"/>
      <c r="F73" s="730"/>
      <c r="G73" s="730"/>
      <c r="H73" s="730"/>
      <c r="I73" s="730"/>
      <c r="J73" s="730"/>
      <c r="K73" s="730"/>
      <c r="L73" s="730"/>
      <c r="M73" s="2793"/>
      <c r="N73" s="2794"/>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6" t="s">
        <v>2642</v>
      </c>
      <c r="B74" s="2805"/>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500" t="s">
        <v>519</v>
      </c>
      <c r="D6" s="3501"/>
      <c r="E6" s="3534" t="s">
        <v>520</v>
      </c>
      <c r="F6" s="3535"/>
      <c r="G6" s="3500" t="s">
        <v>521</v>
      </c>
      <c r="H6" s="3501"/>
      <c r="I6" s="3500" t="s">
        <v>522</v>
      </c>
      <c r="J6" s="3501"/>
      <c r="K6" s="514" t="s">
        <v>523</v>
      </c>
      <c r="L6" s="2135"/>
      <c r="M6" s="2136"/>
      <c r="N6" s="2136"/>
      <c r="O6" s="2136"/>
      <c r="P6" s="3502" t="s">
        <v>524</v>
      </c>
      <c r="Q6" s="3503"/>
      <c r="R6" s="3508" t="s">
        <v>520</v>
      </c>
      <c r="S6" s="3509"/>
      <c r="T6" s="3508" t="s">
        <v>521</v>
      </c>
      <c r="U6" s="3509"/>
      <c r="V6" s="3495" t="s">
        <v>522</v>
      </c>
      <c r="W6" s="3495"/>
      <c r="X6" s="1568"/>
      <c r="Y6" s="3508" t="s">
        <v>524</v>
      </c>
      <c r="Z6" s="3509"/>
      <c r="AA6" s="3497" t="s">
        <v>520</v>
      </c>
      <c r="AB6" s="3498" t="s">
        <v>521</v>
      </c>
      <c r="AC6" s="3497" t="s">
        <v>522</v>
      </c>
    </row>
    <row r="7" spans="1:29" ht="15">
      <c r="A7" s="515"/>
      <c r="B7" s="516"/>
      <c r="C7" s="3516" t="s">
        <v>2925</v>
      </c>
      <c r="D7" s="3517"/>
      <c r="E7" s="3536" t="s">
        <v>2926</v>
      </c>
      <c r="F7" s="3537"/>
      <c r="G7" s="3516" t="s">
        <v>2927</v>
      </c>
      <c r="H7" s="3517"/>
      <c r="I7" s="3516" t="s">
        <v>2928</v>
      </c>
      <c r="J7" s="3517"/>
      <c r="K7" s="514"/>
      <c r="L7" s="2135"/>
      <c r="M7" s="2136"/>
      <c r="N7" s="2136"/>
      <c r="O7" s="2136"/>
      <c r="P7" s="3504"/>
      <c r="Q7" s="3505"/>
      <c r="R7" s="3510"/>
      <c r="S7" s="3511"/>
      <c r="T7" s="3510"/>
      <c r="U7" s="3511"/>
      <c r="V7" s="3495"/>
      <c r="W7" s="3495"/>
      <c r="X7" s="1568"/>
      <c r="Y7" s="3510"/>
      <c r="Z7" s="3511"/>
      <c r="AA7" s="3498"/>
      <c r="AB7" s="3498"/>
      <c r="AC7" s="3498"/>
    </row>
    <row r="8" spans="1:29" ht="15.75" thickBot="1">
      <c r="A8" s="517"/>
      <c r="B8" s="518"/>
      <c r="C8" s="3514" t="s">
        <v>2929</v>
      </c>
      <c r="D8" s="3515"/>
      <c r="E8" s="3532" t="s">
        <v>2929</v>
      </c>
      <c r="F8" s="3533"/>
      <c r="G8" s="3514" t="s">
        <v>2929</v>
      </c>
      <c r="H8" s="3515"/>
      <c r="I8" s="3514" t="s">
        <v>2929</v>
      </c>
      <c r="J8" s="3515"/>
      <c r="K8" s="514" t="s">
        <v>525</v>
      </c>
      <c r="L8" s="2135"/>
      <c r="M8" s="2136"/>
      <c r="N8" s="2136"/>
      <c r="O8" s="2136"/>
      <c r="P8" s="3506"/>
      <c r="Q8" s="3507"/>
      <c r="R8" s="3510"/>
      <c r="S8" s="3511"/>
      <c r="T8" s="3512"/>
      <c r="U8" s="3513"/>
      <c r="V8" s="3495"/>
      <c r="W8" s="3495"/>
      <c r="X8" s="1568"/>
      <c r="Y8" s="3512"/>
      <c r="Z8" s="3513"/>
      <c r="AA8" s="3499"/>
      <c r="AB8" s="3499"/>
      <c r="AC8" s="3499"/>
    </row>
    <row r="9" spans="1:29" s="1220" customFormat="1" ht="15.75" thickBot="1">
      <c r="A9" s="2912"/>
      <c r="B9" s="2919" t="s">
        <v>526</v>
      </c>
      <c r="C9" s="519">
        <f>'数据-取费表'!B2</f>
        <v>43711</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525" t="s">
        <v>527</v>
      </c>
      <c r="Q9" s="3527"/>
      <c r="R9" s="1569" t="s">
        <v>8</v>
      </c>
      <c r="S9" s="1570">
        <f t="shared" ref="S9:S17" si="0">F9</f>
        <v>0</v>
      </c>
      <c r="T9" s="1569" t="s">
        <v>8</v>
      </c>
      <c r="U9" s="1570">
        <f t="shared" ref="U9:U17" si="1">H9</f>
        <v>0</v>
      </c>
      <c r="V9" s="1569" t="s">
        <v>8</v>
      </c>
      <c r="W9" s="1570">
        <f t="shared" ref="W9:W17" si="2">J9</f>
        <v>0</v>
      </c>
      <c r="X9" s="1571"/>
      <c r="Y9" s="3525" t="s">
        <v>527</v>
      </c>
      <c r="Z9" s="3526"/>
      <c r="AA9" s="1572" t="e">
        <f>D9/F9</f>
        <v>#DIV/0!</v>
      </c>
      <c r="AB9" s="1572" t="e">
        <f>D9/H9</f>
        <v>#DIV/0!</v>
      </c>
      <c r="AC9" s="1572" t="e">
        <f>D9/J9</f>
        <v>#DIV/0!</v>
      </c>
    </row>
    <row r="10" spans="1:29" s="1220" customFormat="1" ht="15.75" thickBot="1">
      <c r="A10" s="2913"/>
      <c r="B10" s="2920"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525" t="s">
        <v>530</v>
      </c>
      <c r="Q10" s="3526"/>
      <c r="R10" s="1569" t="s">
        <v>8</v>
      </c>
      <c r="S10" s="1570">
        <f t="shared" si="0"/>
        <v>0</v>
      </c>
      <c r="T10" s="1569" t="s">
        <v>8</v>
      </c>
      <c r="U10" s="1570">
        <f t="shared" si="1"/>
        <v>0</v>
      </c>
      <c r="V10" s="1569" t="s">
        <v>8</v>
      </c>
      <c r="W10" s="1570">
        <f t="shared" si="2"/>
        <v>0</v>
      </c>
      <c r="X10" s="1571"/>
      <c r="Y10" s="3525" t="s">
        <v>530</v>
      </c>
      <c r="Z10" s="3526"/>
      <c r="AA10" s="1572" t="e">
        <f t="shared" ref="AA10:AA42" si="3">D10/F10</f>
        <v>#DIV/0!</v>
      </c>
      <c r="AB10" s="1572" t="e">
        <f t="shared" ref="AB10:AB42" si="4">D10/H10</f>
        <v>#DIV/0!</v>
      </c>
      <c r="AC10" s="1572" t="e">
        <f t="shared" ref="AC10:AC42" si="5">D10/J10</f>
        <v>#DIV/0!</v>
      </c>
    </row>
    <row r="11" spans="1:29" s="1220" customFormat="1" ht="15">
      <c r="A11" s="2914"/>
      <c r="B11" s="2921"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94" t="s">
        <v>532</v>
      </c>
      <c r="Q11" s="1151" t="str">
        <f t="shared" ref="Q11:Q17" si="6">B11</f>
        <v>用途</v>
      </c>
      <c r="R11" s="1569" t="s">
        <v>8</v>
      </c>
      <c r="S11" s="1570">
        <f t="shared" si="0"/>
        <v>100</v>
      </c>
      <c r="T11" s="1569" t="s">
        <v>8</v>
      </c>
      <c r="U11" s="1570">
        <f t="shared" si="1"/>
        <v>100</v>
      </c>
      <c r="V11" s="1569" t="s">
        <v>8</v>
      </c>
      <c r="W11" s="1570">
        <f t="shared" si="2"/>
        <v>100</v>
      </c>
      <c r="X11" s="1571"/>
      <c r="Y11" s="3431" t="s">
        <v>533</v>
      </c>
      <c r="Z11" s="1150" t="str">
        <f t="shared" ref="Z11:Z17" si="7">Q11</f>
        <v>用途</v>
      </c>
      <c r="AA11" s="1572">
        <f t="shared" si="3"/>
        <v>1</v>
      </c>
      <c r="AB11" s="1572">
        <f t="shared" si="4"/>
        <v>1</v>
      </c>
      <c r="AC11" s="1572">
        <f t="shared" si="5"/>
        <v>1</v>
      </c>
    </row>
    <row r="12" spans="1:29" s="1338" customFormat="1" ht="27">
      <c r="A12" s="2915"/>
      <c r="B12" s="2920"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94"/>
      <c r="Q12" s="1151" t="str">
        <f t="shared" si="6"/>
        <v>土地使用年限（年）</v>
      </c>
      <c r="R12" s="1569" t="s">
        <v>8</v>
      </c>
      <c r="S12" s="1570">
        <f t="shared" si="0"/>
        <v>100</v>
      </c>
      <c r="T12" s="1569" t="s">
        <v>8</v>
      </c>
      <c r="U12" s="1570">
        <f t="shared" si="1"/>
        <v>100</v>
      </c>
      <c r="V12" s="1569" t="s">
        <v>8</v>
      </c>
      <c r="W12" s="1570">
        <f t="shared" si="2"/>
        <v>100</v>
      </c>
      <c r="X12" s="1571"/>
      <c r="Y12" s="3431"/>
      <c r="Z12" s="1150" t="str">
        <f t="shared" si="7"/>
        <v>土地使用年限（年）</v>
      </c>
      <c r="AA12" s="1572">
        <f t="shared" si="3"/>
        <v>1</v>
      </c>
      <c r="AB12" s="1572">
        <f t="shared" si="4"/>
        <v>1</v>
      </c>
      <c r="AC12" s="1572">
        <f t="shared" si="5"/>
        <v>1</v>
      </c>
    </row>
    <row r="13" spans="1:29" ht="15">
      <c r="A13" s="2916"/>
      <c r="B13" s="2920"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94"/>
      <c r="Q13" s="1151" t="str">
        <f t="shared" si="6"/>
        <v>容积率</v>
      </c>
      <c r="R13" s="1569" t="s">
        <v>8</v>
      </c>
      <c r="S13" s="1570" t="e">
        <f t="shared" si="0"/>
        <v>#N/A</v>
      </c>
      <c r="T13" s="1569" t="s">
        <v>8</v>
      </c>
      <c r="U13" s="1570" t="e">
        <f t="shared" si="1"/>
        <v>#N/A</v>
      </c>
      <c r="V13" s="1569" t="s">
        <v>8</v>
      </c>
      <c r="W13" s="1570" t="e">
        <f t="shared" si="2"/>
        <v>#N/A</v>
      </c>
      <c r="X13" s="1571"/>
      <c r="Y13" s="3431"/>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94"/>
      <c r="Q14" s="1151">
        <f t="shared" si="6"/>
        <v>111</v>
      </c>
      <c r="R14" s="1569" t="s">
        <v>8</v>
      </c>
      <c r="S14" s="1570">
        <f t="shared" si="0"/>
        <v>100</v>
      </c>
      <c r="T14" s="1569" t="s">
        <v>8</v>
      </c>
      <c r="U14" s="1570">
        <f t="shared" si="1"/>
        <v>100</v>
      </c>
      <c r="V14" s="1569" t="s">
        <v>8</v>
      </c>
      <c r="W14" s="1570">
        <f t="shared" si="2"/>
        <v>100</v>
      </c>
      <c r="X14" s="1571"/>
      <c r="Y14" s="3431"/>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94"/>
      <c r="Q15" s="1151">
        <f t="shared" si="6"/>
        <v>111</v>
      </c>
      <c r="R15" s="1569" t="s">
        <v>8</v>
      </c>
      <c r="S15" s="1570">
        <f t="shared" si="0"/>
        <v>100</v>
      </c>
      <c r="T15" s="1569" t="s">
        <v>8</v>
      </c>
      <c r="U15" s="1570">
        <f t="shared" si="1"/>
        <v>100</v>
      </c>
      <c r="V15" s="1569" t="s">
        <v>8</v>
      </c>
      <c r="W15" s="1570">
        <f t="shared" si="2"/>
        <v>100</v>
      </c>
      <c r="X15" s="1571"/>
      <c r="Y15" s="3431"/>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94"/>
      <c r="Q16" s="1151">
        <f t="shared" si="6"/>
        <v>111</v>
      </c>
      <c r="R16" s="1569" t="s">
        <v>8</v>
      </c>
      <c r="S16" s="1570">
        <f t="shared" si="0"/>
        <v>100</v>
      </c>
      <c r="T16" s="1569" t="s">
        <v>8</v>
      </c>
      <c r="U16" s="1570">
        <f t="shared" si="1"/>
        <v>100</v>
      </c>
      <c r="V16" s="1569" t="s">
        <v>8</v>
      </c>
      <c r="W16" s="1570">
        <f t="shared" si="2"/>
        <v>100</v>
      </c>
      <c r="X16" s="1571"/>
      <c r="Y16" s="3431"/>
      <c r="Z16" s="1150">
        <f t="shared" si="7"/>
        <v>111</v>
      </c>
      <c r="AA16" s="1572">
        <f t="shared" si="3"/>
        <v>1</v>
      </c>
      <c r="AB16" s="1572">
        <f t="shared" si="4"/>
        <v>1</v>
      </c>
      <c r="AC16" s="1572">
        <f t="shared" si="5"/>
        <v>1</v>
      </c>
    </row>
    <row r="17" spans="1:29" ht="57">
      <c r="A17" s="2910"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528" t="s">
        <v>537</v>
      </c>
      <c r="Q17" s="1573" t="str">
        <f t="shared" si="6"/>
        <v>产业集聚程度</v>
      </c>
      <c r="R17" s="1574" t="s">
        <v>8</v>
      </c>
      <c r="S17" s="1575">
        <f t="shared" si="0"/>
        <v>100</v>
      </c>
      <c r="T17" s="1574" t="s">
        <v>8</v>
      </c>
      <c r="U17" s="1575">
        <f t="shared" si="1"/>
        <v>100</v>
      </c>
      <c r="V17" s="1574" t="s">
        <v>8</v>
      </c>
      <c r="W17" s="1575">
        <f t="shared" si="2"/>
        <v>100</v>
      </c>
      <c r="X17" s="1568"/>
      <c r="Y17" s="3528"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529"/>
      <c r="Q18" s="1573"/>
      <c r="R18" s="1574"/>
      <c r="S18" s="1575"/>
      <c r="T18" s="1574"/>
      <c r="U18" s="1575"/>
      <c r="V18" s="1574"/>
      <c r="W18" s="1575"/>
      <c r="X18" s="1568"/>
      <c r="Y18" s="3529"/>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529"/>
      <c r="Q19" s="1573" t="str">
        <f>B19</f>
        <v>交通便捷度</v>
      </c>
      <c r="R19" s="1574" t="s">
        <v>8</v>
      </c>
      <c r="S19" s="1575">
        <f>F19</f>
        <v>100</v>
      </c>
      <c r="T19" s="1574" t="s">
        <v>8</v>
      </c>
      <c r="U19" s="1575">
        <f>H19</f>
        <v>100</v>
      </c>
      <c r="V19" s="1574" t="s">
        <v>8</v>
      </c>
      <c r="W19" s="1575">
        <f>J19</f>
        <v>100</v>
      </c>
      <c r="X19" s="1568"/>
      <c r="Y19" s="352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529"/>
      <c r="Q20" s="1573"/>
      <c r="R20" s="1574"/>
      <c r="S20" s="1575"/>
      <c r="T20" s="1574"/>
      <c r="U20" s="1575"/>
      <c r="V20" s="1574"/>
      <c r="W20" s="1575"/>
      <c r="X20" s="1568"/>
      <c r="Y20" s="3529"/>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529"/>
      <c r="Q21" s="1573" t="str">
        <f t="shared" ref="Q21:Q35" si="8">B21</f>
        <v>区域土地利用方向</v>
      </c>
      <c r="R21" s="1574" t="s">
        <v>8</v>
      </c>
      <c r="S21" s="1575">
        <f>F21</f>
        <v>100</v>
      </c>
      <c r="T21" s="1574" t="s">
        <v>8</v>
      </c>
      <c r="U21" s="1575">
        <f>H21</f>
        <v>100</v>
      </c>
      <c r="V21" s="1574" t="s">
        <v>8</v>
      </c>
      <c r="W21" s="1575">
        <f>J21</f>
        <v>100</v>
      </c>
      <c r="X21" s="1568"/>
      <c r="Y21" s="352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529"/>
      <c r="Q22" s="1573"/>
      <c r="R22" s="1574"/>
      <c r="S22" s="1575"/>
      <c r="T22" s="1574"/>
      <c r="U22" s="1575"/>
      <c r="V22" s="1574"/>
      <c r="W22" s="1575"/>
      <c r="X22" s="1568"/>
      <c r="Y22" s="3529"/>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529"/>
      <c r="Q23" s="1573" t="str">
        <f t="shared" si="8"/>
        <v>环境状况</v>
      </c>
      <c r="R23" s="1574" t="s">
        <v>8</v>
      </c>
      <c r="S23" s="1575">
        <f>F23</f>
        <v>100</v>
      </c>
      <c r="T23" s="1574" t="s">
        <v>8</v>
      </c>
      <c r="U23" s="1575">
        <f>H23</f>
        <v>100</v>
      </c>
      <c r="V23" s="1574" t="s">
        <v>8</v>
      </c>
      <c r="W23" s="1575">
        <f>J23</f>
        <v>100</v>
      </c>
      <c r="X23" s="1568"/>
      <c r="Y23" s="352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529"/>
      <c r="Q24" s="1573"/>
      <c r="R24" s="1574"/>
      <c r="S24" s="1575"/>
      <c r="T24" s="1574"/>
      <c r="U24" s="1575"/>
      <c r="V24" s="1574"/>
      <c r="W24" s="1575"/>
      <c r="X24" s="1568"/>
      <c r="Y24" s="3529"/>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529"/>
      <c r="Q25" s="1151" t="str">
        <f t="shared" si="8"/>
        <v>公共配套设施</v>
      </c>
      <c r="R25" s="1569" t="s">
        <v>8</v>
      </c>
      <c r="S25" s="1570">
        <f>F25</f>
        <v>100</v>
      </c>
      <c r="T25" s="1569" t="s">
        <v>8</v>
      </c>
      <c r="U25" s="1570">
        <f>H25</f>
        <v>100</v>
      </c>
      <c r="V25" s="1569" t="s">
        <v>8</v>
      </c>
      <c r="W25" s="1570">
        <f>J25</f>
        <v>100</v>
      </c>
      <c r="X25" s="1571"/>
      <c r="Y25" s="3529"/>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529"/>
      <c r="Q26" s="1151"/>
      <c r="R26" s="1569"/>
      <c r="S26" s="1570"/>
      <c r="T26" s="1569"/>
      <c r="U26" s="1570"/>
      <c r="V26" s="1569"/>
      <c r="W26" s="1570"/>
      <c r="X26" s="1571"/>
      <c r="Y26" s="3529"/>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529"/>
      <c r="Q27" s="2580" t="str">
        <f t="shared" ref="Q27" si="9">B27</f>
        <v>基础设施水平</v>
      </c>
      <c r="R27" s="1569" t="s">
        <v>8</v>
      </c>
      <c r="S27" s="1570">
        <f>F27</f>
        <v>100</v>
      </c>
      <c r="T27" s="1569" t="s">
        <v>8</v>
      </c>
      <c r="U27" s="1570">
        <f>H27</f>
        <v>100</v>
      </c>
      <c r="V27" s="1569" t="s">
        <v>8</v>
      </c>
      <c r="W27" s="1570">
        <f>J27</f>
        <v>100</v>
      </c>
      <c r="X27" s="1571"/>
      <c r="Y27" s="3529"/>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529"/>
      <c r="Q28" s="2580"/>
      <c r="R28" s="1569"/>
      <c r="S28" s="1570"/>
      <c r="T28" s="1569"/>
      <c r="U28" s="1570"/>
      <c r="V28" s="1569"/>
      <c r="W28" s="1570"/>
      <c r="X28" s="1571"/>
      <c r="Y28" s="3529"/>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52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29"/>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529"/>
      <c r="Q30" s="1573" t="str">
        <f t="shared" si="8"/>
        <v>毗邻道路的类型与等级</v>
      </c>
      <c r="R30" s="1574" t="s">
        <v>8</v>
      </c>
      <c r="S30" s="1575">
        <f t="shared" si="10"/>
        <v>100</v>
      </c>
      <c r="T30" s="1574" t="s">
        <v>8</v>
      </c>
      <c r="U30" s="1575">
        <f t="shared" si="11"/>
        <v>100</v>
      </c>
      <c r="V30" s="1574" t="s">
        <v>8</v>
      </c>
      <c r="W30" s="1575">
        <f t="shared" si="12"/>
        <v>100</v>
      </c>
      <c r="X30" s="1568"/>
      <c r="Y30" s="352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529"/>
      <c r="Q31" s="1573"/>
      <c r="R31" s="1574"/>
      <c r="S31" s="1575"/>
      <c r="T31" s="1574"/>
      <c r="U31" s="1575"/>
      <c r="V31" s="1574"/>
      <c r="W31" s="1575"/>
      <c r="X31" s="1568"/>
      <c r="Y31" s="3529"/>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529"/>
      <c r="Q32" s="1573" t="str">
        <f t="shared" si="8"/>
        <v>土地级别</v>
      </c>
      <c r="R32" s="1574" t="s">
        <v>8</v>
      </c>
      <c r="S32" s="1575">
        <f t="shared" si="10"/>
        <v>100</v>
      </c>
      <c r="T32" s="1574" t="s">
        <v>8</v>
      </c>
      <c r="U32" s="1575">
        <f t="shared" si="11"/>
        <v>100</v>
      </c>
      <c r="V32" s="1574" t="s">
        <v>8</v>
      </c>
      <c r="W32" s="1575">
        <f t="shared" si="12"/>
        <v>100</v>
      </c>
      <c r="X32" s="1568"/>
      <c r="Y32" s="352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529"/>
      <c r="Q33" s="1573">
        <f t="shared" si="8"/>
        <v>111</v>
      </c>
      <c r="R33" s="1574" t="s">
        <v>8</v>
      </c>
      <c r="S33" s="1575">
        <f t="shared" si="10"/>
        <v>100</v>
      </c>
      <c r="T33" s="1574" t="s">
        <v>8</v>
      </c>
      <c r="U33" s="1575">
        <f t="shared" si="11"/>
        <v>100</v>
      </c>
      <c r="V33" s="1574" t="s">
        <v>8</v>
      </c>
      <c r="W33" s="1575">
        <f t="shared" si="12"/>
        <v>100</v>
      </c>
      <c r="X33" s="1568"/>
      <c r="Y33" s="352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530" t="s">
        <v>547</v>
      </c>
      <c r="Q34" s="1573">
        <f t="shared" si="8"/>
        <v>111</v>
      </c>
      <c r="R34" s="1574" t="s">
        <v>8</v>
      </c>
      <c r="S34" s="1575">
        <f t="shared" si="10"/>
        <v>100</v>
      </c>
      <c r="T34" s="1574" t="s">
        <v>8</v>
      </c>
      <c r="U34" s="1575">
        <f t="shared" si="11"/>
        <v>100</v>
      </c>
      <c r="V34" s="1574" t="s">
        <v>8</v>
      </c>
      <c r="W34" s="1575">
        <f t="shared" si="12"/>
        <v>100</v>
      </c>
      <c r="X34" s="1568"/>
      <c r="Y34" s="3531"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531"/>
      <c r="Q35" s="1573">
        <f t="shared" si="8"/>
        <v>111</v>
      </c>
      <c r="R35" s="1578" t="s">
        <v>8</v>
      </c>
      <c r="S35" s="1579">
        <f t="shared" si="10"/>
        <v>100</v>
      </c>
      <c r="T35" s="1578" t="s">
        <v>8</v>
      </c>
      <c r="U35" s="1579">
        <f t="shared" si="11"/>
        <v>100</v>
      </c>
      <c r="V35" s="1578" t="s">
        <v>8</v>
      </c>
      <c r="W35" s="1579">
        <f t="shared" si="12"/>
        <v>100</v>
      </c>
      <c r="X35" s="1580"/>
      <c r="Y35" s="3531"/>
      <c r="Z35" s="1581">
        <f t="shared" si="13"/>
        <v>111</v>
      </c>
      <c r="AA35" s="1577">
        <f t="shared" si="3"/>
        <v>1</v>
      </c>
      <c r="AB35" s="1577">
        <f t="shared" si="4"/>
        <v>1</v>
      </c>
      <c r="AC35" s="1577">
        <f t="shared" si="5"/>
        <v>1</v>
      </c>
    </row>
    <row r="36" spans="1:29" ht="15">
      <c r="A36" s="2907"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531"/>
      <c r="Q36" s="1573" t="str">
        <f>B36</f>
        <v>宗地面积</v>
      </c>
      <c r="R36" s="1574" t="s">
        <v>8</v>
      </c>
      <c r="S36" s="1575" t="e">
        <f t="shared" si="10"/>
        <v>#N/A</v>
      </c>
      <c r="T36" s="1574" t="s">
        <v>8</v>
      </c>
      <c r="U36" s="1575" t="e">
        <f t="shared" si="11"/>
        <v>#N/A</v>
      </c>
      <c r="V36" s="1574" t="s">
        <v>8</v>
      </c>
      <c r="W36" s="1575" t="e">
        <f t="shared" si="12"/>
        <v>#N/A</v>
      </c>
      <c r="X36" s="1568"/>
      <c r="Y36" s="3531"/>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531"/>
      <c r="Q37" s="1573" t="str">
        <f t="shared" ref="Q37:Q42" si="14">B37</f>
        <v>宗地形状</v>
      </c>
      <c r="R37" s="1574" t="s">
        <v>8</v>
      </c>
      <c r="S37" s="1575">
        <f t="shared" si="10"/>
        <v>100</v>
      </c>
      <c r="T37" s="1574" t="s">
        <v>8</v>
      </c>
      <c r="U37" s="1575">
        <f t="shared" si="11"/>
        <v>100</v>
      </c>
      <c r="V37" s="1574" t="s">
        <v>8</v>
      </c>
      <c r="W37" s="1575">
        <f t="shared" si="12"/>
        <v>100</v>
      </c>
      <c r="X37" s="1568"/>
      <c r="Y37" s="3531"/>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531"/>
      <c r="Q38" s="1573" t="str">
        <f t="shared" si="14"/>
        <v>宗地开发程度</v>
      </c>
      <c r="R38" s="1569" t="s">
        <v>8</v>
      </c>
      <c r="S38" s="1570">
        <f t="shared" si="10"/>
        <v>100</v>
      </c>
      <c r="T38" s="1569" t="s">
        <v>8</v>
      </c>
      <c r="U38" s="1570">
        <f t="shared" si="11"/>
        <v>100</v>
      </c>
      <c r="V38" s="1569" t="s">
        <v>8</v>
      </c>
      <c r="W38" s="1570">
        <f t="shared" si="12"/>
        <v>100</v>
      </c>
      <c r="X38" s="1571"/>
      <c r="Y38" s="3531"/>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31" t="s">
        <v>598</v>
      </c>
      <c r="Q39" s="1573" t="str">
        <f t="shared" si="14"/>
        <v>工程地质条件</v>
      </c>
      <c r="R39" s="1574" t="s">
        <v>8</v>
      </c>
      <c r="S39" s="1575">
        <f t="shared" si="10"/>
        <v>100</v>
      </c>
      <c r="T39" s="1574" t="s">
        <v>8</v>
      </c>
      <c r="U39" s="1575">
        <f t="shared" si="11"/>
        <v>100</v>
      </c>
      <c r="V39" s="1574" t="s">
        <v>8</v>
      </c>
      <c r="W39" s="1575">
        <f t="shared" si="12"/>
        <v>100</v>
      </c>
      <c r="X39" s="1568"/>
      <c r="Y39" s="3531"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531"/>
      <c r="Q40" s="1573">
        <f t="shared" si="14"/>
        <v>111</v>
      </c>
      <c r="R40" s="1574" t="s">
        <v>8</v>
      </c>
      <c r="S40" s="1575">
        <f t="shared" si="10"/>
        <v>100</v>
      </c>
      <c r="T40" s="1574" t="s">
        <v>8</v>
      </c>
      <c r="U40" s="1575">
        <f t="shared" si="11"/>
        <v>100</v>
      </c>
      <c r="V40" s="1574" t="s">
        <v>8</v>
      </c>
      <c r="W40" s="1575">
        <f t="shared" si="12"/>
        <v>100</v>
      </c>
      <c r="X40" s="1568"/>
      <c r="Y40" s="353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531"/>
      <c r="Q41" s="1573">
        <f t="shared" si="14"/>
        <v>111</v>
      </c>
      <c r="R41" s="1574" t="s">
        <v>8</v>
      </c>
      <c r="S41" s="1575">
        <f t="shared" si="10"/>
        <v>100</v>
      </c>
      <c r="T41" s="1574" t="s">
        <v>8</v>
      </c>
      <c r="U41" s="1575">
        <f t="shared" si="11"/>
        <v>100</v>
      </c>
      <c r="V41" s="1574" t="s">
        <v>8</v>
      </c>
      <c r="W41" s="1575">
        <f t="shared" si="12"/>
        <v>100</v>
      </c>
      <c r="X41" s="1568"/>
      <c r="Y41" s="353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531"/>
      <c r="Q42" s="1573">
        <f t="shared" si="14"/>
        <v>111</v>
      </c>
      <c r="R42" s="1578" t="s">
        <v>8</v>
      </c>
      <c r="S42" s="1579">
        <f t="shared" si="10"/>
        <v>100</v>
      </c>
      <c r="T42" s="1578" t="s">
        <v>8</v>
      </c>
      <c r="U42" s="1579">
        <f t="shared" si="11"/>
        <v>100</v>
      </c>
      <c r="V42" s="1578" t="s">
        <v>8</v>
      </c>
      <c r="W42" s="1579">
        <f t="shared" si="12"/>
        <v>100</v>
      </c>
      <c r="X42" s="1580"/>
      <c r="Y42" s="3531"/>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494" t="str">
        <f>A43</f>
        <v>成交单价</v>
      </c>
      <c r="Q43" s="3494"/>
      <c r="R43" s="3495">
        <f>E43</f>
        <v>0</v>
      </c>
      <c r="S43" s="3495"/>
      <c r="T43" s="3495">
        <f>G43</f>
        <v>0</v>
      </c>
      <c r="U43" s="3495"/>
      <c r="V43" s="3495">
        <f>I43</f>
        <v>0</v>
      </c>
      <c r="W43" s="3495"/>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494" t="str">
        <f>A44</f>
        <v>比较价格（元/平方米）</v>
      </c>
      <c r="Q44" s="3494"/>
      <c r="R44" s="3496" t="e">
        <f>ROUND(PRODUCT(R43,AA9:AA42),0)</f>
        <v>#DIV/0!</v>
      </c>
      <c r="S44" s="3496"/>
      <c r="T44" s="3496" t="e">
        <f>ROUND(PRODUCT(T43,AB9:AB42),0)</f>
        <v>#DIV/0!</v>
      </c>
      <c r="U44" s="3496"/>
      <c r="V44" s="3496" t="e">
        <f>ROUND(PRODUCT(V43,AC9:AC42),0)</f>
        <v>#DIV/0!</v>
      </c>
      <c r="W44" s="3496"/>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91" t="str">
        <f>A45</f>
        <v>估价对象XX用房的比较价格（楼面单价，元/平方米）</v>
      </c>
      <c r="Q45" s="3492"/>
      <c r="R45" s="3493" t="e">
        <f>ROUND(AVERAGE(R44:V44),0)</f>
        <v>#DIV/0!</v>
      </c>
      <c r="S45" s="3493"/>
      <c r="T45" s="3493"/>
      <c r="U45" s="3493"/>
      <c r="V45" s="3493"/>
      <c r="W45" s="349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538" t="s">
        <v>2280</v>
      </c>
      <c r="H52" s="3539"/>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334812</v>
      </c>
      <c r="F53" s="1952" t="e">
        <f t="shared" ref="F53:F62" si="15">ROUND(B53*E53/10000,0)</f>
        <v>#DIV/0!</v>
      </c>
      <c r="G53" s="3540"/>
      <c r="H53" s="354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542"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542"/>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542"/>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542"/>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145654.57999999999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2019-9-1</v>
      </c>
      <c r="D65" s="2799">
        <f>EDATE(C65,-3)</f>
        <v>43617</v>
      </c>
      <c r="E65" s="2799">
        <f t="shared" ref="E65:N65" si="18">EDATE(D65,-3)</f>
        <v>43525</v>
      </c>
      <c r="F65" s="2799">
        <f t="shared" si="18"/>
        <v>43435</v>
      </c>
      <c r="G65" s="2799">
        <f t="shared" si="18"/>
        <v>43344</v>
      </c>
      <c r="H65" s="2799">
        <f t="shared" si="18"/>
        <v>43252</v>
      </c>
      <c r="I65" s="2799">
        <f t="shared" si="18"/>
        <v>43160</v>
      </c>
      <c r="J65" s="2799">
        <f t="shared" si="18"/>
        <v>43070</v>
      </c>
      <c r="K65" s="2799">
        <f t="shared" si="18"/>
        <v>42979</v>
      </c>
      <c r="L65" s="2799">
        <f t="shared" si="18"/>
        <v>42887</v>
      </c>
      <c r="M65" s="2799">
        <f t="shared" si="18"/>
        <v>42795</v>
      </c>
      <c r="N65" s="2799">
        <f t="shared" si="18"/>
        <v>42705</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5" t="str">
        <f>YEAR(C65)&amp;"-"&amp;ROUNDUP(MONTH(C65)/3,0)</f>
        <v>2019-3</v>
      </c>
      <c r="D67" s="2801" t="str">
        <f t="shared" ref="D67:N67" si="19">YEAR(D65)&amp;"-"&amp;ROUNDUP(MONTH(D65)/3,0)</f>
        <v>2019-2</v>
      </c>
      <c r="E67" s="2801" t="str">
        <f t="shared" si="19"/>
        <v>2019-1</v>
      </c>
      <c r="F67" s="2801" t="str">
        <f t="shared" si="19"/>
        <v>2018-4</v>
      </c>
      <c r="G67" s="2801" t="str">
        <f t="shared" si="19"/>
        <v>2018-3</v>
      </c>
      <c r="H67" s="2801" t="str">
        <f t="shared" si="19"/>
        <v>2018-2</v>
      </c>
      <c r="I67" s="2801" t="str">
        <f t="shared" si="19"/>
        <v>2018-1</v>
      </c>
      <c r="J67" s="2801" t="str">
        <f t="shared" si="19"/>
        <v>2017-4</v>
      </c>
      <c r="K67" s="2801" t="str">
        <f t="shared" si="19"/>
        <v>2017-3</v>
      </c>
      <c r="L67" s="2801" t="str">
        <f t="shared" si="19"/>
        <v>2017-2</v>
      </c>
      <c r="M67" s="2801" t="str">
        <f t="shared" si="19"/>
        <v>2017-1</v>
      </c>
      <c r="N67" s="2801" t="str">
        <f t="shared" si="19"/>
        <v>2016-4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2645</v>
      </c>
      <c r="B68" s="479" t="str">
        <f>"北京市平均增长率"&amp;TEXT(基准地价住宅!P24,"0.00%")</f>
        <v>北京市平均增长率1.40%</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90" zoomScaleNormal="90" workbookViewId="0">
      <selection activeCell="C19" sqref="C1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334812</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2758</v>
      </c>
      <c r="T1" s="2936" t="s">
        <v>2779</v>
      </c>
      <c r="U1" s="2936" t="s">
        <v>2780</v>
      </c>
      <c r="V1" s="2936" t="s">
        <v>2781</v>
      </c>
      <c r="W1" s="2191"/>
      <c r="X1" s="2191"/>
      <c r="Y1" s="2191"/>
      <c r="Z1" s="2191"/>
      <c r="AA1" s="2191"/>
      <c r="AB1" s="2191"/>
      <c r="AC1" s="2192"/>
    </row>
    <row r="2" spans="1:39" ht="15.75">
      <c r="A2" s="1407" t="s">
        <v>917</v>
      </c>
      <c r="B2" s="1038">
        <f ca="1">C26</f>
        <v>184281</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12030</v>
      </c>
      <c r="U2" s="2926"/>
      <c r="V2" s="2937">
        <f ca="1">ROUND(T2*U2/10000,0)</f>
        <v>0</v>
      </c>
      <c r="W2" s="2191"/>
      <c r="X2" s="2191"/>
      <c r="Y2" s="2191"/>
      <c r="Z2" s="2191"/>
      <c r="AA2" s="2191"/>
      <c r="AB2" s="2191"/>
      <c r="AC2" s="2192"/>
    </row>
    <row r="3" spans="1:39" ht="24">
      <c r="A3" s="1412" t="s">
        <v>1681</v>
      </c>
      <c r="B3" s="1038">
        <f ca="1">ROUND(B2*10000/D1,0)</f>
        <v>5504</v>
      </c>
      <c r="C3" s="1408" t="s">
        <v>924</v>
      </c>
      <c r="D3" s="1409" t="s">
        <v>925</v>
      </c>
      <c r="E3" s="1413" t="s">
        <v>3000</v>
      </c>
      <c r="F3" s="1414" t="s">
        <v>3040</v>
      </c>
      <c r="G3" s="1039">
        <f>IF(F3="宗地容积率",'数据-汇总表'!I4,IF(F3="估价对象容积率",'数据-汇总表'!I6,'数据-汇总表'!I7))</f>
        <v>2.2799999999999998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7928</v>
      </c>
      <c r="U3" s="2926"/>
      <c r="V3" s="2937">
        <f t="shared" ref="V3:V16" ca="1" si="1">ROUND(T3*U3/10000,0)</f>
        <v>0</v>
      </c>
      <c r="W3" s="2191"/>
      <c r="X3" s="2191"/>
      <c r="Y3" s="2191"/>
      <c r="Z3" s="2191"/>
      <c r="AA3" s="2191"/>
      <c r="AB3" s="2191"/>
      <c r="AC3" s="2192"/>
    </row>
    <row r="4" spans="1:39" ht="28.5">
      <c r="A4" s="1893" t="s">
        <v>2276</v>
      </c>
      <c r="B4" s="2455">
        <f ca="1">ROUND(B2*10000/F1,0)</f>
        <v>10292</v>
      </c>
      <c r="C4" s="1896" t="s">
        <v>2250</v>
      </c>
      <c r="D4" s="1896">
        <f ca="1">ROUND(B2/(F1/666.67),0)</f>
        <v>686</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6239</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14">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4661</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3505</v>
      </c>
      <c r="U6" s="2926"/>
      <c r="V6" s="2937">
        <f t="shared" ca="1" si="1"/>
        <v>0</v>
      </c>
      <c r="W6" s="2191"/>
      <c r="X6" s="2191"/>
      <c r="Y6" s="2191"/>
      <c r="Z6" s="2191"/>
      <c r="AA6" s="2191"/>
      <c r="AB6" s="2191"/>
      <c r="AC6" s="2193"/>
      <c r="AD6" s="1420"/>
      <c r="AE6" s="1420"/>
      <c r="AF6" s="1420"/>
      <c r="AG6" s="1420"/>
      <c r="AH6" s="1420"/>
      <c r="AI6" s="1420"/>
      <c r="AJ6" s="1421"/>
    </row>
    <row r="7" spans="1:39" ht="24">
      <c r="A7" s="3552"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2803</v>
      </c>
      <c r="U7" s="2926"/>
      <c r="V7" s="2937">
        <f t="shared" ca="1" si="1"/>
        <v>0</v>
      </c>
      <c r="W7" s="2935" t="s">
        <v>2760</v>
      </c>
      <c r="X7" s="2927" t="str">
        <f>G2</f>
        <v>九级</v>
      </c>
      <c r="Y7" s="2927" t="s">
        <v>2761</v>
      </c>
      <c r="Z7" s="2928">
        <f>G3</f>
        <v>2.2799999999999998</v>
      </c>
      <c r="AA7" s="2194"/>
      <c r="AB7" s="2194"/>
      <c r="AC7" s="2195"/>
      <c r="AD7" s="2929"/>
      <c r="AE7" s="2929"/>
      <c r="AF7" s="2929"/>
      <c r="AG7" s="2929"/>
      <c r="AH7" s="2929"/>
      <c r="AI7" s="2929"/>
      <c r="AJ7" s="2930"/>
    </row>
    <row r="8" spans="1:39" ht="25.5">
      <c r="A8" s="3553"/>
      <c r="B8" s="1415" t="s">
        <v>931</v>
      </c>
      <c r="C8" s="1530" t="s">
        <v>3003</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44" t="s">
        <v>2778</v>
      </c>
      <c r="X8" s="354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53"/>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7">
        <v>8</v>
      </c>
      <c r="S9" s="2926"/>
      <c r="T9" s="2937">
        <f t="shared" ca="1" si="0"/>
        <v>0</v>
      </c>
      <c r="U9" s="2926"/>
      <c r="V9" s="2937">
        <f t="shared" ca="1" si="1"/>
        <v>0</v>
      </c>
      <c r="W9" s="354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53"/>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4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53"/>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43" t="s">
        <v>2776</v>
      </c>
      <c r="X11" s="1048" t="s">
        <v>2761</v>
      </c>
      <c r="Y11" s="1654">
        <f>$G$3</f>
        <v>2.2799999999999998</v>
      </c>
      <c r="Z11" s="1654">
        <f t="shared" ref="Z11:AJ11" si="3">$G$3</f>
        <v>2.2799999999999998</v>
      </c>
      <c r="AA11" s="1654">
        <f t="shared" si="3"/>
        <v>2.2799999999999998</v>
      </c>
      <c r="AB11" s="1654">
        <f t="shared" si="3"/>
        <v>2.2799999999999998</v>
      </c>
      <c r="AC11" s="1654">
        <f t="shared" si="3"/>
        <v>2.2799999999999998</v>
      </c>
      <c r="AD11" s="1654">
        <f t="shared" si="3"/>
        <v>2.2799999999999998</v>
      </c>
      <c r="AE11" s="1654">
        <f t="shared" si="3"/>
        <v>2.2799999999999998</v>
      </c>
      <c r="AF11" s="1654">
        <f t="shared" si="3"/>
        <v>2.2799999999999998</v>
      </c>
      <c r="AG11" s="1654">
        <f t="shared" si="3"/>
        <v>2.2799999999999998</v>
      </c>
      <c r="AH11" s="1654">
        <f t="shared" si="3"/>
        <v>2.2799999999999998</v>
      </c>
      <c r="AI11" s="1654">
        <f t="shared" si="3"/>
        <v>2.2799999999999998</v>
      </c>
      <c r="AJ11" s="1654">
        <f t="shared" si="3"/>
        <v>2.2799999999999998</v>
      </c>
    </row>
    <row r="12" spans="1:39" ht="25.5" thickBot="1">
      <c r="A12" s="3552"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4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54"/>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43"/>
      <c r="X13" s="2934"/>
      <c r="Y13" s="2933">
        <f>(-0.163*(Y12^2)-0.59*Y12+7617)*(10^(-4))/Y11</f>
        <v>0.33407894736842109</v>
      </c>
      <c r="Z13" s="2933">
        <f t="shared" ref="Z13:AJ13" si="5">(-0.163*(Z12^2)-0.59*Z12+7617)*(10^(-4))/Z11</f>
        <v>0.33407894736842109</v>
      </c>
      <c r="AA13" s="2933">
        <f t="shared" si="5"/>
        <v>0.33407894736842109</v>
      </c>
      <c r="AB13" s="2933">
        <f t="shared" si="5"/>
        <v>0.33407894736842109</v>
      </c>
      <c r="AC13" s="2933">
        <f t="shared" si="5"/>
        <v>0.33407894736842109</v>
      </c>
      <c r="AD13" s="2933">
        <f t="shared" si="5"/>
        <v>0.33407894736842109</v>
      </c>
      <c r="AE13" s="2933">
        <f t="shared" si="5"/>
        <v>0.33407894736842109</v>
      </c>
      <c r="AF13" s="2933">
        <f t="shared" si="5"/>
        <v>0.33407894736842109</v>
      </c>
      <c r="AG13" s="2933">
        <f t="shared" si="5"/>
        <v>0.33407894736842109</v>
      </c>
      <c r="AH13" s="2933">
        <f t="shared" si="5"/>
        <v>0.33407894736842109</v>
      </c>
      <c r="AI13" s="2933">
        <f t="shared" si="5"/>
        <v>0.33407894736842109</v>
      </c>
      <c r="AJ13" s="2933">
        <f t="shared" si="5"/>
        <v>0.33407894736842109</v>
      </c>
    </row>
    <row r="14" spans="1:39" ht="12.75" customHeight="1" thickBot="1">
      <c r="A14" s="3554"/>
      <c r="B14" s="1452"/>
      <c r="C14" s="1453" t="s">
        <v>3029</v>
      </c>
      <c r="D14" s="1454" t="s">
        <v>3029</v>
      </c>
      <c r="E14" s="1454" t="s">
        <v>3029</v>
      </c>
      <c r="F14" s="1455" t="s">
        <v>3030</v>
      </c>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55"/>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52" t="s">
        <v>1832</v>
      </c>
      <c r="B16" s="1428" t="s">
        <v>947</v>
      </c>
      <c r="C16" s="3208">
        <f>ROUND((H17+I17-G17)/C17,0)</f>
        <v>40</v>
      </c>
      <c r="D16" s="1461" t="s">
        <v>948</v>
      </c>
      <c r="E16" s="3194" t="s">
        <v>3067</v>
      </c>
      <c r="F16" s="3195" t="s">
        <v>3044</v>
      </c>
      <c r="G16" s="3196" t="s">
        <v>3068</v>
      </c>
      <c r="H16" s="1464" t="s">
        <v>3046</v>
      </c>
      <c r="I16" s="1464" t="s">
        <v>3045</v>
      </c>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53"/>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ROUND(IF(H19="按公示增长率计算",SUMPRODUCT((地价!A3:A27=YEAR(G19)&amp;"-"&amp;ROUNDUP(MONTH(G19)/3,0))*(地价!X2:AB2=E2)*(地价!X3:AB27)),IF(H19="地价指数",M20/M19,(1+I19)^O19)),4)</f>
        <v>1.6563000000000001</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423</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1830</v>
      </c>
      <c r="B20" s="2780" t="s">
        <v>969</v>
      </c>
      <c r="C20" s="2781">
        <f ca="1">ROUND(POWER(1+G20,J20-I20)*(POWER(1+G20,I20)-1)/(POWER(1+G20,J20)-1),4)</f>
        <v>1</v>
      </c>
      <c r="D20" s="2782" t="s">
        <v>970</v>
      </c>
      <c r="E20" s="3096">
        <f ca="1">存贷款利率!I4/100</f>
        <v>4.3499999999999997E-2</v>
      </c>
      <c r="F20" s="2782" t="s">
        <v>971</v>
      </c>
      <c r="G20" s="2783">
        <f ca="1">SUMIF(M15:P15,E2,M17:P17)</f>
        <v>0.05</v>
      </c>
      <c r="H20" s="2782" t="s">
        <v>972</v>
      </c>
      <c r="I20" s="2772">
        <f>SUMIF('数据-取费表'!C6:C15,E2,'数据-取费表'!F6:F15)/COUNTIF('数据-取费表'!C6:C15,E2)</f>
        <v>70</v>
      </c>
      <c r="J20" s="2784">
        <f>IF(E2="住宅",70,IF(E2="商业",40,50))</f>
        <v>70</v>
      </c>
      <c r="K20" s="1482"/>
      <c r="L20" s="3042" t="s">
        <v>2837</v>
      </c>
      <c r="M20" s="3043">
        <f>ROUND(SUMPRODUCT((地价!A4:A27=YEAR(G19)&amp;"-"&amp;ROUNDUP(MONTH(G19)/3,0))*(地价!B2:F2=E2)*(地价!B4:F27)),0)</f>
        <v>678</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0.88849999999999996</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0.88849999999999996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184281</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5504</v>
      </c>
      <c r="D29" s="1505">
        <f>'数据-汇总表'!E3</f>
        <v>334812</v>
      </c>
      <c r="E29" s="1851">
        <f ca="1">ROUND(C29*D29/10000,0)</f>
        <v>184281</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1376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8"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9"/>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9"/>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60"/>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1239</v>
      </c>
      <c r="D37" s="1538"/>
      <c r="E37" s="1048">
        <f t="shared" ca="1" si="7"/>
        <v>0</v>
      </c>
      <c r="F37" s="1063">
        <f>SUMIF(修正!A45:A56,G2,修正!F45:F56)</f>
        <v>0.2</v>
      </c>
      <c r="G37" s="1048">
        <f ca="1">ROUND(IF(E2="工业",C37*$M$39,C37*$M$38),0)</f>
        <v>310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1239</v>
      </c>
      <c r="D38" s="1538"/>
      <c r="E38" s="1048">
        <f t="shared" ca="1" si="7"/>
        <v>0</v>
      </c>
      <c r="F38" s="1063">
        <f>SUMIF(修正!A45:A56,G2,修正!G45:G56)</f>
        <v>0.2</v>
      </c>
      <c r="G38" s="1048">
        <f ca="1">ROUND(IF(E2="工业",C38*$M$39,C38*$M$38),0)</f>
        <v>310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929</v>
      </c>
      <c r="D39" s="1539"/>
      <c r="E39" s="1051">
        <f t="shared" ca="1" si="7"/>
        <v>0</v>
      </c>
      <c r="F39" s="1065">
        <f>SUMIF(修正!A45:A56,G2,修正!H45:H56)</f>
        <v>0.15</v>
      </c>
      <c r="G39" s="1051">
        <f ca="1">ROUND(IF(E2="工业",C39*$M$39,C39*$M$38),0)</f>
        <v>232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098"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3063</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3064</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3065</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3066</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3063</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3066</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t="s">
        <v>3065</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3065</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3065</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7"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56" t="s">
        <v>1631</v>
      </c>
      <c r="B90" s="3556"/>
      <c r="C90" s="3556"/>
      <c r="D90" s="3556"/>
      <c r="E90" s="3556"/>
      <c r="F90" s="3556"/>
      <c r="G90" s="3556"/>
      <c r="H90" s="3556"/>
      <c r="I90" s="3556"/>
      <c r="J90" s="3556"/>
      <c r="K90" s="2452"/>
      <c r="L90" s="2452"/>
      <c r="M90" s="2452"/>
      <c r="N90" s="2452"/>
    </row>
    <row r="91" spans="1:40">
      <c r="A91" s="3557" t="s">
        <v>1441</v>
      </c>
      <c r="B91" s="3557" t="s">
        <v>1632</v>
      </c>
      <c r="C91" s="1140" t="s">
        <v>1633</v>
      </c>
      <c r="D91" s="1141"/>
      <c r="E91" s="1141"/>
      <c r="F91" s="1141"/>
      <c r="G91" s="1141"/>
      <c r="H91" s="1141"/>
      <c r="I91" s="1141"/>
      <c r="J91" s="1142"/>
      <c r="K91" s="1134"/>
      <c r="L91" s="1134"/>
      <c r="M91" s="1134"/>
      <c r="N91" s="1134"/>
    </row>
    <row r="92" spans="1:40">
      <c r="A92" s="3557"/>
      <c r="B92" s="3557"/>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4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47"/>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46" t="s">
        <v>1635</v>
      </c>
      <c r="B101" s="1147" t="s">
        <v>903</v>
      </c>
      <c r="C101" s="1148">
        <f>$G$3</f>
        <v>2.2799999999999998</v>
      </c>
      <c r="D101" s="1148">
        <f t="shared" ref="D101:N101" si="32">$G$3</f>
        <v>2.2799999999999998</v>
      </c>
      <c r="E101" s="1148">
        <f t="shared" si="32"/>
        <v>2.2799999999999998</v>
      </c>
      <c r="F101" s="1148">
        <f t="shared" si="32"/>
        <v>2.2799999999999998</v>
      </c>
      <c r="G101" s="1148">
        <f t="shared" si="32"/>
        <v>2.2799999999999998</v>
      </c>
      <c r="H101" s="1148">
        <f t="shared" si="32"/>
        <v>2.2799999999999998</v>
      </c>
      <c r="I101" s="1148">
        <f t="shared" si="32"/>
        <v>2.2799999999999998</v>
      </c>
      <c r="J101" s="1148">
        <f t="shared" si="32"/>
        <v>2.2799999999999998</v>
      </c>
      <c r="K101" s="1148">
        <f t="shared" si="32"/>
        <v>2.2799999999999998</v>
      </c>
      <c r="L101" s="1148">
        <f t="shared" si="32"/>
        <v>2.2799999999999998</v>
      </c>
      <c r="M101" s="1148">
        <f t="shared" si="32"/>
        <v>2.2799999999999998</v>
      </c>
      <c r="N101" s="1148">
        <f t="shared" si="32"/>
        <v>2.2799999999999998</v>
      </c>
    </row>
    <row r="102" spans="1:14">
      <c r="A102" s="3547"/>
      <c r="B102" s="1143">
        <v>1</v>
      </c>
      <c r="C102" s="1144">
        <f>1.9362/C101</f>
        <v>0.84921052631578953</v>
      </c>
      <c r="D102" s="1144">
        <f>1.9362/D101</f>
        <v>0.84921052631578953</v>
      </c>
      <c r="E102" s="1144">
        <f>1.8629/E101</f>
        <v>0.81706140350877199</v>
      </c>
      <c r="F102" s="1144">
        <f>1.8629/F101</f>
        <v>0.81706140350877199</v>
      </c>
      <c r="G102" s="1144">
        <f>1.8629/G101</f>
        <v>0.81706140350877199</v>
      </c>
      <c r="H102" s="1144">
        <f>1.8629/H101</f>
        <v>0.81706140350877199</v>
      </c>
      <c r="I102" s="1144">
        <f>1.8629/I101</f>
        <v>0.81706140350877199</v>
      </c>
      <c r="J102" s="1144">
        <f>1.942/J101</f>
        <v>0.85175438596491237</v>
      </c>
      <c r="K102" s="1144">
        <f>1.942/K101</f>
        <v>0.85175438596491237</v>
      </c>
      <c r="L102" s="1144">
        <f>1.942/L101</f>
        <v>0.85175438596491237</v>
      </c>
      <c r="M102" s="1144">
        <f>1.942/M101</f>
        <v>0.85175438596491237</v>
      </c>
      <c r="N102" s="1144">
        <f>1.942/N101</f>
        <v>0.85175438596491237</v>
      </c>
    </row>
    <row r="103" spans="1:14">
      <c r="A103" s="3547"/>
      <c r="B103" s="1143">
        <v>2</v>
      </c>
      <c r="C103" s="1144">
        <f>1.4198/C101</f>
        <v>0.62271929824561412</v>
      </c>
      <c r="D103" s="1144">
        <f>1.4198/D101</f>
        <v>0.62271929824561412</v>
      </c>
      <c r="E103" s="1144">
        <f>1.3372/E101</f>
        <v>0.58649122807017551</v>
      </c>
      <c r="F103" s="1144">
        <f>1.3372/F101</f>
        <v>0.58649122807017551</v>
      </c>
      <c r="G103" s="1144">
        <f>1.3372/G101</f>
        <v>0.58649122807017551</v>
      </c>
      <c r="H103" s="1144">
        <f>1.3372/H101</f>
        <v>0.58649122807017551</v>
      </c>
      <c r="I103" s="1144">
        <f>1.3372/I101</f>
        <v>0.58649122807017551</v>
      </c>
      <c r="J103" s="1144">
        <f>1.2799/J101</f>
        <v>0.56135964912280711</v>
      </c>
      <c r="K103" s="1144">
        <f>1.2799/K101</f>
        <v>0.56135964912280711</v>
      </c>
      <c r="L103" s="1144">
        <f>1.2799/L101</f>
        <v>0.56135964912280711</v>
      </c>
      <c r="M103" s="1144">
        <f>1.2799/M101</f>
        <v>0.56135964912280711</v>
      </c>
      <c r="N103" s="1144">
        <f>1.2799/N101</f>
        <v>0.56135964912280711</v>
      </c>
    </row>
    <row r="104" spans="1:14">
      <c r="A104" s="3547"/>
      <c r="B104" s="1143">
        <v>3</v>
      </c>
      <c r="C104" s="1144">
        <f>1.1594/C101</f>
        <v>0.50850877192982458</v>
      </c>
      <c r="D104" s="1144">
        <f>1.1594/D101</f>
        <v>0.50850877192982458</v>
      </c>
      <c r="E104" s="1144">
        <f>1.0788/E101</f>
        <v>0.47315789473684211</v>
      </c>
      <c r="F104" s="1144">
        <f>1.0788/F101</f>
        <v>0.47315789473684211</v>
      </c>
      <c r="G104" s="1144">
        <f>1.0788/G101</f>
        <v>0.47315789473684211</v>
      </c>
      <c r="H104" s="1144">
        <f>1.0788/H101</f>
        <v>0.47315789473684211</v>
      </c>
      <c r="I104" s="1144">
        <f>1.0788/I101</f>
        <v>0.47315789473684211</v>
      </c>
      <c r="J104" s="1144">
        <f>1.0072/J101</f>
        <v>0.44175438596491234</v>
      </c>
      <c r="K104" s="1144">
        <f>1.0072/K101</f>
        <v>0.44175438596491234</v>
      </c>
      <c r="L104" s="1144">
        <f>1.0072/L101</f>
        <v>0.44175438596491234</v>
      </c>
      <c r="M104" s="1144">
        <f>1.0072/M101</f>
        <v>0.44175438596491234</v>
      </c>
      <c r="N104" s="1144">
        <f>1.0072/N101</f>
        <v>0.44175438596491234</v>
      </c>
    </row>
    <row r="105" spans="1:14">
      <c r="A105" s="3547"/>
      <c r="B105" s="1143">
        <v>4</v>
      </c>
      <c r="C105" s="1144">
        <f>0.9622/C101</f>
        <v>0.42201754385964918</v>
      </c>
      <c r="D105" s="1144">
        <f>0.9622/D101</f>
        <v>0.42201754385964918</v>
      </c>
      <c r="E105" s="1144">
        <f>0.8656/E101</f>
        <v>0.37964912280701757</v>
      </c>
      <c r="F105" s="1144">
        <f>0.8656/F101</f>
        <v>0.37964912280701757</v>
      </c>
      <c r="G105" s="1144">
        <f>0.8656/G101</f>
        <v>0.37964912280701757</v>
      </c>
      <c r="H105" s="1144">
        <f>0.8656/H101</f>
        <v>0.37964912280701757</v>
      </c>
      <c r="I105" s="1144">
        <f>0.8656/I101</f>
        <v>0.37964912280701757</v>
      </c>
      <c r="J105" s="1144">
        <f>0.7525/J101</f>
        <v>0.33004385964912281</v>
      </c>
      <c r="K105" s="1144">
        <f>0.7525/K101</f>
        <v>0.33004385964912281</v>
      </c>
      <c r="L105" s="1144">
        <f>0.7525/L101</f>
        <v>0.33004385964912281</v>
      </c>
      <c r="M105" s="1144">
        <f>0.7525/M101</f>
        <v>0.33004385964912281</v>
      </c>
      <c r="N105" s="1144">
        <f>0.7525/N101</f>
        <v>0.33004385964912281</v>
      </c>
    </row>
    <row r="106" spans="1:14">
      <c r="A106" s="3547"/>
      <c r="B106" s="1143">
        <v>5</v>
      </c>
      <c r="C106" s="1144">
        <f>0.8417/C101</f>
        <v>0.3691666666666667</v>
      </c>
      <c r="D106" s="1144">
        <f>0.8417/D101</f>
        <v>0.3691666666666667</v>
      </c>
      <c r="E106" s="1144">
        <f>0.7371/E101</f>
        <v>0.32328947368421057</v>
      </c>
      <c r="F106" s="1144">
        <f>0.7371/F101</f>
        <v>0.32328947368421057</v>
      </c>
      <c r="G106" s="1144">
        <f>0.7371/G101</f>
        <v>0.32328947368421057</v>
      </c>
      <c r="H106" s="1144">
        <f>0.7371/H101</f>
        <v>0.32328947368421057</v>
      </c>
      <c r="I106" s="1144">
        <f>0.7371/I101</f>
        <v>0.32328947368421057</v>
      </c>
      <c r="J106" s="1144">
        <f>0.5659/J101</f>
        <v>0.24820175438596492</v>
      </c>
      <c r="K106" s="1144">
        <f>0.5659/K101</f>
        <v>0.24820175438596492</v>
      </c>
      <c r="L106" s="1144">
        <f>0.5659/L101</f>
        <v>0.24820175438596492</v>
      </c>
      <c r="M106" s="1144">
        <f>0.5659/M101</f>
        <v>0.24820175438596492</v>
      </c>
      <c r="N106" s="1144">
        <f>0.5659/N101</f>
        <v>0.24820175438596492</v>
      </c>
    </row>
    <row r="107" spans="1:14">
      <c r="A107" s="3547"/>
      <c r="B107" s="1143">
        <v>6</v>
      </c>
      <c r="C107" s="1144">
        <f>0.7608/C101</f>
        <v>0.33368421052631581</v>
      </c>
      <c r="D107" s="1144">
        <f>0.7608/D101</f>
        <v>0.33368421052631581</v>
      </c>
      <c r="E107" s="1144">
        <f>0.6482/E101</f>
        <v>0.28429824561403511</v>
      </c>
      <c r="F107" s="1144">
        <f>0.6482/F101</f>
        <v>0.28429824561403511</v>
      </c>
      <c r="G107" s="1144">
        <f>0.6482/G101</f>
        <v>0.28429824561403511</v>
      </c>
      <c r="H107" s="1144">
        <f>0.6482/H101</f>
        <v>0.28429824561403511</v>
      </c>
      <c r="I107" s="1144">
        <f>0.6482/I101</f>
        <v>0.28429824561403511</v>
      </c>
      <c r="J107" s="1144">
        <f>0.4525/J101</f>
        <v>0.19846491228070179</v>
      </c>
      <c r="K107" s="1144">
        <f>0.4525/K101</f>
        <v>0.19846491228070179</v>
      </c>
      <c r="L107" s="1144">
        <f>0.4525/L101</f>
        <v>0.19846491228070179</v>
      </c>
      <c r="M107" s="1144">
        <f>0.4525/M101</f>
        <v>0.19846491228070179</v>
      </c>
      <c r="N107" s="1144">
        <f>0.4525/N101</f>
        <v>0.19846491228070179</v>
      </c>
    </row>
    <row r="108" spans="1:14">
      <c r="A108" s="3547"/>
      <c r="B108" s="3549"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48"/>
      <c r="B109" s="3550"/>
      <c r="C109" s="1146">
        <f>(-0.163*(C108^2)-0.59*C108+7617)*(10^(-4))/C101</f>
        <v>0.3334143859649123</v>
      </c>
      <c r="D109" s="1146">
        <f>(-0.163*(D108^2)-0.59*D108+7617)*(10^(-4))/D101</f>
        <v>0.3334143859649123</v>
      </c>
      <c r="E109" s="1146">
        <f>(-0.161*(E108^2)-7.509*E108+6533)*(10^(-4))/E101</f>
        <v>0.28344842105263163</v>
      </c>
      <c r="F109" s="1146">
        <f>(-0.161*(F108^2)-7.509*F108+6533)*(10^(-4))/F101</f>
        <v>0.28344842105263163</v>
      </c>
      <c r="G109" s="1146">
        <f>(-0.161*(G108^2)-7.509*G108+6533)*(10^(-4))/G101</f>
        <v>0.28344842105263163</v>
      </c>
      <c r="H109" s="1146">
        <f>(-0.161*(H108^2)-7.509*H108+6533)*(10^(-4))/H101</f>
        <v>0.28344842105263163</v>
      </c>
      <c r="I109" s="1146">
        <f>(-0.161*(I108^2)-7.509*I108+6533)*(10^(-4))/I101</f>
        <v>0.28344842105263163</v>
      </c>
      <c r="J109" s="1146">
        <f>(-0.214*(J108^2)-21.991*J108+4665)*(10^(-4))/J101</f>
        <v>0.19628842105263161</v>
      </c>
      <c r="K109" s="1146">
        <f>(-0.214*(K108^2)-21.991*K108+4665)*(10^(-4))/K101</f>
        <v>0.19628842105263161</v>
      </c>
      <c r="L109" s="1146">
        <f>(-0.214*(L108^2)-21.991*L108+4665)*(10^(-4))/L101</f>
        <v>0.19628842105263161</v>
      </c>
      <c r="M109" s="1146">
        <f>(-0.214*(M108^2)-21.991*M108+4665)*(10^(-4))/M101</f>
        <v>0.19628842105263161</v>
      </c>
      <c r="N109" s="1146">
        <f>(-0.214*(N108^2)-21.991*N108+4665)*(10^(-4))/N101</f>
        <v>0.19628842105263161</v>
      </c>
    </row>
    <row r="110" spans="1:14">
      <c r="A110" s="3551" t="s">
        <v>1637</v>
      </c>
      <c r="B110" s="3551"/>
      <c r="C110" s="3551"/>
      <c r="D110" s="3551"/>
      <c r="E110" s="3551"/>
      <c r="F110" s="3551"/>
      <c r="G110" s="3551"/>
      <c r="H110" s="3551"/>
      <c r="I110" s="3551"/>
      <c r="J110" s="3551"/>
      <c r="K110" s="2450"/>
      <c r="L110" s="2450"/>
      <c r="M110" s="2450"/>
      <c r="N110" s="2450"/>
    </row>
    <row r="112" spans="1:14" ht="12.75" thickBot="1"/>
    <row r="113" spans="1:13" ht="25.5" thickBot="1">
      <c r="A113" s="1016" t="s">
        <v>893</v>
      </c>
      <c r="B113" s="2453">
        <f>G3</f>
        <v>2.2799999999999998</v>
      </c>
      <c r="C113" s="1017" t="s">
        <v>894</v>
      </c>
      <c r="D113" s="1018">
        <f>SUMPRODUCT((A115:A118=F113)*(B114:M114=H113)*B115:M118)</f>
        <v>0.71950000000000003</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0.91210000000000002</v>
      </c>
      <c r="C115" s="1030">
        <f>B115</f>
        <v>0.91210000000000002</v>
      </c>
      <c r="D115" s="1030">
        <f>ROUND(0.8331-0.0109*B113,4)</f>
        <v>0.80820000000000003</v>
      </c>
      <c r="E115" s="1030">
        <f>D115</f>
        <v>0.80820000000000003</v>
      </c>
      <c r="F115" s="1030">
        <f>E115</f>
        <v>0.80820000000000003</v>
      </c>
      <c r="G115" s="1030">
        <f>F115</f>
        <v>0.80820000000000003</v>
      </c>
      <c r="H115" s="1030">
        <f>G115</f>
        <v>0.80820000000000003</v>
      </c>
      <c r="I115" s="1030">
        <f>ROUND(0.689-0.0155*B113,4)</f>
        <v>0.65369999999999995</v>
      </c>
      <c r="J115" s="1030">
        <f t="shared" ref="J115:M118" si="34">I115</f>
        <v>0.65369999999999995</v>
      </c>
      <c r="K115" s="1030">
        <f t="shared" si="34"/>
        <v>0.65369999999999995</v>
      </c>
      <c r="L115" s="1030">
        <f t="shared" si="34"/>
        <v>0.65369999999999995</v>
      </c>
      <c r="M115" s="1031">
        <f t="shared" si="34"/>
        <v>0.65369999999999995</v>
      </c>
    </row>
    <row r="116" spans="1:13" ht="12.75">
      <c r="A116" s="1029" t="s">
        <v>898</v>
      </c>
      <c r="B116" s="1030">
        <f>ROUND(0.949-0.012*B113,4)</f>
        <v>0.92159999999999997</v>
      </c>
      <c r="C116" s="1030">
        <f>B116</f>
        <v>0.92159999999999997</v>
      </c>
      <c r="D116" s="1030">
        <f>ROUND(0.8567-0.013*B113,4)</f>
        <v>0.82709999999999995</v>
      </c>
      <c r="E116" s="1030">
        <f t="shared" ref="E116:H117" si="35">D116</f>
        <v>0.82709999999999995</v>
      </c>
      <c r="F116" s="1030">
        <f t="shared" si="35"/>
        <v>0.82709999999999995</v>
      </c>
      <c r="G116" s="1030">
        <f t="shared" si="35"/>
        <v>0.82709999999999995</v>
      </c>
      <c r="H116" s="1030">
        <f t="shared" si="35"/>
        <v>0.82709999999999995</v>
      </c>
      <c r="I116" s="1030">
        <f>ROUND(0.7694-0.014*B113,4)</f>
        <v>0.73750000000000004</v>
      </c>
      <c r="J116" s="1030">
        <f t="shared" si="34"/>
        <v>0.73750000000000004</v>
      </c>
      <c r="K116" s="1030">
        <f t="shared" si="34"/>
        <v>0.73750000000000004</v>
      </c>
      <c r="L116" s="1030">
        <f t="shared" si="34"/>
        <v>0.73750000000000004</v>
      </c>
      <c r="M116" s="1031">
        <f t="shared" si="34"/>
        <v>0.73750000000000004</v>
      </c>
    </row>
    <row r="117" spans="1:13" ht="12.75">
      <c r="A117" s="1032" t="s">
        <v>899</v>
      </c>
      <c r="B117" s="1030">
        <f>ROUND(0.8808-0.006*B113,4)</f>
        <v>0.86709999999999998</v>
      </c>
      <c r="C117" s="1030">
        <f>B117</f>
        <v>0.86709999999999998</v>
      </c>
      <c r="D117" s="1030">
        <f>ROUND(0.8748-0.008*B113,4)</f>
        <v>0.85660000000000003</v>
      </c>
      <c r="E117" s="1030">
        <f t="shared" si="35"/>
        <v>0.85660000000000003</v>
      </c>
      <c r="F117" s="1030">
        <f t="shared" si="35"/>
        <v>0.85660000000000003</v>
      </c>
      <c r="G117" s="1030">
        <f t="shared" si="35"/>
        <v>0.85660000000000003</v>
      </c>
      <c r="H117" s="1030">
        <f t="shared" si="35"/>
        <v>0.85660000000000003</v>
      </c>
      <c r="I117" s="1030">
        <f>ROUND(0.7412-0.0095*B113,4)</f>
        <v>0.71950000000000003</v>
      </c>
      <c r="J117" s="1030">
        <f t="shared" si="34"/>
        <v>0.71950000000000003</v>
      </c>
      <c r="K117" s="1030">
        <f t="shared" si="34"/>
        <v>0.71950000000000003</v>
      </c>
      <c r="L117" s="1030">
        <f t="shared" si="34"/>
        <v>0.71950000000000003</v>
      </c>
      <c r="M117" s="1031">
        <f t="shared" si="34"/>
        <v>0.71950000000000003</v>
      </c>
    </row>
    <row r="118" spans="1:13" ht="13.5" thickBot="1">
      <c r="A118" s="1033" t="s">
        <v>900</v>
      </c>
      <c r="B118" s="1034">
        <f>ROUND(0.7275-0.01*B113,4)</f>
        <v>0.70469999999999999</v>
      </c>
      <c r="C118" s="1034">
        <f>B118</f>
        <v>0.70469999999999999</v>
      </c>
      <c r="D118" s="1034">
        <f>ROUND(0.7043-0.012*B113,4)</f>
        <v>0.67689999999999995</v>
      </c>
      <c r="E118" s="1034">
        <f>D118</f>
        <v>0.67689999999999995</v>
      </c>
      <c r="F118" s="1034">
        <f>E118</f>
        <v>0.67689999999999995</v>
      </c>
      <c r="G118" s="1034">
        <f>ROUND(0.6299-0.0122*B113,4)</f>
        <v>0.60209999999999997</v>
      </c>
      <c r="H118" s="1034">
        <f>G118</f>
        <v>0.60209999999999997</v>
      </c>
      <c r="I118" s="1034">
        <f>ROUND(0.5667-0.0136*B113,4)</f>
        <v>0.53569999999999995</v>
      </c>
      <c r="J118" s="1034">
        <f t="shared" si="34"/>
        <v>0.53569999999999995</v>
      </c>
      <c r="K118" s="1034">
        <f t="shared" si="34"/>
        <v>0.53569999999999995</v>
      </c>
      <c r="L118" s="1034">
        <f t="shared" si="34"/>
        <v>0.53569999999999995</v>
      </c>
      <c r="M118" s="1035">
        <f t="shared" si="34"/>
        <v>0.53569999999999995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57" t="s">
        <v>1005</v>
      </c>
      <c r="B18" s="1154" t="s">
        <v>1444</v>
      </c>
      <c r="C18" s="1131" t="s">
        <v>1445</v>
      </c>
      <c r="D18" s="1132"/>
      <c r="E18" s="1154">
        <v>1</v>
      </c>
      <c r="F18" s="1133" t="s">
        <v>1446</v>
      </c>
      <c r="G18" s="1134"/>
      <c r="H18" s="1105"/>
      <c r="I18" s="1105"/>
    </row>
    <row r="19" spans="1:9" s="1600" customFormat="1" ht="19.5" customHeight="1">
      <c r="A19" s="3557"/>
      <c r="B19" s="3557" t="s">
        <v>1447</v>
      </c>
      <c r="C19" s="1131" t="s">
        <v>1448</v>
      </c>
      <c r="D19" s="1132"/>
      <c r="E19" s="1154">
        <v>0.9</v>
      </c>
      <c r="F19" s="1133" t="s">
        <v>1449</v>
      </c>
      <c r="G19" s="1134"/>
      <c r="H19" s="1105"/>
      <c r="I19" s="1105"/>
    </row>
    <row r="20" spans="1:9" s="1600" customFormat="1" ht="19.5" customHeight="1">
      <c r="A20" s="3557"/>
      <c r="B20" s="3557"/>
      <c r="C20" s="1131" t="s">
        <v>1450</v>
      </c>
      <c r="D20" s="1132"/>
      <c r="E20" s="1154">
        <v>1.1000000000000001</v>
      </c>
      <c r="F20" s="1133" t="s">
        <v>1451</v>
      </c>
      <c r="G20" s="1134"/>
      <c r="H20" s="1105"/>
      <c r="I20" s="1105"/>
    </row>
    <row r="21" spans="1:9" s="1600" customFormat="1" ht="19.5" customHeight="1">
      <c r="A21" s="3557"/>
      <c r="B21" s="3557"/>
      <c r="C21" s="1131" t="s">
        <v>1452</v>
      </c>
      <c r="D21" s="1132"/>
      <c r="E21" s="1154">
        <v>0.8</v>
      </c>
      <c r="F21" s="1133" t="s">
        <v>1453</v>
      </c>
      <c r="G21" s="1134"/>
      <c r="H21" s="1105"/>
      <c r="I21" s="1105"/>
    </row>
    <row r="22" spans="1:9" s="1600" customFormat="1" ht="19.5" customHeight="1">
      <c r="A22" s="3557"/>
      <c r="B22" s="3557"/>
      <c r="C22" s="1131" t="s">
        <v>1454</v>
      </c>
      <c r="D22" s="1132"/>
      <c r="E22" s="1154">
        <v>0.5</v>
      </c>
      <c r="F22" s="1133"/>
      <c r="G22" s="1134"/>
      <c r="H22" s="1105"/>
      <c r="I22" s="1105"/>
    </row>
    <row r="23" spans="1:9" s="1600" customFormat="1" ht="19.5" customHeight="1">
      <c r="A23" s="3557" t="s">
        <v>1027</v>
      </c>
      <c r="B23" s="1154" t="s">
        <v>1444</v>
      </c>
      <c r="C23" s="1131" t="s">
        <v>1455</v>
      </c>
      <c r="D23" s="1132"/>
      <c r="E23" s="1154">
        <v>1</v>
      </c>
      <c r="F23" s="1133" t="s">
        <v>1456</v>
      </c>
      <c r="G23" s="1134"/>
      <c r="H23" s="1105"/>
      <c r="I23" s="1105"/>
    </row>
    <row r="24" spans="1:9" s="1600" customFormat="1" ht="19.5" customHeight="1">
      <c r="A24" s="3557"/>
      <c r="B24" s="3557" t="s">
        <v>1447</v>
      </c>
      <c r="C24" s="1131" t="s">
        <v>1457</v>
      </c>
      <c r="D24" s="1132"/>
      <c r="E24" s="1154">
        <v>0.5</v>
      </c>
      <c r="F24" s="1133"/>
      <c r="G24" s="1134"/>
      <c r="H24" s="1105"/>
      <c r="I24" s="1105"/>
    </row>
    <row r="25" spans="1:9" s="1600" customFormat="1" ht="19.5" customHeight="1">
      <c r="A25" s="3557"/>
      <c r="B25" s="3557"/>
      <c r="C25" s="1131" t="s">
        <v>1458</v>
      </c>
      <c r="D25" s="1132"/>
      <c r="E25" s="1154">
        <v>1.1000000000000001</v>
      </c>
      <c r="F25" s="1133"/>
      <c r="G25" s="1134"/>
      <c r="H25" s="1105"/>
      <c r="I25" s="1105"/>
    </row>
    <row r="26" spans="1:9" s="1600" customFormat="1" ht="19.5" customHeight="1">
      <c r="A26" s="3557"/>
      <c r="B26" s="3557"/>
      <c r="C26" s="1131" t="s">
        <v>1459</v>
      </c>
      <c r="D26" s="1132"/>
      <c r="E26" s="1154">
        <v>1.1000000000000001</v>
      </c>
      <c r="F26" s="1133"/>
      <c r="G26" s="1134"/>
      <c r="H26" s="1105"/>
      <c r="I26" s="1105"/>
    </row>
    <row r="27" spans="1:9" s="1600" customFormat="1" ht="19.5" customHeight="1">
      <c r="A27" s="3557"/>
      <c r="B27" s="3557"/>
      <c r="C27" s="1131" t="s">
        <v>1460</v>
      </c>
      <c r="D27" s="1132"/>
      <c r="E27" s="1154">
        <v>0.9</v>
      </c>
      <c r="F27" s="1133" t="s">
        <v>1461</v>
      </c>
      <c r="G27" s="1134"/>
      <c r="H27" s="1105"/>
      <c r="I27" s="1105"/>
    </row>
    <row r="28" spans="1:9" s="1600" customFormat="1" ht="19.5" customHeight="1">
      <c r="A28" s="3557"/>
      <c r="B28" s="3557"/>
      <c r="C28" s="1131" t="s">
        <v>1462</v>
      </c>
      <c r="D28" s="1132"/>
      <c r="E28" s="1154">
        <v>0.9</v>
      </c>
      <c r="F28" s="1133" t="s">
        <v>1463</v>
      </c>
      <c r="G28" s="1134"/>
      <c r="H28" s="1105"/>
      <c r="I28" s="1105"/>
    </row>
    <row r="29" spans="1:9" s="1600" customFormat="1" ht="19.5" customHeight="1">
      <c r="A29" s="3557"/>
      <c r="B29" s="3557"/>
      <c r="C29" s="1131" t="s">
        <v>1464</v>
      </c>
      <c r="D29" s="1132"/>
      <c r="E29" s="1154">
        <v>0.9</v>
      </c>
      <c r="F29" s="1133" t="s">
        <v>1465</v>
      </c>
      <c r="G29" s="1134"/>
      <c r="H29" s="1105"/>
      <c r="I29" s="1105"/>
    </row>
    <row r="30" spans="1:9" s="1600" customFormat="1" ht="19.5" customHeight="1">
      <c r="A30" s="3557"/>
      <c r="B30" s="3557"/>
      <c r="C30" s="1131" t="s">
        <v>1466</v>
      </c>
      <c r="D30" s="1132"/>
      <c r="E30" s="1154">
        <v>0.9</v>
      </c>
      <c r="F30" s="1133" t="s">
        <v>1467</v>
      </c>
      <c r="G30" s="1134"/>
      <c r="H30" s="1105"/>
      <c r="I30" s="1105"/>
    </row>
    <row r="31" spans="1:9" s="1600" customFormat="1" ht="19.5" customHeight="1">
      <c r="A31" s="3557"/>
      <c r="B31" s="3557"/>
      <c r="C31" s="1131" t="s">
        <v>1468</v>
      </c>
      <c r="D31" s="1132"/>
      <c r="E31" s="1154">
        <v>0.8</v>
      </c>
      <c r="F31" s="1133" t="s">
        <v>1469</v>
      </c>
      <c r="G31" s="1134"/>
      <c r="H31" s="1105"/>
      <c r="I31" s="1105"/>
    </row>
    <row r="32" spans="1:9" s="1600" customFormat="1" ht="19.5" customHeight="1">
      <c r="A32" s="3557"/>
      <c r="B32" s="3557"/>
      <c r="C32" s="1131" t="s">
        <v>1470</v>
      </c>
      <c r="D32" s="1132"/>
      <c r="E32" s="1154">
        <v>0.8</v>
      </c>
      <c r="F32" s="1133" t="s">
        <v>1471</v>
      </c>
      <c r="G32" s="1134"/>
      <c r="H32" s="1105"/>
      <c r="I32" s="1105"/>
    </row>
    <row r="33" spans="1:9" s="1600" customFormat="1" ht="19.5" customHeight="1">
      <c r="A33" s="3557" t="s">
        <v>1472</v>
      </c>
      <c r="B33" s="1154" t="s">
        <v>1444</v>
      </c>
      <c r="C33" s="1131" t="s">
        <v>1473</v>
      </c>
      <c r="D33" s="1132"/>
      <c r="E33" s="1154">
        <v>1</v>
      </c>
      <c r="F33" s="1133" t="s">
        <v>1474</v>
      </c>
      <c r="G33" s="1134"/>
      <c r="H33" s="1105"/>
      <c r="I33" s="1105"/>
    </row>
    <row r="34" spans="1:9" s="1600" customFormat="1" ht="19.5" customHeight="1">
      <c r="A34" s="3557"/>
      <c r="B34" s="1154" t="s">
        <v>1447</v>
      </c>
      <c r="C34" s="1131" t="s">
        <v>1475</v>
      </c>
      <c r="D34" s="1132"/>
      <c r="E34" s="1154">
        <v>1.5</v>
      </c>
      <c r="F34" s="1133" t="s">
        <v>1476</v>
      </c>
      <c r="G34" s="1134"/>
      <c r="H34" s="1105"/>
      <c r="I34" s="1105"/>
    </row>
    <row r="35" spans="1:9" s="1600" customFormat="1" ht="19.5" customHeight="1">
      <c r="A35" s="3557" t="s">
        <v>1430</v>
      </c>
      <c r="B35" s="1154" t="s">
        <v>1444</v>
      </c>
      <c r="C35" s="1131" t="s">
        <v>1477</v>
      </c>
      <c r="D35" s="1132"/>
      <c r="E35" s="1154">
        <v>1</v>
      </c>
      <c r="F35" s="1133" t="s">
        <v>1478</v>
      </c>
      <c r="G35" s="1134"/>
      <c r="H35" s="1105"/>
      <c r="I35" s="1105"/>
    </row>
    <row r="36" spans="1:9" s="1600" customFormat="1" ht="19.5" customHeight="1">
      <c r="A36" s="3557"/>
      <c r="B36" s="3557" t="s">
        <v>1447</v>
      </c>
      <c r="C36" s="1131" t="s">
        <v>1479</v>
      </c>
      <c r="D36" s="1132"/>
      <c r="E36" s="1154">
        <v>1</v>
      </c>
      <c r="F36" s="1133" t="s">
        <v>1480</v>
      </c>
      <c r="G36" s="1134"/>
      <c r="H36" s="1105"/>
      <c r="I36" s="1105"/>
    </row>
    <row r="37" spans="1:9" s="1600" customFormat="1" ht="19.5" customHeight="1">
      <c r="A37" s="3557"/>
      <c r="B37" s="3557"/>
      <c r="C37" s="1131" t="s">
        <v>1481</v>
      </c>
      <c r="D37" s="1132"/>
      <c r="E37" s="1154">
        <v>1.5</v>
      </c>
      <c r="F37" s="1133" t="s">
        <v>1482</v>
      </c>
      <c r="G37" s="1134"/>
      <c r="H37" s="1105"/>
      <c r="I37" s="1105"/>
    </row>
    <row r="38" spans="1:9" s="1600" customFormat="1" ht="19.5" customHeight="1">
      <c r="A38" s="3557"/>
      <c r="B38" s="3557"/>
      <c r="C38" s="1131" t="s">
        <v>1483</v>
      </c>
      <c r="D38" s="1132"/>
      <c r="E38" s="1154">
        <v>1</v>
      </c>
      <c r="F38" s="1133" t="s">
        <v>1484</v>
      </c>
      <c r="G38" s="1134"/>
      <c r="H38" s="1105"/>
      <c r="I38" s="1105"/>
    </row>
    <row r="39" spans="1:9" s="1600" customFormat="1" ht="19.5" customHeight="1">
      <c r="A39" s="3557"/>
      <c r="B39" s="3557"/>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57" t="s">
        <v>1499</v>
      </c>
      <c r="C61" s="1068" t="s">
        <v>1500</v>
      </c>
      <c r="D61" s="1068" t="s">
        <v>1501</v>
      </c>
      <c r="E61" s="1139">
        <v>0.5</v>
      </c>
      <c r="F61" s="1154">
        <v>80</v>
      </c>
      <c r="H61" s="1105">
        <f>SUMIF(C59:C119,基准地价住宅!C8,E59:E119)</f>
        <v>0</v>
      </c>
    </row>
    <row r="62" spans="1:8" s="1105" customFormat="1" ht="24">
      <c r="A62" s="1154">
        <v>2</v>
      </c>
      <c r="B62" s="3557"/>
      <c r="C62" s="1068" t="s">
        <v>1502</v>
      </c>
      <c r="D62" s="1068" t="s">
        <v>1503</v>
      </c>
      <c r="E62" s="1139">
        <v>0.5</v>
      </c>
      <c r="F62" s="1154">
        <v>80</v>
      </c>
    </row>
    <row r="63" spans="1:8" s="1105" customFormat="1" ht="36">
      <c r="A63" s="1154">
        <v>3</v>
      </c>
      <c r="B63" s="3557"/>
      <c r="C63" s="1068" t="s">
        <v>1504</v>
      </c>
      <c r="D63" s="1068" t="s">
        <v>1505</v>
      </c>
      <c r="E63" s="1139">
        <v>0.5</v>
      </c>
      <c r="F63" s="1154">
        <v>80</v>
      </c>
    </row>
    <row r="64" spans="1:8" s="1105" customFormat="1" ht="36">
      <c r="A64" s="1154">
        <v>4</v>
      </c>
      <c r="B64" s="3557"/>
      <c r="C64" s="1068" t="s">
        <v>1506</v>
      </c>
      <c r="D64" s="1068" t="s">
        <v>1507</v>
      </c>
      <c r="E64" s="1139">
        <v>0.4</v>
      </c>
      <c r="F64" s="1154">
        <v>60</v>
      </c>
    </row>
    <row r="65" spans="1:6" s="1105" customFormat="1" ht="36">
      <c r="A65" s="1154">
        <v>5</v>
      </c>
      <c r="B65" s="3557"/>
      <c r="C65" s="1068" t="s">
        <v>1508</v>
      </c>
      <c r="D65" s="1068" t="s">
        <v>1509</v>
      </c>
      <c r="E65" s="1139">
        <v>0.2</v>
      </c>
      <c r="F65" s="1154">
        <v>30</v>
      </c>
    </row>
    <row r="66" spans="1:6" s="1105" customFormat="1" ht="36">
      <c r="A66" s="1154">
        <v>6</v>
      </c>
      <c r="B66" s="3557"/>
      <c r="C66" s="1068" t="s">
        <v>1510</v>
      </c>
      <c r="D66" s="1068" t="s">
        <v>1511</v>
      </c>
      <c r="E66" s="1139">
        <v>0.3</v>
      </c>
      <c r="F66" s="1154">
        <v>50</v>
      </c>
    </row>
    <row r="67" spans="1:6" s="1105" customFormat="1" ht="36">
      <c r="A67" s="1154">
        <v>7</v>
      </c>
      <c r="B67" s="3557"/>
      <c r="C67" s="1068" t="s">
        <v>1512</v>
      </c>
      <c r="D67" s="1068" t="s">
        <v>1513</v>
      </c>
      <c r="E67" s="1139">
        <v>0.2</v>
      </c>
      <c r="F67" s="1154">
        <v>30</v>
      </c>
    </row>
    <row r="68" spans="1:6" s="1105" customFormat="1" ht="36">
      <c r="A68" s="1154">
        <v>8</v>
      </c>
      <c r="B68" s="3557"/>
      <c r="C68" s="1068" t="s">
        <v>1514</v>
      </c>
      <c r="D68" s="1068" t="s">
        <v>1515</v>
      </c>
      <c r="E68" s="1139">
        <v>0.2</v>
      </c>
      <c r="F68" s="1154">
        <v>30</v>
      </c>
    </row>
    <row r="69" spans="1:6" s="1105" customFormat="1" ht="36">
      <c r="A69" s="1154">
        <v>9</v>
      </c>
      <c r="B69" s="3557"/>
      <c r="C69" s="1068" t="s">
        <v>1516</v>
      </c>
      <c r="D69" s="1068" t="s">
        <v>1517</v>
      </c>
      <c r="E69" s="1139">
        <v>0.2</v>
      </c>
      <c r="F69" s="1154">
        <v>30</v>
      </c>
    </row>
    <row r="70" spans="1:6" s="1105" customFormat="1" ht="48">
      <c r="A70" s="1154">
        <v>10</v>
      </c>
      <c r="B70" s="3557"/>
      <c r="C70" s="1068" t="s">
        <v>1518</v>
      </c>
      <c r="D70" s="1068" t="s">
        <v>1519</v>
      </c>
      <c r="E70" s="1139">
        <v>0.2</v>
      </c>
      <c r="F70" s="1154">
        <v>30</v>
      </c>
    </row>
    <row r="71" spans="1:6" s="1105" customFormat="1" ht="48">
      <c r="A71" s="1154">
        <v>11</v>
      </c>
      <c r="B71" s="3557"/>
      <c r="C71" s="1068" t="s">
        <v>1520</v>
      </c>
      <c r="D71" s="1068" t="s">
        <v>1521</v>
      </c>
      <c r="E71" s="1139">
        <v>0.2</v>
      </c>
      <c r="F71" s="1154">
        <v>30</v>
      </c>
    </row>
    <row r="72" spans="1:6" s="1105" customFormat="1" ht="36">
      <c r="A72" s="1154">
        <v>12</v>
      </c>
      <c r="B72" s="3557"/>
      <c r="C72" s="1068" t="s">
        <v>1522</v>
      </c>
      <c r="D72" s="1068" t="s">
        <v>1523</v>
      </c>
      <c r="E72" s="1139">
        <v>0.5</v>
      </c>
      <c r="F72" s="1154">
        <v>80</v>
      </c>
    </row>
    <row r="73" spans="1:6" s="1105" customFormat="1" ht="24">
      <c r="A73" s="1154">
        <v>13</v>
      </c>
      <c r="B73" s="3557"/>
      <c r="C73" s="1068" t="s">
        <v>1524</v>
      </c>
      <c r="D73" s="1068" t="s">
        <v>1525</v>
      </c>
      <c r="E73" s="1139">
        <v>0.4</v>
      </c>
      <c r="F73" s="1154">
        <v>60</v>
      </c>
    </row>
    <row r="74" spans="1:6" s="1105" customFormat="1" ht="24">
      <c r="A74" s="1154">
        <v>14</v>
      </c>
      <c r="B74" s="3557"/>
      <c r="C74" s="1068" t="s">
        <v>1526</v>
      </c>
      <c r="D74" s="1068" t="s">
        <v>1527</v>
      </c>
      <c r="E74" s="1139">
        <v>0.2</v>
      </c>
      <c r="F74" s="1154">
        <v>30</v>
      </c>
    </row>
    <row r="75" spans="1:6" s="1105" customFormat="1" ht="24">
      <c r="A75" s="1154">
        <v>15</v>
      </c>
      <c r="B75" s="3557"/>
      <c r="C75" s="1068" t="s">
        <v>1528</v>
      </c>
      <c r="D75" s="1068" t="s">
        <v>1529</v>
      </c>
      <c r="E75" s="1139">
        <v>0.2</v>
      </c>
      <c r="F75" s="1154">
        <v>30</v>
      </c>
    </row>
    <row r="76" spans="1:6" s="1105" customFormat="1" ht="24">
      <c r="A76" s="1154">
        <v>16</v>
      </c>
      <c r="B76" s="3557" t="s">
        <v>1530</v>
      </c>
      <c r="C76" s="1068" t="s">
        <v>1531</v>
      </c>
      <c r="D76" s="1068" t="s">
        <v>1532</v>
      </c>
      <c r="E76" s="1139">
        <v>0.5</v>
      </c>
      <c r="F76" s="1154">
        <v>80</v>
      </c>
    </row>
    <row r="77" spans="1:6" s="1105" customFormat="1" ht="24">
      <c r="A77" s="1154">
        <v>17</v>
      </c>
      <c r="B77" s="3557"/>
      <c r="C77" s="1068" t="s">
        <v>1533</v>
      </c>
      <c r="D77" s="1068" t="s">
        <v>1534</v>
      </c>
      <c r="E77" s="1139">
        <v>0.5</v>
      </c>
      <c r="F77" s="1154">
        <v>80</v>
      </c>
    </row>
    <row r="78" spans="1:6" s="1105" customFormat="1" ht="24">
      <c r="A78" s="1154">
        <v>18</v>
      </c>
      <c r="B78" s="3557"/>
      <c r="C78" s="1068" t="s">
        <v>1535</v>
      </c>
      <c r="D78" s="1068" t="s">
        <v>1536</v>
      </c>
      <c r="E78" s="1139">
        <v>0.2</v>
      </c>
      <c r="F78" s="1154">
        <v>30</v>
      </c>
    </row>
    <row r="79" spans="1:6" s="1105" customFormat="1" ht="24">
      <c r="A79" s="1154">
        <v>19</v>
      </c>
      <c r="B79" s="3557"/>
      <c r="C79" s="1068" t="s">
        <v>1537</v>
      </c>
      <c r="D79" s="1068" t="s">
        <v>1538</v>
      </c>
      <c r="E79" s="1139">
        <v>0.5</v>
      </c>
      <c r="F79" s="1154">
        <v>80</v>
      </c>
    </row>
    <row r="80" spans="1:6" s="1105" customFormat="1" ht="36">
      <c r="A80" s="1154">
        <v>20</v>
      </c>
      <c r="B80" s="3557"/>
      <c r="C80" s="1068" t="s">
        <v>1539</v>
      </c>
      <c r="D80" s="1068" t="s">
        <v>1540</v>
      </c>
      <c r="E80" s="1139">
        <v>0.2</v>
      </c>
      <c r="F80" s="1154">
        <v>30</v>
      </c>
    </row>
    <row r="81" spans="1:6" s="1105" customFormat="1" ht="36">
      <c r="A81" s="1154">
        <v>21</v>
      </c>
      <c r="B81" s="3557"/>
      <c r="C81" s="1068" t="s">
        <v>1541</v>
      </c>
      <c r="D81" s="1068" t="s">
        <v>1542</v>
      </c>
      <c r="E81" s="1139">
        <v>0.2</v>
      </c>
      <c r="F81" s="1154">
        <v>30</v>
      </c>
    </row>
    <row r="82" spans="1:6" s="1105" customFormat="1" ht="48">
      <c r="A82" s="1154">
        <v>22</v>
      </c>
      <c r="B82" s="3557"/>
      <c r="C82" s="1068" t="s">
        <v>1543</v>
      </c>
      <c r="D82" s="1068" t="s">
        <v>1544</v>
      </c>
      <c r="E82" s="1139">
        <v>0.2</v>
      </c>
      <c r="F82" s="1154">
        <v>30</v>
      </c>
    </row>
    <row r="83" spans="1:6" s="1105" customFormat="1" ht="48">
      <c r="A83" s="1154">
        <v>23</v>
      </c>
      <c r="B83" s="3557"/>
      <c r="C83" s="1068" t="s">
        <v>1545</v>
      </c>
      <c r="D83" s="1068" t="s">
        <v>1546</v>
      </c>
      <c r="E83" s="1139">
        <v>0.2</v>
      </c>
      <c r="F83" s="1154">
        <v>30</v>
      </c>
    </row>
    <row r="84" spans="1:6" s="1105" customFormat="1" ht="36">
      <c r="A84" s="1154">
        <v>24</v>
      </c>
      <c r="B84" s="3557"/>
      <c r="C84" s="1068" t="s">
        <v>1547</v>
      </c>
      <c r="D84" s="1068" t="s">
        <v>1548</v>
      </c>
      <c r="E84" s="1139">
        <v>0.2</v>
      </c>
      <c r="F84" s="1154">
        <v>30</v>
      </c>
    </row>
    <row r="85" spans="1:6" s="1105" customFormat="1" ht="36">
      <c r="A85" s="1154">
        <v>25</v>
      </c>
      <c r="B85" s="3557"/>
      <c r="C85" s="1068" t="s">
        <v>1549</v>
      </c>
      <c r="D85" s="1068" t="s">
        <v>1550</v>
      </c>
      <c r="E85" s="1139">
        <v>0.5</v>
      </c>
      <c r="F85" s="1154">
        <v>80</v>
      </c>
    </row>
    <row r="86" spans="1:6" s="1105" customFormat="1" ht="36">
      <c r="A86" s="1154">
        <v>26</v>
      </c>
      <c r="B86" s="3557"/>
      <c r="C86" s="1068" t="s">
        <v>1551</v>
      </c>
      <c r="D86" s="1068" t="s">
        <v>1552</v>
      </c>
      <c r="E86" s="1139">
        <v>0.2</v>
      </c>
      <c r="F86" s="1154">
        <v>30</v>
      </c>
    </row>
    <row r="87" spans="1:6" s="1105" customFormat="1" ht="36">
      <c r="A87" s="1154">
        <v>27</v>
      </c>
      <c r="B87" s="3557"/>
      <c r="C87" s="1068" t="s">
        <v>1553</v>
      </c>
      <c r="D87" s="1068" t="s">
        <v>1554</v>
      </c>
      <c r="E87" s="1139">
        <v>0.2</v>
      </c>
      <c r="F87" s="1154">
        <v>30</v>
      </c>
    </row>
    <row r="88" spans="1:6" s="1105" customFormat="1" ht="36">
      <c r="A88" s="1154">
        <v>28</v>
      </c>
      <c r="B88" s="3557"/>
      <c r="C88" s="1068" t="s">
        <v>1555</v>
      </c>
      <c r="D88" s="1068" t="s">
        <v>1556</v>
      </c>
      <c r="E88" s="1139">
        <v>0.2</v>
      </c>
      <c r="F88" s="1154">
        <v>30</v>
      </c>
    </row>
    <row r="89" spans="1:6" s="1105" customFormat="1" ht="24">
      <c r="A89" s="1154">
        <v>29</v>
      </c>
      <c r="B89" s="3557"/>
      <c r="C89" s="1068" t="s">
        <v>1557</v>
      </c>
      <c r="D89" s="1068" t="s">
        <v>1558</v>
      </c>
      <c r="E89" s="1139">
        <v>0.2</v>
      </c>
      <c r="F89" s="1154">
        <v>30</v>
      </c>
    </row>
    <row r="90" spans="1:6" s="1105" customFormat="1" ht="24">
      <c r="A90" s="1154">
        <v>30</v>
      </c>
      <c r="B90" s="3557"/>
      <c r="C90" s="1068" t="s">
        <v>1559</v>
      </c>
      <c r="D90" s="1068" t="s">
        <v>1560</v>
      </c>
      <c r="E90" s="1139">
        <v>0.2</v>
      </c>
      <c r="F90" s="1154">
        <v>30</v>
      </c>
    </row>
    <row r="91" spans="1:6" s="1105" customFormat="1" ht="36">
      <c r="A91" s="1154">
        <v>31</v>
      </c>
      <c r="B91" s="3557"/>
      <c r="C91" s="1068" t="s">
        <v>1561</v>
      </c>
      <c r="D91" s="1068" t="s">
        <v>1562</v>
      </c>
      <c r="E91" s="1139">
        <v>0.2</v>
      </c>
      <c r="F91" s="1154">
        <v>30</v>
      </c>
    </row>
    <row r="92" spans="1:6" s="1105" customFormat="1" ht="24">
      <c r="A92" s="1154">
        <v>32</v>
      </c>
      <c r="B92" s="3557" t="s">
        <v>1563</v>
      </c>
      <c r="C92" s="1154" t="s">
        <v>1564</v>
      </c>
      <c r="D92" s="1068" t="s">
        <v>1565</v>
      </c>
      <c r="E92" s="1139">
        <v>0.2</v>
      </c>
      <c r="F92" s="1154">
        <v>30</v>
      </c>
    </row>
    <row r="93" spans="1:6" s="1105" customFormat="1" ht="36">
      <c r="A93" s="1154">
        <v>33</v>
      </c>
      <c r="B93" s="3557"/>
      <c r="C93" s="1154" t="s">
        <v>1566</v>
      </c>
      <c r="D93" s="1068" t="s">
        <v>1567</v>
      </c>
      <c r="E93" s="1139">
        <v>0.2</v>
      </c>
      <c r="F93" s="1154">
        <v>30</v>
      </c>
    </row>
    <row r="94" spans="1:6" s="1105" customFormat="1" ht="48">
      <c r="A94" s="1154">
        <v>34</v>
      </c>
      <c r="B94" s="3557"/>
      <c r="C94" s="1154" t="s">
        <v>1568</v>
      </c>
      <c r="D94" s="1068" t="s">
        <v>1569</v>
      </c>
      <c r="E94" s="1139">
        <v>0.2</v>
      </c>
      <c r="F94" s="1154">
        <v>30</v>
      </c>
    </row>
    <row r="95" spans="1:6" s="1105" customFormat="1" ht="36">
      <c r="A95" s="1154">
        <v>35</v>
      </c>
      <c r="B95" s="3557"/>
      <c r="C95" s="1154" t="s">
        <v>1570</v>
      </c>
      <c r="D95" s="1068" t="s">
        <v>1571</v>
      </c>
      <c r="E95" s="1139">
        <v>0.2</v>
      </c>
      <c r="F95" s="1154">
        <v>30</v>
      </c>
    </row>
    <row r="96" spans="1:6" s="1105" customFormat="1" ht="48">
      <c r="A96" s="1154">
        <v>36</v>
      </c>
      <c r="B96" s="3557"/>
      <c r="C96" s="1068" t="s">
        <v>1572</v>
      </c>
      <c r="D96" s="1068" t="s">
        <v>1573</v>
      </c>
      <c r="E96" s="1139">
        <v>0.2</v>
      </c>
      <c r="F96" s="1154">
        <v>30</v>
      </c>
    </row>
    <row r="97" spans="1:6" s="1105" customFormat="1" ht="36">
      <c r="A97" s="1154">
        <v>37</v>
      </c>
      <c r="B97" s="3557"/>
      <c r="C97" s="1154" t="s">
        <v>1574</v>
      </c>
      <c r="D97" s="1068" t="s">
        <v>1575</v>
      </c>
      <c r="E97" s="1139">
        <v>0.2</v>
      </c>
      <c r="F97" s="1154">
        <v>30</v>
      </c>
    </row>
    <row r="98" spans="1:6" s="1105" customFormat="1" ht="36">
      <c r="A98" s="1154">
        <v>38</v>
      </c>
      <c r="B98" s="3557"/>
      <c r="C98" s="1154" t="s">
        <v>1576</v>
      </c>
      <c r="D98" s="1068" t="s">
        <v>1577</v>
      </c>
      <c r="E98" s="1139">
        <v>0.2</v>
      </c>
      <c r="F98" s="1154">
        <v>30</v>
      </c>
    </row>
    <row r="99" spans="1:6" s="1105" customFormat="1" ht="36">
      <c r="A99" s="1154">
        <v>39</v>
      </c>
      <c r="B99" s="3557" t="s">
        <v>1578</v>
      </c>
      <c r="C99" s="1154" t="s">
        <v>1579</v>
      </c>
      <c r="D99" s="1068" t="s">
        <v>1580</v>
      </c>
      <c r="E99" s="1139">
        <v>0.3</v>
      </c>
      <c r="F99" s="1154">
        <v>50</v>
      </c>
    </row>
    <row r="100" spans="1:6" s="1105" customFormat="1" ht="24">
      <c r="A100" s="1154">
        <v>40</v>
      </c>
      <c r="B100" s="3557"/>
      <c r="C100" s="1154" t="s">
        <v>1581</v>
      </c>
      <c r="D100" s="1068" t="s">
        <v>1582</v>
      </c>
      <c r="E100" s="1139">
        <v>0.2</v>
      </c>
      <c r="F100" s="1154">
        <v>30</v>
      </c>
    </row>
    <row r="101" spans="1:6" s="1105" customFormat="1" ht="36">
      <c r="A101" s="1154">
        <v>41</v>
      </c>
      <c r="B101" s="3557"/>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57" t="s">
        <v>1593</v>
      </c>
      <c r="C105" s="1154" t="s">
        <v>1594</v>
      </c>
      <c r="D105" s="1068" t="s">
        <v>1595</v>
      </c>
      <c r="E105" s="1139">
        <v>0.2</v>
      </c>
      <c r="F105" s="1154">
        <v>30</v>
      </c>
    </row>
    <row r="106" spans="1:6" s="1105" customFormat="1" ht="36">
      <c r="A106" s="1154">
        <v>46</v>
      </c>
      <c r="B106" s="3557"/>
      <c r="C106" s="1154" t="s">
        <v>1596</v>
      </c>
      <c r="D106" s="1068" t="s">
        <v>1597</v>
      </c>
      <c r="E106" s="1139">
        <v>0.2</v>
      </c>
      <c r="F106" s="1154">
        <v>30</v>
      </c>
    </row>
    <row r="107" spans="1:6" s="1105" customFormat="1" ht="36">
      <c r="A107" s="1154">
        <v>47</v>
      </c>
      <c r="B107" s="3557" t="s">
        <v>1598</v>
      </c>
      <c r="C107" s="1154" t="s">
        <v>1599</v>
      </c>
      <c r="D107" s="1068" t="s">
        <v>1600</v>
      </c>
      <c r="E107" s="1139">
        <v>0.3</v>
      </c>
      <c r="F107" s="1154">
        <v>50</v>
      </c>
    </row>
    <row r="108" spans="1:6" s="1105" customFormat="1" ht="36">
      <c r="A108" s="1154">
        <v>48</v>
      </c>
      <c r="B108" s="3557"/>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57" t="s">
        <v>1609</v>
      </c>
      <c r="C111" s="1154" t="s">
        <v>1610</v>
      </c>
      <c r="D111" s="1068" t="s">
        <v>1611</v>
      </c>
      <c r="E111" s="1139">
        <v>0.2</v>
      </c>
      <c r="F111" s="1154">
        <v>30</v>
      </c>
    </row>
    <row r="112" spans="1:6" s="1105" customFormat="1" ht="24">
      <c r="A112" s="1154">
        <v>52</v>
      </c>
      <c r="B112" s="3557"/>
      <c r="C112" s="1154" t="s">
        <v>1612</v>
      </c>
      <c r="D112" s="1068" t="s">
        <v>1613</v>
      </c>
      <c r="E112" s="1139">
        <v>0.2</v>
      </c>
      <c r="F112" s="1154">
        <v>30</v>
      </c>
    </row>
    <row r="113" spans="1:14" s="1105" customFormat="1" ht="24">
      <c r="A113" s="1154">
        <v>53</v>
      </c>
      <c r="B113" s="3557"/>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57" t="s">
        <v>1622</v>
      </c>
      <c r="C116" s="1154" t="s">
        <v>1623</v>
      </c>
      <c r="D116" s="1068" t="s">
        <v>1624</v>
      </c>
      <c r="E116" s="1139">
        <v>0.2</v>
      </c>
      <c r="F116" s="1154">
        <v>30</v>
      </c>
    </row>
    <row r="117" spans="1:14" ht="36">
      <c r="A117" s="1154">
        <v>57</v>
      </c>
      <c r="B117" s="3557"/>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56" t="s">
        <v>1631</v>
      </c>
      <c r="B121" s="3556"/>
      <c r="C121" s="3556"/>
      <c r="D121" s="3556"/>
      <c r="E121" s="3556"/>
      <c r="F121" s="3556"/>
      <c r="G121" s="3556"/>
      <c r="H121" s="3556"/>
      <c r="I121" s="3556"/>
      <c r="J121" s="355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61" t="s">
        <v>1037</v>
      </c>
      <c r="B1" s="3561"/>
      <c r="C1" s="3561"/>
      <c r="D1" s="3561"/>
      <c r="E1" s="3561"/>
      <c r="F1" s="3561"/>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62" t="s">
        <v>1050</v>
      </c>
      <c r="B2" s="3562"/>
      <c r="C2" s="3562"/>
      <c r="D2" s="3562"/>
      <c r="E2" s="3562"/>
      <c r="F2" s="3562"/>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63"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64"/>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65" t="s">
        <v>2075</v>
      </c>
      <c r="B1" s="3565"/>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2019年9月3日（评估专业人员勘察现场之日）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根据《国有土地使用证》[]，估价对象（分摊）出让国有建设用地使用权面积为145654.58平方米。根据《建设工程规划许可证》[]、《出让合同》[]，估价对象规划建筑面积为334812平方米。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2946</v>
      </c>
      <c r="B1" s="3106"/>
      <c r="C1" s="3106"/>
      <c r="D1" s="3106"/>
      <c r="E1" s="3106"/>
      <c r="F1" s="3106"/>
    </row>
    <row r="2" spans="1:6" ht="14.25">
      <c r="A2" s="3107" t="s">
        <v>2941</v>
      </c>
      <c r="B2" s="3108">
        <f ca="1">SUMIF(B7:B14,"&lt;&gt;#ref!",B7:B14)</f>
        <v>0</v>
      </c>
      <c r="C2" s="3107" t="s">
        <v>2942</v>
      </c>
      <c r="D2" s="3106"/>
      <c r="E2" s="3106"/>
      <c r="F2" s="3106"/>
    </row>
    <row r="3" spans="1:6" ht="14.25">
      <c r="A3" s="3107" t="s">
        <v>2974</v>
      </c>
      <c r="B3" s="3108" t="e">
        <f ca="1">ROUND(B2*10000/E3,0)</f>
        <v>#DIV/0!</v>
      </c>
      <c r="C3" s="3107" t="s">
        <v>2074</v>
      </c>
      <c r="D3" s="3107" t="s">
        <v>2943</v>
      </c>
      <c r="E3" s="3108">
        <f ca="1">SUMIF(E7:E14,"&lt;&gt;#ref!",E7:E14)</f>
        <v>0</v>
      </c>
      <c r="F3" s="3106"/>
    </row>
    <row r="4" spans="1:6" ht="14.25">
      <c r="A4" s="3107" t="s">
        <v>2950</v>
      </c>
      <c r="B4" s="3108" t="e">
        <f ca="1">ROUND(B2*10000/E4,0)</f>
        <v>#DIV/0!</v>
      </c>
      <c r="C4" s="3107" t="s">
        <v>2074</v>
      </c>
      <c r="D4" s="3107" t="s">
        <v>2951</v>
      </c>
      <c r="E4" s="3108">
        <f ca="1">SUMIF(F7:F14,"&lt;&gt;#ref!",F7:F14)</f>
        <v>0</v>
      </c>
      <c r="F4" s="3106"/>
    </row>
    <row r="5" spans="1:6" ht="14.25">
      <c r="A5" s="3109"/>
      <c r="B5" s="1883"/>
      <c r="C5" s="1883"/>
      <c r="D5" s="1883"/>
      <c r="E5" s="1883"/>
      <c r="F5" s="3106"/>
    </row>
    <row r="6" spans="1:6" ht="28.5">
      <c r="A6" s="3110" t="s">
        <v>2947</v>
      </c>
      <c r="B6" s="3107" t="s">
        <v>2944</v>
      </c>
      <c r="C6" s="3108"/>
      <c r="D6" s="1883"/>
      <c r="E6" s="3107" t="s">
        <v>2945</v>
      </c>
      <c r="F6" s="3107" t="s">
        <v>2949</v>
      </c>
    </row>
    <row r="7" spans="1:6" ht="14.25">
      <c r="A7" s="260" t="s">
        <v>2948</v>
      </c>
      <c r="B7" s="3111" t="e">
        <f ca="1">SUMIF(INDIRECT("'"&amp;A7&amp;"'"&amp;"!A:A"),"总价",INDIRECT("'"&amp;A7&amp;"'"&amp;"!B:B"))</f>
        <v>#REF!</v>
      </c>
      <c r="C7" s="3107" t="s">
        <v>2942</v>
      </c>
      <c r="D7" s="1883"/>
      <c r="E7" s="3112" t="e">
        <f ca="1">SUMIF(INDIRECT("'"&amp;A7&amp;"'"&amp;"!C:C"),"建筑面积",INDIRECT("'"&amp;A7&amp;"'"&amp;"!D:D"))</f>
        <v>#REF!</v>
      </c>
      <c r="F7" s="3112" t="e">
        <f ca="1">SUMIF(INDIRECT("'"&amp;A7&amp;"'"&amp;"!E:E"),"土地面积",INDIRECT("'"&amp;A7&amp;"'"&amp;"!F:F"))</f>
        <v>#REF!</v>
      </c>
    </row>
    <row r="8" spans="1:6" ht="14.25">
      <c r="A8" s="260"/>
      <c r="B8" s="3111" t="e">
        <f t="shared" ref="B8:B14" ca="1" si="0">SUMIF(INDIRECT("'"&amp;A8&amp;"'"&amp;"!A:A"),"总价",INDIRECT("'"&amp;A8&amp;"'"&amp;"!B:B"))</f>
        <v>#REF!</v>
      </c>
      <c r="C8" s="3107" t="s">
        <v>2942</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2942</v>
      </c>
      <c r="D9" s="1883"/>
      <c r="E9" s="3112" t="e">
        <f t="shared" ca="1" si="1"/>
        <v>#REF!</v>
      </c>
      <c r="F9" s="3112" t="e">
        <f t="shared" ca="1" si="2"/>
        <v>#REF!</v>
      </c>
    </row>
    <row r="10" spans="1:6" ht="14.25">
      <c r="A10" s="260"/>
      <c r="B10" s="3111" t="e">
        <f t="shared" ca="1" si="0"/>
        <v>#REF!</v>
      </c>
      <c r="C10" s="3107" t="s">
        <v>2942</v>
      </c>
      <c r="D10" s="1883"/>
      <c r="E10" s="3112" t="e">
        <f t="shared" ca="1" si="1"/>
        <v>#REF!</v>
      </c>
      <c r="F10" s="3112" t="e">
        <f t="shared" ca="1" si="2"/>
        <v>#REF!</v>
      </c>
    </row>
    <row r="11" spans="1:6" ht="14.25">
      <c r="A11" s="260"/>
      <c r="B11" s="3111" t="e">
        <f t="shared" ca="1" si="0"/>
        <v>#REF!</v>
      </c>
      <c r="C11" s="3107" t="s">
        <v>2942</v>
      </c>
      <c r="D11" s="1883"/>
      <c r="E11" s="3112" t="e">
        <f t="shared" ca="1" si="1"/>
        <v>#REF!</v>
      </c>
      <c r="F11" s="3112" t="e">
        <f t="shared" ca="1" si="2"/>
        <v>#REF!</v>
      </c>
    </row>
    <row r="12" spans="1:6" ht="14.25">
      <c r="A12" s="260"/>
      <c r="B12" s="3111" t="e">
        <f t="shared" ca="1" si="0"/>
        <v>#REF!</v>
      </c>
      <c r="C12" s="3107" t="s">
        <v>2942</v>
      </c>
      <c r="D12" s="1883"/>
      <c r="E12" s="3112" t="e">
        <f t="shared" ca="1" si="1"/>
        <v>#REF!</v>
      </c>
      <c r="F12" s="3112" t="e">
        <f t="shared" ca="1" si="2"/>
        <v>#REF!</v>
      </c>
    </row>
    <row r="13" spans="1:6" ht="14.25">
      <c r="A13" s="260"/>
      <c r="B13" s="3111" t="e">
        <f t="shared" ca="1" si="0"/>
        <v>#REF!</v>
      </c>
      <c r="C13" s="3107" t="s">
        <v>2942</v>
      </c>
      <c r="D13" s="1883"/>
      <c r="E13" s="3112" t="e">
        <f t="shared" ca="1" si="1"/>
        <v>#REF!</v>
      </c>
      <c r="F13" s="3112" t="e">
        <f t="shared" ca="1" si="2"/>
        <v>#REF!</v>
      </c>
    </row>
    <row r="14" spans="1:6" ht="14.25">
      <c r="A14" s="3105"/>
      <c r="B14" s="3111" t="e">
        <f t="shared" ca="1" si="0"/>
        <v>#REF!</v>
      </c>
      <c r="C14" s="3107" t="s">
        <v>2942</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1633</v>
      </c>
      <c r="T1" s="2936" t="s">
        <v>2779</v>
      </c>
      <c r="U1" s="2936" t="s">
        <v>2780</v>
      </c>
      <c r="V1" s="2936" t="s">
        <v>990</v>
      </c>
      <c r="W1" s="2191"/>
      <c r="X1" s="2191"/>
      <c r="Y1" s="2191"/>
      <c r="Z1" s="2191"/>
      <c r="AA1" s="2191"/>
      <c r="AB1" s="2191"/>
      <c r="AC1" s="2192"/>
    </row>
    <row r="2" spans="1:39" ht="15.75">
      <c r="A2" s="1407" t="s">
        <v>917</v>
      </c>
      <c r="B2" s="1038">
        <f ca="1">C26</f>
        <v>0</v>
      </c>
      <c r="C2" s="1408" t="s">
        <v>918</v>
      </c>
      <c r="D2" s="1409" t="s">
        <v>895</v>
      </c>
      <c r="E2" s="1410" t="s">
        <v>2981</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10128</v>
      </c>
      <c r="U2" s="2926"/>
      <c r="V2" s="2937">
        <f ca="1">ROUND(T2*U2/10000,0)</f>
        <v>0</v>
      </c>
      <c r="W2" s="2191"/>
      <c r="X2" s="2191"/>
      <c r="Y2" s="2191"/>
      <c r="Z2" s="2191"/>
      <c r="AA2" s="2191"/>
      <c r="AB2" s="2191"/>
      <c r="AC2" s="2192"/>
    </row>
    <row r="3" spans="1:39" ht="15.75">
      <c r="A3" s="1412" t="s">
        <v>1681</v>
      </c>
      <c r="B3" s="1038" t="e">
        <f ca="1">ROUND(B2*10000/D1,0)</f>
        <v>#DIV/0!</v>
      </c>
      <c r="C3" s="1408" t="s">
        <v>924</v>
      </c>
      <c r="D3" s="1409" t="s">
        <v>925</v>
      </c>
      <c r="E3" s="1413" t="s">
        <v>3001</v>
      </c>
      <c r="F3" s="1414" t="s">
        <v>2932</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6675</v>
      </c>
      <c r="U3" s="2926"/>
      <c r="V3" s="2937">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5253</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14">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3924</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2951</v>
      </c>
      <c r="U6" s="2926"/>
      <c r="V6" s="2937">
        <f t="shared" ca="1" si="1"/>
        <v>0</v>
      </c>
      <c r="W6" s="2191"/>
      <c r="X6" s="2191"/>
      <c r="Y6" s="2191"/>
      <c r="Z6" s="2191"/>
      <c r="AA6" s="2191"/>
      <c r="AB6" s="2191"/>
      <c r="AC6" s="2193"/>
      <c r="AD6" s="1420"/>
      <c r="AE6" s="1420"/>
      <c r="AF6" s="1420"/>
      <c r="AG6" s="1420"/>
      <c r="AH6" s="1420"/>
      <c r="AI6" s="1420"/>
      <c r="AJ6" s="1421"/>
    </row>
    <row r="7" spans="1:39" ht="24">
      <c r="A7" s="3552"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2360</v>
      </c>
      <c r="U7" s="2926"/>
      <c r="V7" s="2937">
        <f t="shared" ca="1" si="1"/>
        <v>0</v>
      </c>
      <c r="W7" s="3176" t="s">
        <v>2760</v>
      </c>
      <c r="X7" s="2927" t="str">
        <f>G2</f>
        <v>九级</v>
      </c>
      <c r="Y7" s="2927" t="s">
        <v>2761</v>
      </c>
      <c r="Z7" s="2928">
        <f>G3</f>
        <v>2.2999999999999998</v>
      </c>
      <c r="AA7" s="2194"/>
      <c r="AB7" s="2194"/>
      <c r="AC7" s="2195"/>
      <c r="AD7" s="2929"/>
      <c r="AE7" s="2929"/>
      <c r="AF7" s="2929"/>
      <c r="AG7" s="2929"/>
      <c r="AH7" s="2929"/>
      <c r="AI7" s="2929"/>
      <c r="AJ7" s="2930"/>
    </row>
    <row r="8" spans="1:39" ht="25.5">
      <c r="A8" s="3553"/>
      <c r="B8" s="1415" t="s">
        <v>931</v>
      </c>
      <c r="C8" s="1530" t="s">
        <v>3003</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44" t="s">
        <v>2778</v>
      </c>
      <c r="X8" s="354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53"/>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7">
        <v>8</v>
      </c>
      <c r="S9" s="2926"/>
      <c r="T9" s="2937">
        <f t="shared" ca="1" si="0"/>
        <v>0</v>
      </c>
      <c r="U9" s="2926"/>
      <c r="V9" s="2937">
        <f t="shared" ca="1" si="1"/>
        <v>0</v>
      </c>
      <c r="W9" s="354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53"/>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4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53"/>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43"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552"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4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54"/>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43"/>
      <c r="X13" s="2934"/>
      <c r="Y13" s="2933">
        <f>(-0.163*(Y12^2)-0.59*Y12+7617)*(10^(-4))/Y11</f>
        <v>0.33117391304347832</v>
      </c>
      <c r="Z13" s="2933">
        <f t="shared" ref="Z13:AJ13" si="5">(-0.163*(Z12^2)-0.59*Z12+7617)*(10^(-4))/Z11</f>
        <v>0.33117391304347832</v>
      </c>
      <c r="AA13" s="2933">
        <f t="shared" si="5"/>
        <v>0.33117391304347832</v>
      </c>
      <c r="AB13" s="2933">
        <f t="shared" si="5"/>
        <v>0.33117391304347832</v>
      </c>
      <c r="AC13" s="2933">
        <f t="shared" si="5"/>
        <v>0.33117391304347832</v>
      </c>
      <c r="AD13" s="2933">
        <f t="shared" si="5"/>
        <v>0.33117391304347832</v>
      </c>
      <c r="AE13" s="2933">
        <f t="shared" si="5"/>
        <v>0.33117391304347832</v>
      </c>
      <c r="AF13" s="2933">
        <f t="shared" si="5"/>
        <v>0.33117391304347832</v>
      </c>
      <c r="AG13" s="2933">
        <f t="shared" si="5"/>
        <v>0.33117391304347832</v>
      </c>
      <c r="AH13" s="2933">
        <f t="shared" si="5"/>
        <v>0.33117391304347832</v>
      </c>
      <c r="AI13" s="2933">
        <f t="shared" si="5"/>
        <v>0.33117391304347832</v>
      </c>
      <c r="AJ13" s="2933">
        <f t="shared" si="5"/>
        <v>0.33117391304347832</v>
      </c>
    </row>
    <row r="14" spans="1:39" ht="12.75" customHeight="1" thickBot="1">
      <c r="A14" s="3554"/>
      <c r="B14" s="1452"/>
      <c r="C14" s="1453"/>
      <c r="D14" s="1454"/>
      <c r="E14" s="1454"/>
      <c r="F14" s="1455"/>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55"/>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52"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53"/>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ROUND(IF(H19="按公示增长率计算",SUMPRODUCT((地价!A3:A27=YEAR(G19)&amp;"-"&amp;ROUNDUP(MONTH(G19)/3,0))*(地价!X2:AB2=E2)*(地价!X3:AB27)),IF(H19="地价指数",M20/M19,(1+I19)^O19)),4)</f>
        <v>1.3875999999999999</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258</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1822</v>
      </c>
      <c r="B20" s="2780" t="s">
        <v>969</v>
      </c>
      <c r="C20" s="2781">
        <f ca="1">ROUND(POWER(1+G20,J20-I20)*(POWER(1+G20,I20)-1)/(POWER(1+G20,J20)-1),4)</f>
        <v>0.99429999999999996</v>
      </c>
      <c r="D20" s="2782" t="s">
        <v>970</v>
      </c>
      <c r="E20" s="3096">
        <f ca="1">存贷款利率!I4/100</f>
        <v>4.3499999999999997E-2</v>
      </c>
      <c r="F20" s="2782" t="s">
        <v>971</v>
      </c>
      <c r="G20" s="2783">
        <f ca="1">SUMIF(M15:P15,E2,M17:P17)</f>
        <v>5.3999999999999999E-2</v>
      </c>
      <c r="H20" s="2782" t="s">
        <v>972</v>
      </c>
      <c r="I20" s="2772">
        <f>SUMIF('数据-取费表'!C6:C15,E2,'数据-取费表'!F6:F15)/COUNTIF('数据-取费表'!C6:C15,E2)</f>
        <v>39.229999999999997</v>
      </c>
      <c r="J20" s="2784">
        <f>IF(E2="住宅",70,IF(E2="商业",40,50))</f>
        <v>40</v>
      </c>
      <c r="K20" s="1482"/>
      <c r="L20" s="3042" t="s">
        <v>2837</v>
      </c>
      <c r="M20" s="3043">
        <f>ROUND(SUMPRODUCT((地价!A4:A27=YEAR(G19)&amp;"-"&amp;ROUNDUP(MONTH(G19)/3,0))*(地价!B2:F2=E2)*(地价!B4:F27)),0)</f>
        <v>350</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0.9304</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0.9304</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0.9304</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4852</v>
      </c>
      <c r="D29" s="1505"/>
      <c r="E29" s="1851">
        <f ca="1">ROUND(C29*D29/10000,0)</f>
        <v>0</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1213</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8" t="s">
        <v>2958</v>
      </c>
      <c r="B33" s="1525" t="s">
        <v>997</v>
      </c>
      <c r="C33" s="1063">
        <f ca="1">ROUND(D5*C19*C20*C24*F33,0)</f>
        <v>3129</v>
      </c>
      <c r="D33" s="1538"/>
      <c r="E33" s="1048">
        <f ca="1">ROUND(C33*D33/10000,0)</f>
        <v>0</v>
      </c>
      <c r="F33" s="1048">
        <f>SUMIF(修正!A45:A56,G2,修正!B45:B56)</f>
        <v>0.6</v>
      </c>
      <c r="G33" s="1048">
        <f t="shared" ref="G33" ca="1" si="6">ROUND(IF(E2="工业",C33*$M$39,C33*$M$38),0)</f>
        <v>782</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9"/>
      <c r="B34" s="1446" t="s">
        <v>998</v>
      </c>
      <c r="C34" s="1063">
        <f ca="1">ROUND(D5*C19*C20*C24*F34,0)</f>
        <v>1565</v>
      </c>
      <c r="D34" s="1538"/>
      <c r="E34" s="1048">
        <f t="shared" ref="E34:E39" ca="1" si="7">ROUND(C34*D34/10000,0)</f>
        <v>0</v>
      </c>
      <c r="F34" s="1048">
        <f>SUMIF(修正!A45:A56,G2,修正!C45:C56)</f>
        <v>0.3</v>
      </c>
      <c r="G34" s="1048">
        <f ca="1">ROUND(IF(E2="工业",C34*$M$39,C34*$M$38),0)</f>
        <v>391</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9"/>
      <c r="B35" s="1446" t="s">
        <v>999</v>
      </c>
      <c r="C35" s="1063">
        <f ca="1">ROUND(D5*C19*C20*C24*F35,0)</f>
        <v>1043</v>
      </c>
      <c r="D35" s="1538"/>
      <c r="E35" s="1048">
        <f t="shared" ca="1" si="7"/>
        <v>0</v>
      </c>
      <c r="F35" s="1048">
        <f>SUMIF(修正!A45:A56,G2,修正!D45:D56)</f>
        <v>0.2</v>
      </c>
      <c r="G35" s="1048">
        <f ca="1">ROUND(IF(E2="工业",C35*$M$39,C35*$M$38),0)</f>
        <v>261</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60"/>
      <c r="B36" s="1446" t="s">
        <v>1000</v>
      </c>
      <c r="C36" s="1063">
        <f ca="1">ROUND(D5*C19*C20*C24*F36,0)</f>
        <v>1043</v>
      </c>
      <c r="D36" s="1538"/>
      <c r="E36" s="1048">
        <f t="shared" ca="1" si="7"/>
        <v>0</v>
      </c>
      <c r="F36" s="1048">
        <f>SUMIF(修正!A45:A56,G2,修正!E45:E56)</f>
        <v>0.2</v>
      </c>
      <c r="G36" s="1048">
        <f ca="1">ROUND(IF(E2="工业",C36*$M$39,C36*$M$38),0)</f>
        <v>261</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1043</v>
      </c>
      <c r="D37" s="1538"/>
      <c r="E37" s="1048">
        <f t="shared" ca="1" si="7"/>
        <v>0</v>
      </c>
      <c r="F37" s="1063">
        <f>SUMIF(修正!A45:A56,G2,修正!F45:F56)</f>
        <v>0.2</v>
      </c>
      <c r="G37" s="1048">
        <f ca="1">ROUND(IF(E2="工业",C37*$M$39,C37*$M$38),0)</f>
        <v>261</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1043</v>
      </c>
      <c r="D38" s="1538"/>
      <c r="E38" s="1048">
        <f t="shared" ca="1" si="7"/>
        <v>0</v>
      </c>
      <c r="F38" s="1063">
        <f>SUMIF(修正!A45:A56,G2,修正!G45:G56)</f>
        <v>0.2</v>
      </c>
      <c r="G38" s="1048">
        <f ca="1">ROUND(IF(E2="工业",C38*$M$39,C38*$M$38),0)</f>
        <v>261</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782</v>
      </c>
      <c r="D39" s="1539"/>
      <c r="E39" s="1051">
        <f t="shared" ca="1" si="7"/>
        <v>0</v>
      </c>
      <c r="F39" s="1065">
        <f>SUMIF(修正!A45:A56,G2,修正!H45:H56)</f>
        <v>0.15</v>
      </c>
      <c r="G39" s="1051">
        <f ca="1">ROUND(IF(E2="工业",C39*$M$39,C39*$M$38),0)</f>
        <v>196</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098"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7"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098"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56" t="s">
        <v>1631</v>
      </c>
      <c r="B90" s="3556"/>
      <c r="C90" s="3556"/>
      <c r="D90" s="3556"/>
      <c r="E90" s="3556"/>
      <c r="F90" s="3556"/>
      <c r="G90" s="3556"/>
      <c r="H90" s="3556"/>
      <c r="I90" s="3556"/>
      <c r="J90" s="3556"/>
      <c r="K90" s="3178"/>
      <c r="L90" s="3178"/>
      <c r="M90" s="3178"/>
      <c r="N90" s="3178"/>
    </row>
    <row r="91" spans="1:40">
      <c r="A91" s="3557" t="s">
        <v>895</v>
      </c>
      <c r="B91" s="3557" t="s">
        <v>1632</v>
      </c>
      <c r="C91" s="1140" t="s">
        <v>1633</v>
      </c>
      <c r="D91" s="1141"/>
      <c r="E91" s="1141"/>
      <c r="F91" s="1141"/>
      <c r="G91" s="1141"/>
      <c r="H91" s="1141"/>
      <c r="I91" s="1141"/>
      <c r="J91" s="1142"/>
      <c r="K91" s="1134"/>
      <c r="L91" s="1134"/>
      <c r="M91" s="1134"/>
      <c r="N91" s="1134"/>
    </row>
    <row r="92" spans="1:40">
      <c r="A92" s="3557"/>
      <c r="B92" s="3557"/>
      <c r="C92" s="3179" t="s">
        <v>881</v>
      </c>
      <c r="D92" s="3179" t="s">
        <v>882</v>
      </c>
      <c r="E92" s="3179" t="s">
        <v>883</v>
      </c>
      <c r="F92" s="3179" t="s">
        <v>884</v>
      </c>
      <c r="G92" s="3179" t="s">
        <v>885</v>
      </c>
      <c r="H92" s="3179" t="s">
        <v>886</v>
      </c>
      <c r="I92" s="3179" t="s">
        <v>887</v>
      </c>
      <c r="J92" s="3179" t="s">
        <v>888</v>
      </c>
      <c r="K92" s="3179" t="s">
        <v>889</v>
      </c>
      <c r="L92" s="3179" t="s">
        <v>890</v>
      </c>
      <c r="M92" s="3179" t="s">
        <v>891</v>
      </c>
      <c r="N92" s="3179" t="s">
        <v>892</v>
      </c>
    </row>
    <row r="93" spans="1:40">
      <c r="A93" s="354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47"/>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46" t="s">
        <v>1635</v>
      </c>
      <c r="B101" s="1147" t="s">
        <v>880</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547"/>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547"/>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547"/>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547"/>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547"/>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547"/>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547"/>
      <c r="B108" s="3549"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48"/>
      <c r="B109" s="3550"/>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551" t="s">
        <v>1637</v>
      </c>
      <c r="B110" s="3551"/>
      <c r="C110" s="3551"/>
      <c r="D110" s="3551"/>
      <c r="E110" s="3551"/>
      <c r="F110" s="3551"/>
      <c r="G110" s="3551"/>
      <c r="H110" s="3551"/>
      <c r="I110" s="3551"/>
      <c r="J110" s="3551"/>
      <c r="K110" s="3177"/>
      <c r="L110" s="3177"/>
      <c r="M110" s="3177"/>
      <c r="N110" s="3177"/>
    </row>
    <row r="112" spans="1:14" ht="12.75" thickBot="1"/>
    <row r="113" spans="1:13" ht="25.5" thickBot="1">
      <c r="A113" s="1016" t="s">
        <v>893</v>
      </c>
      <c r="B113" s="2453">
        <f>G3</f>
        <v>2.2999999999999998</v>
      </c>
      <c r="C113" s="1017" t="s">
        <v>894</v>
      </c>
      <c r="D113" s="1018">
        <f>SUMPRODUCT((A115:A118=F113)*(B114:M114=H113)*B115:M118)</f>
        <v>0.65339999999999998</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1633</v>
      </c>
      <c r="T1" s="2936" t="s">
        <v>2779</v>
      </c>
      <c r="U1" s="2936" t="s">
        <v>2780</v>
      </c>
      <c r="V1" s="2936"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10071</v>
      </c>
      <c r="U2" s="2926"/>
      <c r="V2" s="2937">
        <f ca="1">ROUND(T2*U2/10000,0)</f>
        <v>0</v>
      </c>
      <c r="W2" s="2191"/>
      <c r="X2" s="2191"/>
      <c r="Y2" s="2191"/>
      <c r="Z2" s="2191"/>
      <c r="AA2" s="2191"/>
      <c r="AB2" s="2191"/>
      <c r="AC2" s="2192"/>
    </row>
    <row r="3" spans="1:39" ht="24">
      <c r="A3" s="1412" t="s">
        <v>1681</v>
      </c>
      <c r="B3" s="1038" t="e">
        <f ca="1">ROUND(B2*10000/D1,0)</f>
        <v>#DIV/0!</v>
      </c>
      <c r="C3" s="1408" t="s">
        <v>924</v>
      </c>
      <c r="D3" s="1409" t="s">
        <v>925</v>
      </c>
      <c r="E3" s="1413" t="s">
        <v>3002</v>
      </c>
      <c r="F3" s="1414" t="s">
        <v>2932</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6637</v>
      </c>
      <c r="U3" s="2926"/>
      <c r="V3" s="2937">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5223</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14">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3902</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2935</v>
      </c>
      <c r="U6" s="2926"/>
      <c r="V6" s="2937">
        <f t="shared" ca="1" si="1"/>
        <v>0</v>
      </c>
      <c r="W6" s="2191"/>
      <c r="X6" s="2191"/>
      <c r="Y6" s="2191"/>
      <c r="Z6" s="2191"/>
      <c r="AA6" s="2191"/>
      <c r="AB6" s="2191"/>
      <c r="AC6" s="2193"/>
      <c r="AD6" s="1420"/>
      <c r="AE6" s="1420"/>
      <c r="AF6" s="1420"/>
      <c r="AG6" s="1420"/>
      <c r="AH6" s="1420"/>
      <c r="AI6" s="1420"/>
      <c r="AJ6" s="1421"/>
    </row>
    <row r="7" spans="1:39" ht="24">
      <c r="A7" s="3552"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2347</v>
      </c>
      <c r="U7" s="2926"/>
      <c r="V7" s="2937">
        <f t="shared" ca="1" si="1"/>
        <v>0</v>
      </c>
      <c r="W7" s="3176" t="s">
        <v>2760</v>
      </c>
      <c r="X7" s="2927" t="str">
        <f>G2</f>
        <v>九级</v>
      </c>
      <c r="Y7" s="2927" t="s">
        <v>2761</v>
      </c>
      <c r="Z7" s="2928">
        <f>G3</f>
        <v>2.2999999999999998</v>
      </c>
      <c r="AA7" s="2194"/>
      <c r="AB7" s="2194"/>
      <c r="AC7" s="2195"/>
      <c r="AD7" s="2929"/>
      <c r="AE7" s="2929"/>
      <c r="AF7" s="2929"/>
      <c r="AG7" s="2929"/>
      <c r="AH7" s="2929"/>
      <c r="AI7" s="2929"/>
      <c r="AJ7" s="2930"/>
    </row>
    <row r="8" spans="1:39" ht="15">
      <c r="A8" s="3553"/>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44" t="s">
        <v>2778</v>
      </c>
      <c r="X8" s="354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53"/>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7">
        <v>8</v>
      </c>
      <c r="S9" s="2926"/>
      <c r="T9" s="2937">
        <f t="shared" ca="1" si="0"/>
        <v>0</v>
      </c>
      <c r="U9" s="2926"/>
      <c r="V9" s="2937">
        <f t="shared" ca="1" si="1"/>
        <v>0</v>
      </c>
      <c r="W9" s="354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53"/>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4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53"/>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43"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552"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4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54"/>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43"/>
      <c r="X13" s="2934"/>
      <c r="Y13" s="2933">
        <f>(-0.163*(Y12^2)-0.59*Y12+7617)*(10^(-4))/Y11</f>
        <v>0.33117391304347832</v>
      </c>
      <c r="Z13" s="2933">
        <f t="shared" ref="Z13:AJ13" si="5">(-0.163*(Z12^2)-0.59*Z12+7617)*(10^(-4))/Z11</f>
        <v>0.33117391304347832</v>
      </c>
      <c r="AA13" s="2933">
        <f t="shared" si="5"/>
        <v>0.33117391304347832</v>
      </c>
      <c r="AB13" s="2933">
        <f t="shared" si="5"/>
        <v>0.33117391304347832</v>
      </c>
      <c r="AC13" s="2933">
        <f t="shared" si="5"/>
        <v>0.33117391304347832</v>
      </c>
      <c r="AD13" s="2933">
        <f t="shared" si="5"/>
        <v>0.33117391304347832</v>
      </c>
      <c r="AE13" s="2933">
        <f t="shared" si="5"/>
        <v>0.33117391304347832</v>
      </c>
      <c r="AF13" s="2933">
        <f t="shared" si="5"/>
        <v>0.33117391304347832</v>
      </c>
      <c r="AG13" s="2933">
        <f t="shared" si="5"/>
        <v>0.33117391304347832</v>
      </c>
      <c r="AH13" s="2933">
        <f t="shared" si="5"/>
        <v>0.33117391304347832</v>
      </c>
      <c r="AI13" s="2933">
        <f t="shared" si="5"/>
        <v>0.33117391304347832</v>
      </c>
      <c r="AJ13" s="2933">
        <f t="shared" si="5"/>
        <v>0.33117391304347832</v>
      </c>
    </row>
    <row r="14" spans="1:39" ht="12.75" customHeight="1" thickBot="1">
      <c r="A14" s="3554"/>
      <c r="B14" s="1452"/>
      <c r="C14" s="1453"/>
      <c r="D14" s="1454"/>
      <c r="E14" s="1454"/>
      <c r="F14" s="1455"/>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55"/>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52"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53"/>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ROUND(IF(H19="按公示增长率计算",SUMPRODUCT((地价!A3:A27=YEAR(G19)&amp;"-"&amp;ROUNDUP(MONTH(G19)/3,0))*(地价!X2:AB2=E2)*(地价!X3:AB27)),IF(H19="地价指数",M20/M19,(1+I19)^O19)),4)</f>
        <v>1.3875999999999999</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258</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1822</v>
      </c>
      <c r="B20" s="2780" t="s">
        <v>969</v>
      </c>
      <c r="C20" s="2781">
        <f ca="1">ROUND(POWER(1+G20,J20-I20)*(POWER(1+G20,I20)-1)/(POWER(1+G20,J20)-1),4)</f>
        <v>0.99660000000000004</v>
      </c>
      <c r="D20" s="2782" t="s">
        <v>970</v>
      </c>
      <c r="E20" s="3096">
        <f ca="1">存贷款利率!I4/100</f>
        <v>4.3499999999999997E-2</v>
      </c>
      <c r="F20" s="2782" t="s">
        <v>971</v>
      </c>
      <c r="G20" s="2783">
        <f ca="1">SUMIF(M15:P15,E2,M17:P17)</f>
        <v>5.1999999999999998E-2</v>
      </c>
      <c r="H20" s="2782" t="s">
        <v>972</v>
      </c>
      <c r="I20" s="2772">
        <f>SUMIF('数据-取费表'!C6:C15,E2,'数据-取费表'!F6:F15)/COUNTIF('数据-取费表'!C6:C15,E2)</f>
        <v>49.24</v>
      </c>
      <c r="J20" s="2784">
        <f>IF(E2="住宅",70,IF(E2="商业",40,50))</f>
        <v>50</v>
      </c>
      <c r="K20" s="1482"/>
      <c r="L20" s="3042" t="s">
        <v>2837</v>
      </c>
      <c r="M20" s="3043">
        <f>ROUND(SUMPRODUCT((地价!A4:A27=YEAR(G19)&amp;"-"&amp;ROUNDUP(MONTH(G19)/3,0))*(地价!B2:F2=E2)*(地价!B4:F27)),0)</f>
        <v>350</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0.95440000000000003</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0.95440000000000003</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4949</v>
      </c>
      <c r="D29" s="1505"/>
      <c r="E29" s="1851">
        <f ca="1">ROUND(C29*D29/10000,0)</f>
        <v>0</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1237</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8"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9"/>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9"/>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60"/>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1037</v>
      </c>
      <c r="D37" s="1538"/>
      <c r="E37" s="1048">
        <f t="shared" ca="1" si="7"/>
        <v>0</v>
      </c>
      <c r="F37" s="1063">
        <f>SUMIF(修正!A45:A56,G2,修正!F45:F56)</f>
        <v>0.2</v>
      </c>
      <c r="G37" s="1048">
        <f ca="1">ROUND(IF(E2="工业",C37*$M$39,C37*$M$38),0)</f>
        <v>259</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1037</v>
      </c>
      <c r="D38" s="1538"/>
      <c r="E38" s="1048">
        <f t="shared" ca="1" si="7"/>
        <v>0</v>
      </c>
      <c r="F38" s="1063">
        <f>SUMIF(修正!A45:A56,G2,修正!G45:G56)</f>
        <v>0.2</v>
      </c>
      <c r="G38" s="1048">
        <f ca="1">ROUND(IF(E2="工业",C38*$M$39,C38*$M$38),0)</f>
        <v>259</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778</v>
      </c>
      <c r="D39" s="1539"/>
      <c r="E39" s="1051">
        <f t="shared" ca="1" si="7"/>
        <v>0</v>
      </c>
      <c r="F39" s="1065">
        <f>SUMIF(修正!A45:A56,G2,修正!H45:H56)</f>
        <v>0.15</v>
      </c>
      <c r="G39" s="1051">
        <f ca="1">ROUND(IF(E2="工业",C39*$M$39,C39*$M$38),0)</f>
        <v>195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098"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7"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56" t="s">
        <v>1631</v>
      </c>
      <c r="B90" s="3556"/>
      <c r="C90" s="3556"/>
      <c r="D90" s="3556"/>
      <c r="E90" s="3556"/>
      <c r="F90" s="3556"/>
      <c r="G90" s="3556"/>
      <c r="H90" s="3556"/>
      <c r="I90" s="3556"/>
      <c r="J90" s="3556"/>
      <c r="K90" s="3178"/>
      <c r="L90" s="3178"/>
      <c r="M90" s="3178"/>
      <c r="N90" s="3178"/>
    </row>
    <row r="91" spans="1:40">
      <c r="A91" s="3557" t="s">
        <v>895</v>
      </c>
      <c r="B91" s="3557" t="s">
        <v>1632</v>
      </c>
      <c r="C91" s="1140" t="s">
        <v>1633</v>
      </c>
      <c r="D91" s="1141"/>
      <c r="E91" s="1141"/>
      <c r="F91" s="1141"/>
      <c r="G91" s="1141"/>
      <c r="H91" s="1141"/>
      <c r="I91" s="1141"/>
      <c r="J91" s="1142"/>
      <c r="K91" s="1134"/>
      <c r="L91" s="1134"/>
      <c r="M91" s="1134"/>
      <c r="N91" s="1134"/>
    </row>
    <row r="92" spans="1:40">
      <c r="A92" s="3557"/>
      <c r="B92" s="3557"/>
      <c r="C92" s="3179" t="s">
        <v>881</v>
      </c>
      <c r="D92" s="3179" t="s">
        <v>882</v>
      </c>
      <c r="E92" s="3179" t="s">
        <v>883</v>
      </c>
      <c r="F92" s="3179" t="s">
        <v>884</v>
      </c>
      <c r="G92" s="3179" t="s">
        <v>885</v>
      </c>
      <c r="H92" s="3179" t="s">
        <v>886</v>
      </c>
      <c r="I92" s="3179" t="s">
        <v>887</v>
      </c>
      <c r="J92" s="3179" t="s">
        <v>888</v>
      </c>
      <c r="K92" s="3179" t="s">
        <v>889</v>
      </c>
      <c r="L92" s="3179" t="s">
        <v>890</v>
      </c>
      <c r="M92" s="3179" t="s">
        <v>891</v>
      </c>
      <c r="N92" s="3179" t="s">
        <v>892</v>
      </c>
    </row>
    <row r="93" spans="1:40">
      <c r="A93" s="354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47"/>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46" t="s">
        <v>1635</v>
      </c>
      <c r="B101" s="1147" t="s">
        <v>880</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547"/>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547"/>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547"/>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547"/>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547"/>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547"/>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547"/>
      <c r="B108" s="3549"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48"/>
      <c r="B109" s="3550"/>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551" t="s">
        <v>1637</v>
      </c>
      <c r="B110" s="3551"/>
      <c r="C110" s="3551"/>
      <c r="D110" s="3551"/>
      <c r="E110" s="3551"/>
      <c r="F110" s="3551"/>
      <c r="G110" s="3551"/>
      <c r="H110" s="3551"/>
      <c r="I110" s="3551"/>
      <c r="J110" s="3551"/>
      <c r="K110" s="3177"/>
      <c r="L110" s="3177"/>
      <c r="M110" s="3177"/>
      <c r="N110" s="3177"/>
    </row>
    <row r="112" spans="1:14" ht="12.75" thickBot="1"/>
    <row r="113" spans="1:13" ht="25.5" thickBot="1">
      <c r="A113" s="1016" t="s">
        <v>893</v>
      </c>
      <c r="B113" s="2453">
        <f>G3</f>
        <v>2.2999999999999998</v>
      </c>
      <c r="C113" s="1017" t="s">
        <v>894</v>
      </c>
      <c r="D113" s="1018">
        <f>SUMPRODUCT((A115:A118=F113)*(B114:M114=H113)*B115:M118)</f>
        <v>0.73719999999999997</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7"/>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500" t="s">
        <v>519</v>
      </c>
      <c r="D4" s="3501"/>
      <c r="E4" s="3534" t="s">
        <v>520</v>
      </c>
      <c r="F4" s="3535"/>
      <c r="G4" s="3500" t="s">
        <v>521</v>
      </c>
      <c r="H4" s="3501"/>
      <c r="I4" s="3500" t="s">
        <v>522</v>
      </c>
      <c r="J4" s="3501"/>
      <c r="K4" s="514" t="s">
        <v>523</v>
      </c>
      <c r="L4" s="2135"/>
      <c r="M4" s="2136"/>
      <c r="N4" s="2136"/>
      <c r="O4" s="2136"/>
      <c r="P4" s="3570" t="s">
        <v>524</v>
      </c>
      <c r="Q4" s="3503"/>
      <c r="R4" s="3508" t="s">
        <v>520</v>
      </c>
      <c r="S4" s="3509"/>
      <c r="T4" s="3508" t="s">
        <v>521</v>
      </c>
      <c r="U4" s="3509"/>
      <c r="V4" s="3495" t="s">
        <v>522</v>
      </c>
      <c r="W4" s="3495"/>
      <c r="X4" s="1568"/>
      <c r="Y4" s="3508" t="s">
        <v>524</v>
      </c>
      <c r="Z4" s="3509"/>
      <c r="AA4" s="3497" t="s">
        <v>520</v>
      </c>
      <c r="AB4" s="3497" t="s">
        <v>521</v>
      </c>
      <c r="AC4" s="3497" t="s">
        <v>522</v>
      </c>
    </row>
    <row r="5" spans="1:29" ht="15">
      <c r="A5" s="515"/>
      <c r="B5" s="516"/>
      <c r="C5" s="3516" t="s">
        <v>2925</v>
      </c>
      <c r="D5" s="3517"/>
      <c r="E5" s="3536" t="s">
        <v>2926</v>
      </c>
      <c r="F5" s="3537"/>
      <c r="G5" s="3516" t="s">
        <v>2927</v>
      </c>
      <c r="H5" s="3517"/>
      <c r="I5" s="3516" t="s">
        <v>2928</v>
      </c>
      <c r="J5" s="3517"/>
      <c r="K5" s="514"/>
      <c r="L5" s="2135"/>
      <c r="M5" s="2136"/>
      <c r="N5" s="2136"/>
      <c r="O5" s="2136"/>
      <c r="P5" s="3571"/>
      <c r="Q5" s="3505"/>
      <c r="R5" s="3510"/>
      <c r="S5" s="3511"/>
      <c r="T5" s="3510"/>
      <c r="U5" s="3511"/>
      <c r="V5" s="3495"/>
      <c r="W5" s="3495"/>
      <c r="X5" s="1568"/>
      <c r="Y5" s="3510"/>
      <c r="Z5" s="3511"/>
      <c r="AA5" s="3498"/>
      <c r="AB5" s="3498"/>
      <c r="AC5" s="3498"/>
    </row>
    <row r="6" spans="1:29" ht="15.75" thickBot="1">
      <c r="A6" s="517"/>
      <c r="B6" s="518"/>
      <c r="C6" s="3514" t="s">
        <v>2929</v>
      </c>
      <c r="D6" s="3515"/>
      <c r="E6" s="3532" t="s">
        <v>2929</v>
      </c>
      <c r="F6" s="3533"/>
      <c r="G6" s="3514" t="s">
        <v>2929</v>
      </c>
      <c r="H6" s="3515"/>
      <c r="I6" s="3514" t="s">
        <v>2929</v>
      </c>
      <c r="J6" s="3515"/>
      <c r="K6" s="514" t="s">
        <v>525</v>
      </c>
      <c r="L6" s="2135"/>
      <c r="M6" s="2136"/>
      <c r="N6" s="2136"/>
      <c r="O6" s="2136"/>
      <c r="P6" s="3572"/>
      <c r="Q6" s="3507"/>
      <c r="R6" s="3510"/>
      <c r="S6" s="3511"/>
      <c r="T6" s="3512"/>
      <c r="U6" s="3513"/>
      <c r="V6" s="3495"/>
      <c r="W6" s="3495"/>
      <c r="X6" s="1568"/>
      <c r="Y6" s="3512"/>
      <c r="Z6" s="3513"/>
      <c r="AA6" s="3499"/>
      <c r="AB6" s="3499"/>
      <c r="AC6" s="3499"/>
    </row>
    <row r="7" spans="1:29" s="1220" customFormat="1" ht="15.75" thickBot="1">
      <c r="A7" s="2912"/>
      <c r="B7" s="2919" t="s">
        <v>526</v>
      </c>
      <c r="C7" s="519">
        <f>'数据-取费表'!B2</f>
        <v>43711</v>
      </c>
      <c r="D7" s="520">
        <v>100</v>
      </c>
      <c r="E7" s="521"/>
      <c r="F7" s="522">
        <f>SUMIF(59:59,YEAR(E7)&amp;"-"&amp;MONTH(E7),60:60)</f>
        <v>0</v>
      </c>
      <c r="G7" s="521"/>
      <c r="H7" s="520">
        <f>SUMIF(59:59,YEAR(G7)&amp;"-"&amp;MONTH(G7),60:60)</f>
        <v>0</v>
      </c>
      <c r="I7" s="521"/>
      <c r="J7" s="520">
        <f>SUMIF(59:59,YEAR(I7)&amp;"-"&amp;MONTH(I7),60:60)</f>
        <v>0</v>
      </c>
      <c r="K7" s="524"/>
      <c r="L7" s="2137"/>
      <c r="M7" s="2138"/>
      <c r="N7" s="2138"/>
      <c r="O7" s="2138"/>
      <c r="P7" s="3527" t="s">
        <v>527</v>
      </c>
      <c r="Q7" s="3527"/>
      <c r="R7" s="1569" t="s">
        <v>8</v>
      </c>
      <c r="S7" s="1570">
        <f t="shared" ref="S7:S15" si="0">F7</f>
        <v>0</v>
      </c>
      <c r="T7" s="1569" t="s">
        <v>8</v>
      </c>
      <c r="U7" s="1570">
        <f t="shared" ref="U7:U15" si="1">H7</f>
        <v>0</v>
      </c>
      <c r="V7" s="1569" t="s">
        <v>8</v>
      </c>
      <c r="W7" s="1570">
        <f t="shared" ref="W7:W15" si="2">J7</f>
        <v>0</v>
      </c>
      <c r="X7" s="1571"/>
      <c r="Y7" s="3525" t="s">
        <v>527</v>
      </c>
      <c r="Z7" s="3526"/>
      <c r="AA7" s="1572" t="e">
        <f>D7/F7</f>
        <v>#DIV/0!</v>
      </c>
      <c r="AB7" s="1572" t="e">
        <f>D7/H7</f>
        <v>#DIV/0!</v>
      </c>
      <c r="AC7" s="1572" t="e">
        <f>D7/J7</f>
        <v>#DIV/0!</v>
      </c>
    </row>
    <row r="8" spans="1:29" s="1220" customFormat="1" ht="15.75" thickBot="1">
      <c r="A8" s="2913"/>
      <c r="B8" s="2920"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527" t="s">
        <v>530</v>
      </c>
      <c r="Q8" s="3526"/>
      <c r="R8" s="1569" t="s">
        <v>8</v>
      </c>
      <c r="S8" s="1570">
        <f t="shared" si="0"/>
        <v>0</v>
      </c>
      <c r="T8" s="1569" t="s">
        <v>8</v>
      </c>
      <c r="U8" s="1570">
        <f t="shared" si="1"/>
        <v>0</v>
      </c>
      <c r="V8" s="1569" t="s">
        <v>8</v>
      </c>
      <c r="W8" s="1570">
        <f t="shared" si="2"/>
        <v>0</v>
      </c>
      <c r="X8" s="1571"/>
      <c r="Y8" s="3525" t="s">
        <v>530</v>
      </c>
      <c r="Z8" s="3526"/>
      <c r="AA8" s="1572" t="e">
        <f t="shared" ref="AA8:AA47" si="3">D8/F8</f>
        <v>#DIV/0!</v>
      </c>
      <c r="AB8" s="1572" t="e">
        <f t="shared" ref="AB8:AB47" si="4">D8/H8</f>
        <v>#DIV/0!</v>
      </c>
      <c r="AC8" s="1572" t="e">
        <f t="shared" ref="AC8:AC47" si="5">D8/J8</f>
        <v>#DIV/0!</v>
      </c>
    </row>
    <row r="9" spans="1:29" s="1220" customFormat="1" ht="15">
      <c r="A9" s="2914"/>
      <c r="B9" s="2921"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94" t="s">
        <v>532</v>
      </c>
      <c r="Q9" s="1151" t="str">
        <f t="shared" ref="Q9:Q15" si="6">B9</f>
        <v>用途</v>
      </c>
      <c r="R9" s="1569" t="s">
        <v>8</v>
      </c>
      <c r="S9" s="1570">
        <f t="shared" si="0"/>
        <v>100</v>
      </c>
      <c r="T9" s="1569" t="s">
        <v>8</v>
      </c>
      <c r="U9" s="1570">
        <f t="shared" si="1"/>
        <v>100</v>
      </c>
      <c r="V9" s="1569" t="s">
        <v>8</v>
      </c>
      <c r="W9" s="1570">
        <f t="shared" si="2"/>
        <v>100</v>
      </c>
      <c r="X9" s="1571"/>
      <c r="Y9" s="3431"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94"/>
      <c r="Q10" s="1151" t="str">
        <f t="shared" si="6"/>
        <v>土地使用年限（年）</v>
      </c>
      <c r="R10" s="1569" t="s">
        <v>8</v>
      </c>
      <c r="S10" s="1570">
        <f t="shared" si="0"/>
        <v>100</v>
      </c>
      <c r="T10" s="1569" t="s">
        <v>8</v>
      </c>
      <c r="U10" s="1570">
        <f t="shared" si="1"/>
        <v>100</v>
      </c>
      <c r="V10" s="1569" t="s">
        <v>8</v>
      </c>
      <c r="W10" s="1570">
        <f t="shared" si="2"/>
        <v>100</v>
      </c>
      <c r="X10" s="1571"/>
      <c r="Y10" s="3431"/>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94"/>
      <c r="Q11" s="1151" t="str">
        <f t="shared" si="6"/>
        <v>容积率</v>
      </c>
      <c r="R11" s="1569" t="s">
        <v>8</v>
      </c>
      <c r="S11" s="1570" t="e">
        <f t="shared" si="0"/>
        <v>#N/A</v>
      </c>
      <c r="T11" s="1569" t="s">
        <v>8</v>
      </c>
      <c r="U11" s="1570" t="e">
        <f t="shared" si="1"/>
        <v>#N/A</v>
      </c>
      <c r="V11" s="1569" t="s">
        <v>8</v>
      </c>
      <c r="W11" s="1570" t="e">
        <f t="shared" si="2"/>
        <v>#N/A</v>
      </c>
      <c r="X11" s="1571"/>
      <c r="Y11" s="343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94"/>
      <c r="Q12" s="1151">
        <f t="shared" si="6"/>
        <v>111</v>
      </c>
      <c r="R12" s="1569" t="s">
        <v>8</v>
      </c>
      <c r="S12" s="1570">
        <f t="shared" si="0"/>
        <v>100</v>
      </c>
      <c r="T12" s="1569" t="s">
        <v>8</v>
      </c>
      <c r="U12" s="1570">
        <f t="shared" si="1"/>
        <v>100</v>
      </c>
      <c r="V12" s="1569" t="s">
        <v>8</v>
      </c>
      <c r="W12" s="1570">
        <f t="shared" si="2"/>
        <v>100</v>
      </c>
      <c r="X12" s="1571"/>
      <c r="Y12" s="3431"/>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94"/>
      <c r="Q13" s="1151">
        <f t="shared" si="6"/>
        <v>111</v>
      </c>
      <c r="R13" s="1569" t="s">
        <v>8</v>
      </c>
      <c r="S13" s="1570">
        <f t="shared" si="0"/>
        <v>100</v>
      </c>
      <c r="T13" s="1569" t="s">
        <v>8</v>
      </c>
      <c r="U13" s="1570">
        <f t="shared" si="1"/>
        <v>100</v>
      </c>
      <c r="V13" s="1569" t="s">
        <v>8</v>
      </c>
      <c r="W13" s="1570">
        <f t="shared" si="2"/>
        <v>100</v>
      </c>
      <c r="X13" s="1571"/>
      <c r="Y13" s="3431"/>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94"/>
      <c r="Q14" s="1151">
        <f t="shared" si="6"/>
        <v>111</v>
      </c>
      <c r="R14" s="1569" t="s">
        <v>8</v>
      </c>
      <c r="S14" s="1570">
        <f t="shared" si="0"/>
        <v>100</v>
      </c>
      <c r="T14" s="1569" t="s">
        <v>8</v>
      </c>
      <c r="U14" s="1570">
        <f t="shared" si="1"/>
        <v>100</v>
      </c>
      <c r="V14" s="1569" t="s">
        <v>8</v>
      </c>
      <c r="W14" s="1570">
        <f t="shared" si="2"/>
        <v>100</v>
      </c>
      <c r="X14" s="1571"/>
      <c r="Y14" s="3431"/>
      <c r="Z14" s="1150">
        <f t="shared" si="7"/>
        <v>111</v>
      </c>
      <c r="AA14" s="1572">
        <f t="shared" si="3"/>
        <v>1</v>
      </c>
      <c r="AB14" s="1572">
        <f t="shared" si="4"/>
        <v>1</v>
      </c>
      <c r="AC14" s="1572">
        <f t="shared" si="5"/>
        <v>1</v>
      </c>
    </row>
    <row r="15" spans="1:29" ht="71.25">
      <c r="A15" s="2910"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528" t="s">
        <v>537</v>
      </c>
      <c r="Q15" s="1573" t="str">
        <f t="shared" si="6"/>
        <v>办公集聚程度</v>
      </c>
      <c r="R15" s="1574" t="s">
        <v>8</v>
      </c>
      <c r="S15" s="1575">
        <f t="shared" si="0"/>
        <v>100</v>
      </c>
      <c r="T15" s="1574" t="s">
        <v>8</v>
      </c>
      <c r="U15" s="1575">
        <f t="shared" si="1"/>
        <v>100</v>
      </c>
      <c r="V15" s="1574" t="s">
        <v>8</v>
      </c>
      <c r="W15" s="1575">
        <f t="shared" si="2"/>
        <v>100</v>
      </c>
      <c r="X15" s="1568"/>
      <c r="Y15" s="3528"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529"/>
      <c r="Q16" s="1573"/>
      <c r="R16" s="1574"/>
      <c r="S16" s="1575"/>
      <c r="T16" s="1574"/>
      <c r="U16" s="1575"/>
      <c r="V16" s="1574"/>
      <c r="W16" s="1575"/>
      <c r="X16" s="1568"/>
      <c r="Y16" s="3529"/>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529"/>
      <c r="Q17" s="1573" t="str">
        <f>B17</f>
        <v>交通便捷度</v>
      </c>
      <c r="R17" s="1574" t="s">
        <v>8</v>
      </c>
      <c r="S17" s="1575">
        <f>F17</f>
        <v>100</v>
      </c>
      <c r="T17" s="1574" t="s">
        <v>8</v>
      </c>
      <c r="U17" s="1575">
        <f>H17</f>
        <v>100</v>
      </c>
      <c r="V17" s="1574" t="s">
        <v>8</v>
      </c>
      <c r="W17" s="1575">
        <f>J17</f>
        <v>100</v>
      </c>
      <c r="X17" s="1568"/>
      <c r="Y17" s="352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529"/>
      <c r="Q18" s="1573"/>
      <c r="R18" s="1574"/>
      <c r="S18" s="1575"/>
      <c r="T18" s="1574"/>
      <c r="U18" s="1575"/>
      <c r="V18" s="1574"/>
      <c r="W18" s="1575"/>
      <c r="X18" s="1568"/>
      <c r="Y18" s="3529"/>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529"/>
      <c r="Q19" s="1573" t="str">
        <f>B19</f>
        <v>公共配套设施</v>
      </c>
      <c r="R19" s="1574" t="s">
        <v>8</v>
      </c>
      <c r="S19" s="1575">
        <f>F19</f>
        <v>100</v>
      </c>
      <c r="T19" s="1574" t="s">
        <v>8</v>
      </c>
      <c r="U19" s="1575">
        <f>H19</f>
        <v>100</v>
      </c>
      <c r="V19" s="1574" t="s">
        <v>8</v>
      </c>
      <c r="W19" s="1575">
        <f>J19</f>
        <v>100</v>
      </c>
      <c r="X19" s="1568"/>
      <c r="Y19" s="352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529"/>
      <c r="Q20" s="1573"/>
      <c r="R20" s="1574"/>
      <c r="S20" s="1575"/>
      <c r="T20" s="1574"/>
      <c r="U20" s="1575"/>
      <c r="V20" s="1574"/>
      <c r="W20" s="1575"/>
      <c r="X20" s="1568"/>
      <c r="Y20" s="3529"/>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529"/>
      <c r="Q21" s="2581" t="str">
        <f>B21</f>
        <v>基础设施水平</v>
      </c>
      <c r="R21" s="1574" t="s">
        <v>8</v>
      </c>
      <c r="S21" s="1575">
        <f>F21</f>
        <v>100</v>
      </c>
      <c r="T21" s="1574" t="s">
        <v>8</v>
      </c>
      <c r="U21" s="1575">
        <f>H21</f>
        <v>100</v>
      </c>
      <c r="V21" s="1574" t="s">
        <v>8</v>
      </c>
      <c r="W21" s="1575">
        <f>J21</f>
        <v>100</v>
      </c>
      <c r="X21" s="2583"/>
      <c r="Y21" s="3529"/>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529"/>
      <c r="Q22" s="2581"/>
      <c r="R22" s="1574"/>
      <c r="S22" s="1575"/>
      <c r="T22" s="1574"/>
      <c r="U22" s="1575"/>
      <c r="V22" s="1574"/>
      <c r="W22" s="1575"/>
      <c r="X22" s="2583"/>
      <c r="Y22" s="3529"/>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529"/>
      <c r="Q23" s="1573" t="str">
        <f>B23</f>
        <v>环境质量</v>
      </c>
      <c r="R23" s="1574" t="s">
        <v>8</v>
      </c>
      <c r="S23" s="1575">
        <f>F23</f>
        <v>100</v>
      </c>
      <c r="T23" s="1574" t="s">
        <v>8</v>
      </c>
      <c r="U23" s="1575">
        <f>H23</f>
        <v>100</v>
      </c>
      <c r="V23" s="1574" t="s">
        <v>8</v>
      </c>
      <c r="W23" s="1575">
        <f>J23</f>
        <v>100</v>
      </c>
      <c r="X23" s="1568"/>
      <c r="Y23" s="352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529"/>
      <c r="Q24" s="1573"/>
      <c r="R24" s="1574"/>
      <c r="S24" s="1575"/>
      <c r="T24" s="1574"/>
      <c r="U24" s="1575"/>
      <c r="V24" s="1574"/>
      <c r="W24" s="1575"/>
      <c r="X24" s="1568"/>
      <c r="Y24" s="3529"/>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529"/>
      <c r="Q25" s="1573" t="str">
        <f>B25</f>
        <v>毗邻道路的类型与等级</v>
      </c>
      <c r="R25" s="1574" t="s">
        <v>8</v>
      </c>
      <c r="S25" s="1575">
        <f>F25</f>
        <v>100</v>
      </c>
      <c r="T25" s="1574" t="s">
        <v>8</v>
      </c>
      <c r="U25" s="1575">
        <f>H25</f>
        <v>100</v>
      </c>
      <c r="V25" s="1574" t="s">
        <v>8</v>
      </c>
      <c r="W25" s="1575">
        <f>J25</f>
        <v>100</v>
      </c>
      <c r="X25" s="1568"/>
      <c r="Y25" s="352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529"/>
      <c r="Q26" s="1573"/>
      <c r="R26" s="1574"/>
      <c r="S26" s="1575"/>
      <c r="T26" s="1574"/>
      <c r="U26" s="1575"/>
      <c r="V26" s="1574"/>
      <c r="W26" s="1575"/>
      <c r="X26" s="1568"/>
      <c r="Y26" s="3529"/>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529"/>
      <c r="Q27" s="1573" t="str">
        <f t="shared" ref="Q27:Q47" si="11">B27</f>
        <v>楼层</v>
      </c>
      <c r="R27" s="1574" t="s">
        <v>8</v>
      </c>
      <c r="S27" s="1575">
        <f>F27</f>
        <v>100</v>
      </c>
      <c r="T27" s="1574" t="s">
        <v>8</v>
      </c>
      <c r="U27" s="1575">
        <f>H27</f>
        <v>100</v>
      </c>
      <c r="V27" s="1574" t="s">
        <v>8</v>
      </c>
      <c r="W27" s="1575">
        <f>J27</f>
        <v>100</v>
      </c>
      <c r="X27" s="1568"/>
      <c r="Y27" s="3529"/>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529"/>
      <c r="Q28" s="1151" t="str">
        <f t="shared" si="11"/>
        <v>朝向</v>
      </c>
      <c r="R28" s="1569" t="s">
        <v>8</v>
      </c>
      <c r="S28" s="1570">
        <f>F28</f>
        <v>100</v>
      </c>
      <c r="T28" s="1569" t="s">
        <v>8</v>
      </c>
      <c r="U28" s="1570">
        <f>H28</f>
        <v>100</v>
      </c>
      <c r="V28" s="1569" t="s">
        <v>8</v>
      </c>
      <c r="W28" s="1570">
        <f>J28</f>
        <v>100</v>
      </c>
      <c r="X28" s="1571"/>
      <c r="Y28" s="352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529"/>
      <c r="Q29" s="1573">
        <f t="shared" si="11"/>
        <v>111</v>
      </c>
      <c r="R29" s="1574" t="s">
        <v>8</v>
      </c>
      <c r="S29" s="1575">
        <f t="shared" ref="S29:S47" si="12">F29</f>
        <v>100</v>
      </c>
      <c r="T29" s="1574" t="s">
        <v>8</v>
      </c>
      <c r="U29" s="1575">
        <f t="shared" ref="U29:U47" si="13">H29</f>
        <v>100</v>
      </c>
      <c r="V29" s="1574" t="s">
        <v>8</v>
      </c>
      <c r="W29" s="1575">
        <f t="shared" ref="W29:W47" si="14">J29</f>
        <v>100</v>
      </c>
      <c r="X29" s="1568"/>
      <c r="Y29" s="352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529"/>
      <c r="Q30" s="1573">
        <f t="shared" si="11"/>
        <v>111</v>
      </c>
      <c r="R30" s="1574" t="s">
        <v>8</v>
      </c>
      <c r="S30" s="1575">
        <f t="shared" si="12"/>
        <v>100</v>
      </c>
      <c r="T30" s="1574" t="s">
        <v>8</v>
      </c>
      <c r="U30" s="1575">
        <f t="shared" si="13"/>
        <v>100</v>
      </c>
      <c r="V30" s="1574" t="s">
        <v>8</v>
      </c>
      <c r="W30" s="1575">
        <f t="shared" si="14"/>
        <v>100</v>
      </c>
      <c r="X30" s="1568"/>
      <c r="Y30" s="352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529"/>
      <c r="Q31" s="1573">
        <f t="shared" si="11"/>
        <v>111</v>
      </c>
      <c r="R31" s="1574" t="s">
        <v>8</v>
      </c>
      <c r="S31" s="1575">
        <f t="shared" si="12"/>
        <v>100</v>
      </c>
      <c r="T31" s="1574" t="s">
        <v>8</v>
      </c>
      <c r="U31" s="1575">
        <f t="shared" si="13"/>
        <v>100</v>
      </c>
      <c r="V31" s="1574" t="s">
        <v>8</v>
      </c>
      <c r="W31" s="1575">
        <f t="shared" si="14"/>
        <v>100</v>
      </c>
      <c r="X31" s="1568"/>
      <c r="Y31" s="352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529"/>
      <c r="Q32" s="1573">
        <f t="shared" si="11"/>
        <v>111</v>
      </c>
      <c r="R32" s="1574" t="s">
        <v>8</v>
      </c>
      <c r="S32" s="1575">
        <f t="shared" si="12"/>
        <v>100</v>
      </c>
      <c r="T32" s="1574" t="s">
        <v>8</v>
      </c>
      <c r="U32" s="1575">
        <f t="shared" si="13"/>
        <v>100</v>
      </c>
      <c r="V32" s="1574" t="s">
        <v>8</v>
      </c>
      <c r="W32" s="1575">
        <f t="shared" si="14"/>
        <v>100</v>
      </c>
      <c r="X32" s="1568"/>
      <c r="Y32" s="3529"/>
      <c r="Z32" s="1576">
        <f t="shared" si="15"/>
        <v>111</v>
      </c>
      <c r="AA32" s="1577">
        <f t="shared" si="3"/>
        <v>1</v>
      </c>
      <c r="AB32" s="1577">
        <f t="shared" si="4"/>
        <v>1</v>
      </c>
      <c r="AC32" s="1577">
        <f t="shared" si="5"/>
        <v>1</v>
      </c>
    </row>
    <row r="33" spans="1:29" ht="15">
      <c r="A33" s="2907"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530" t="s">
        <v>547</v>
      </c>
      <c r="Q33" s="1573" t="str">
        <f t="shared" si="11"/>
        <v>建筑类型</v>
      </c>
      <c r="R33" s="1574" t="s">
        <v>8</v>
      </c>
      <c r="S33" s="1575">
        <f t="shared" si="12"/>
        <v>100</v>
      </c>
      <c r="T33" s="1574" t="s">
        <v>8</v>
      </c>
      <c r="U33" s="1575">
        <f t="shared" si="13"/>
        <v>100</v>
      </c>
      <c r="V33" s="1574" t="s">
        <v>8</v>
      </c>
      <c r="W33" s="1575">
        <f t="shared" si="14"/>
        <v>100</v>
      </c>
      <c r="X33" s="1568"/>
      <c r="Y33" s="3531"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531"/>
      <c r="Q34" s="1606" t="str">
        <f t="shared" si="11"/>
        <v>项目建筑规模</v>
      </c>
      <c r="R34" s="1578" t="s">
        <v>8</v>
      </c>
      <c r="S34" s="1579" t="e">
        <f t="shared" si="12"/>
        <v>#N/A</v>
      </c>
      <c r="T34" s="1578" t="s">
        <v>8</v>
      </c>
      <c r="U34" s="1579" t="e">
        <f t="shared" si="13"/>
        <v>#N/A</v>
      </c>
      <c r="V34" s="1578" t="s">
        <v>8</v>
      </c>
      <c r="W34" s="1579" t="e">
        <f t="shared" si="14"/>
        <v>#N/A</v>
      </c>
      <c r="X34" s="1580"/>
      <c r="Y34" s="3531"/>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531"/>
      <c r="Q35" s="1573" t="str">
        <f t="shared" si="11"/>
        <v>建筑结构</v>
      </c>
      <c r="R35" s="1574" t="s">
        <v>8</v>
      </c>
      <c r="S35" s="1575">
        <f t="shared" si="12"/>
        <v>100</v>
      </c>
      <c r="T35" s="1574" t="s">
        <v>8</v>
      </c>
      <c r="U35" s="1575">
        <f t="shared" si="13"/>
        <v>100</v>
      </c>
      <c r="V35" s="1574" t="s">
        <v>8</v>
      </c>
      <c r="W35" s="1575">
        <f t="shared" si="14"/>
        <v>100</v>
      </c>
      <c r="X35" s="1568"/>
      <c r="Y35" s="3531"/>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531"/>
      <c r="Q36" s="1573" t="str">
        <f t="shared" si="11"/>
        <v>公共部分装修</v>
      </c>
      <c r="R36" s="1574" t="s">
        <v>8</v>
      </c>
      <c r="S36" s="1575">
        <f t="shared" si="12"/>
        <v>100</v>
      </c>
      <c r="T36" s="1574" t="s">
        <v>8</v>
      </c>
      <c r="U36" s="1575">
        <f t="shared" si="13"/>
        <v>100</v>
      </c>
      <c r="V36" s="1574" t="s">
        <v>8</v>
      </c>
      <c r="W36" s="1575">
        <f t="shared" si="14"/>
        <v>100</v>
      </c>
      <c r="X36" s="1568"/>
      <c r="Y36" s="3531"/>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531"/>
      <c r="Q37" s="1573" t="str">
        <f t="shared" si="11"/>
        <v>成新度</v>
      </c>
      <c r="R37" s="1574" t="s">
        <v>8</v>
      </c>
      <c r="S37" s="1575" t="e">
        <f t="shared" si="12"/>
        <v>#N/A</v>
      </c>
      <c r="T37" s="1574" t="s">
        <v>8</v>
      </c>
      <c r="U37" s="1575" t="e">
        <f t="shared" si="13"/>
        <v>#N/A</v>
      </c>
      <c r="V37" s="1574" t="s">
        <v>8</v>
      </c>
      <c r="W37" s="1575" t="e">
        <f t="shared" si="14"/>
        <v>#N/A</v>
      </c>
      <c r="X37" s="1568"/>
      <c r="Y37" s="3531"/>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531"/>
      <c r="Q38" s="1151" t="str">
        <f t="shared" si="11"/>
        <v>写字楼等级</v>
      </c>
      <c r="R38" s="1569" t="s">
        <v>8</v>
      </c>
      <c r="S38" s="1570">
        <f t="shared" si="12"/>
        <v>100</v>
      </c>
      <c r="T38" s="1569" t="s">
        <v>8</v>
      </c>
      <c r="U38" s="1570">
        <f t="shared" si="13"/>
        <v>100</v>
      </c>
      <c r="V38" s="1569" t="s">
        <v>8</v>
      </c>
      <c r="W38" s="1570">
        <f t="shared" si="14"/>
        <v>100</v>
      </c>
      <c r="X38" s="1571"/>
      <c r="Y38" s="3531"/>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531" t="s">
        <v>547</v>
      </c>
      <c r="Q39" s="1573" t="str">
        <f t="shared" si="11"/>
        <v>物业管理</v>
      </c>
      <c r="R39" s="1574" t="s">
        <v>8</v>
      </c>
      <c r="S39" s="1575">
        <f t="shared" si="12"/>
        <v>100</v>
      </c>
      <c r="T39" s="1574" t="s">
        <v>8</v>
      </c>
      <c r="U39" s="1575">
        <f t="shared" si="13"/>
        <v>100</v>
      </c>
      <c r="V39" s="1574" t="s">
        <v>8</v>
      </c>
      <c r="W39" s="1575">
        <f t="shared" si="14"/>
        <v>100</v>
      </c>
      <c r="X39" s="1568"/>
      <c r="Y39" s="3531"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531"/>
      <c r="Q40" s="1573" t="str">
        <f t="shared" si="11"/>
        <v>市政基础设施</v>
      </c>
      <c r="R40" s="1574" t="s">
        <v>8</v>
      </c>
      <c r="S40" s="1575">
        <f t="shared" si="12"/>
        <v>100</v>
      </c>
      <c r="T40" s="1574" t="s">
        <v>8</v>
      </c>
      <c r="U40" s="1575">
        <f t="shared" si="13"/>
        <v>100</v>
      </c>
      <c r="V40" s="1574" t="s">
        <v>8</v>
      </c>
      <c r="W40" s="1575">
        <f t="shared" si="14"/>
        <v>100</v>
      </c>
      <c r="X40" s="1568"/>
      <c r="Y40" s="3531"/>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531"/>
      <c r="Q41" s="1573" t="str">
        <f t="shared" si="11"/>
        <v>层高</v>
      </c>
      <c r="R41" s="1574" t="s">
        <v>8</v>
      </c>
      <c r="S41" s="1575">
        <f t="shared" si="12"/>
        <v>100</v>
      </c>
      <c r="T41" s="1574" t="s">
        <v>8</v>
      </c>
      <c r="U41" s="1575">
        <f t="shared" si="13"/>
        <v>100</v>
      </c>
      <c r="V41" s="1574" t="s">
        <v>8</v>
      </c>
      <c r="W41" s="1575">
        <f t="shared" si="14"/>
        <v>100</v>
      </c>
      <c r="X41" s="1568"/>
      <c r="Y41" s="3531"/>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531"/>
      <c r="Q42" s="1606" t="str">
        <f t="shared" si="11"/>
        <v>单套建筑面积</v>
      </c>
      <c r="R42" s="1578" t="s">
        <v>8</v>
      </c>
      <c r="S42" s="1579">
        <f t="shared" si="12"/>
        <v>100</v>
      </c>
      <c r="T42" s="1578" t="s">
        <v>8</v>
      </c>
      <c r="U42" s="1579">
        <f t="shared" si="13"/>
        <v>100</v>
      </c>
      <c r="V42" s="1578" t="s">
        <v>8</v>
      </c>
      <c r="W42" s="1579">
        <f t="shared" si="14"/>
        <v>100</v>
      </c>
      <c r="X42" s="1580"/>
      <c r="Y42" s="3531"/>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531"/>
      <c r="Q43" s="1573" t="str">
        <f t="shared" si="11"/>
        <v>内部装修</v>
      </c>
      <c r="R43" s="1574" t="s">
        <v>8</v>
      </c>
      <c r="S43" s="1575">
        <f t="shared" si="12"/>
        <v>100</v>
      </c>
      <c r="T43" s="1574" t="s">
        <v>8</v>
      </c>
      <c r="U43" s="1575">
        <f t="shared" si="13"/>
        <v>100</v>
      </c>
      <c r="V43" s="1574" t="s">
        <v>8</v>
      </c>
      <c r="W43" s="1575">
        <f t="shared" si="14"/>
        <v>100</v>
      </c>
      <c r="X43" s="1568"/>
      <c r="Y43" s="3531"/>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531"/>
      <c r="Q44" s="1573" t="str">
        <f t="shared" si="11"/>
        <v>内部装修维护情况</v>
      </c>
      <c r="R44" s="1574" t="s">
        <v>8</v>
      </c>
      <c r="S44" s="1575">
        <f t="shared" si="12"/>
        <v>100</v>
      </c>
      <c r="T44" s="1574" t="s">
        <v>8</v>
      </c>
      <c r="U44" s="1575">
        <f t="shared" si="13"/>
        <v>100</v>
      </c>
      <c r="V44" s="1574" t="s">
        <v>8</v>
      </c>
      <c r="W44" s="1575">
        <f t="shared" si="14"/>
        <v>100</v>
      </c>
      <c r="X44" s="1568"/>
      <c r="Y44" s="353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531"/>
      <c r="Q45" s="1151">
        <f t="shared" si="11"/>
        <v>111</v>
      </c>
      <c r="R45" s="1569" t="s">
        <v>8</v>
      </c>
      <c r="S45" s="1570">
        <f t="shared" si="12"/>
        <v>100</v>
      </c>
      <c r="T45" s="1569" t="s">
        <v>8</v>
      </c>
      <c r="U45" s="1570">
        <f t="shared" si="13"/>
        <v>100</v>
      </c>
      <c r="V45" s="1569" t="s">
        <v>8</v>
      </c>
      <c r="W45" s="1570">
        <f t="shared" si="14"/>
        <v>100</v>
      </c>
      <c r="X45" s="1571"/>
      <c r="Y45" s="353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531"/>
      <c r="Q46" s="1573">
        <f t="shared" si="11"/>
        <v>111</v>
      </c>
      <c r="R46" s="1574" t="s">
        <v>8</v>
      </c>
      <c r="S46" s="1575">
        <f t="shared" si="12"/>
        <v>100</v>
      </c>
      <c r="T46" s="1574" t="s">
        <v>8</v>
      </c>
      <c r="U46" s="1575">
        <f t="shared" si="13"/>
        <v>100</v>
      </c>
      <c r="V46" s="1574" t="s">
        <v>8</v>
      </c>
      <c r="W46" s="1575">
        <f t="shared" si="14"/>
        <v>100</v>
      </c>
      <c r="X46" s="1568"/>
      <c r="Y46" s="353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69"/>
      <c r="Q47" s="1573">
        <f t="shared" si="11"/>
        <v>111</v>
      </c>
      <c r="R47" s="1574" t="s">
        <v>8</v>
      </c>
      <c r="S47" s="1575">
        <f t="shared" si="12"/>
        <v>100</v>
      </c>
      <c r="T47" s="1574" t="s">
        <v>8</v>
      </c>
      <c r="U47" s="1575">
        <f t="shared" si="13"/>
        <v>100</v>
      </c>
      <c r="V47" s="1574" t="s">
        <v>8</v>
      </c>
      <c r="W47" s="1575">
        <f t="shared" si="14"/>
        <v>100</v>
      </c>
      <c r="X47" s="1568"/>
      <c r="Y47" s="3569"/>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492" t="str">
        <f>A48</f>
        <v>成交单价（元/平方米）</v>
      </c>
      <c r="Q48" s="3494"/>
      <c r="R48" s="3566">
        <f>E48</f>
        <v>0</v>
      </c>
      <c r="S48" s="3566"/>
      <c r="T48" s="3566">
        <f>G48</f>
        <v>0</v>
      </c>
      <c r="U48" s="3566"/>
      <c r="V48" s="3566">
        <f>I48</f>
        <v>0</v>
      </c>
      <c r="W48" s="3566"/>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492" t="str">
        <f>A49</f>
        <v>比较价格（元/平方米）</v>
      </c>
      <c r="Q49" s="3494"/>
      <c r="R49" s="3566" t="e">
        <f>IF(F1="售价",ROUND(PRODUCT(R48,AA7:AA47),0),ROUND(PRODUCT(R48,AA7:AA47),1))</f>
        <v>#DIV/0!</v>
      </c>
      <c r="S49" s="3566"/>
      <c r="T49" s="3566" t="e">
        <f>IF(F1="售价",ROUND(PRODUCT(T48,AB7:AB47),0),ROUND(PRODUCT(T48,AB7:AB47),1))</f>
        <v>#DIV/0!</v>
      </c>
      <c r="U49" s="3566"/>
      <c r="V49" s="3566" t="e">
        <f>IF(F1="售价",ROUND(PRODUCT(V48,AC7:AC47),0),ROUND(PRODUCT(V48,AC7:AC47),1))</f>
        <v>#DIV/0!</v>
      </c>
      <c r="W49" s="3566"/>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67" t="str">
        <f>A50</f>
        <v>估价对象XX用房的比较价格（楼面单价，元/平方米）</v>
      </c>
      <c r="Q50" s="3492"/>
      <c r="R50" s="3568" t="e">
        <f>IF(F1="售价",ROUND(AVERAGE(R49:V49),0),ROUND(AVERAGE(R49:V49),1))</f>
        <v>#DIV/0!</v>
      </c>
      <c r="S50" s="3568"/>
      <c r="T50" s="3568"/>
      <c r="U50" s="3568"/>
      <c r="V50" s="3568"/>
      <c r="W50" s="35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2" t="str">
        <f>YEAR(C7)&amp;"-"&amp;MONTH(C7)</f>
        <v>2019-9</v>
      </c>
      <c r="D59" s="2804">
        <f>EDATE(C59,-1)</f>
        <v>43678</v>
      </c>
      <c r="E59" s="2804">
        <f t="shared" ref="E59:O59" si="16">EDATE(D59,-1)</f>
        <v>43647</v>
      </c>
      <c r="F59" s="2804">
        <f t="shared" si="16"/>
        <v>43617</v>
      </c>
      <c r="G59" s="2804">
        <f t="shared" si="16"/>
        <v>43586</v>
      </c>
      <c r="H59" s="2804">
        <f t="shared" si="16"/>
        <v>43556</v>
      </c>
      <c r="I59" s="2804">
        <f t="shared" si="16"/>
        <v>43525</v>
      </c>
      <c r="J59" s="2804">
        <f t="shared" si="16"/>
        <v>43497</v>
      </c>
      <c r="K59" s="2804">
        <f t="shared" si="16"/>
        <v>43466</v>
      </c>
      <c r="L59" s="2804">
        <f t="shared" si="16"/>
        <v>43435</v>
      </c>
      <c r="M59" s="2804">
        <f t="shared" si="16"/>
        <v>43405</v>
      </c>
      <c r="N59" s="2804">
        <f t="shared" si="16"/>
        <v>43374</v>
      </c>
      <c r="O59" s="2804">
        <f t="shared" si="16"/>
        <v>43344</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19"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73" t="s">
        <v>2459</v>
      </c>
      <c r="C6" s="783">
        <f ca="1">ROUND(F6*F8*F7*(1-F9)/10000,0)</f>
        <v>0</v>
      </c>
      <c r="D6" s="2499" t="s">
        <v>2458</v>
      </c>
      <c r="E6" s="784" t="s">
        <v>634</v>
      </c>
      <c r="F6" s="785">
        <f ca="1">INDIRECT("'数据-取费表'!u"&amp;$G$1)</f>
        <v>0</v>
      </c>
      <c r="G6" s="1593"/>
      <c r="H6" s="2506" t="s">
        <v>1818</v>
      </c>
      <c r="I6" s="3573" t="s">
        <v>2459</v>
      </c>
      <c r="J6" s="783">
        <f ca="1">ROUND(M6*M8*M7*(1-M9)/10000,0)</f>
        <v>0</v>
      </c>
      <c r="K6" s="341" t="s">
        <v>633</v>
      </c>
      <c r="L6" s="784" t="s">
        <v>634</v>
      </c>
      <c r="M6" s="785">
        <f ca="1">INDIRECT("'数据-取费表'!z"&amp;$G$1)</f>
        <v>0</v>
      </c>
    </row>
    <row r="7" spans="1:33" ht="18" customHeight="1">
      <c r="A7" s="2502"/>
      <c r="B7" s="3574"/>
      <c r="C7" s="788"/>
      <c r="D7" s="789"/>
      <c r="E7" s="784" t="s">
        <v>635</v>
      </c>
      <c r="F7" s="785">
        <f ca="1">IF(INDIRECT("'数据-取费表'!ah"&amp;$G$1)="",INDIRECT("'数据-取费表'!k"&amp;$G$1),INDIRECT("'数据-取费表'!ah"&amp;$G$1))</f>
        <v>0</v>
      </c>
      <c r="G7" s="1593"/>
      <c r="H7" s="2491"/>
      <c r="I7" s="3574"/>
      <c r="J7" s="788"/>
      <c r="K7" s="789"/>
      <c r="L7" s="784" t="s">
        <v>635</v>
      </c>
      <c r="M7" s="785">
        <f ca="1">F7</f>
        <v>0</v>
      </c>
    </row>
    <row r="8" spans="1:33" ht="18" customHeight="1">
      <c r="A8" s="2495"/>
      <c r="B8" s="3575"/>
      <c r="C8" s="788"/>
      <c r="D8" s="789"/>
      <c r="E8" s="784" t="s">
        <v>636</v>
      </c>
      <c r="F8" s="785">
        <f ca="1">INDIRECT("'数据-取费表'!ai"&amp;$G$1)</f>
        <v>0</v>
      </c>
      <c r="G8" s="1593"/>
      <c r="H8" s="2491"/>
      <c r="I8" s="3575"/>
      <c r="J8" s="788"/>
      <c r="K8" s="789"/>
      <c r="L8" s="784" t="s">
        <v>636</v>
      </c>
      <c r="M8" s="785">
        <f ca="1">INDIRECT("'数据-取费表'!ai"&amp;$G$1)</f>
        <v>0</v>
      </c>
    </row>
    <row r="9" spans="1:33" ht="18" customHeight="1">
      <c r="A9" s="786"/>
      <c r="B9" s="3576"/>
      <c r="C9" s="788"/>
      <c r="D9" s="789"/>
      <c r="E9" s="784" t="s">
        <v>637</v>
      </c>
      <c r="F9" s="794">
        <f ca="1">INDIRECT("'数据-取费表'!w"&amp;$G$1)</f>
        <v>0</v>
      </c>
      <c r="G9" s="1593"/>
      <c r="H9" s="2507"/>
      <c r="I9" s="3575"/>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2970</v>
      </c>
      <c r="E10" s="2500" t="s">
        <v>2460</v>
      </c>
      <c r="F10" s="2623"/>
      <c r="G10" s="1593"/>
      <c r="H10" s="2563" t="s">
        <v>1819</v>
      </c>
      <c r="I10" s="2568" t="s">
        <v>2455</v>
      </c>
      <c r="J10" s="783">
        <f ca="1">ROUND(IF(M10="押一",J6/12*M11,IF(M10="押二",J6/12*2*M11,IF(M10="押三",J6/12*3*M11,J11*M11))),0)</f>
        <v>0</v>
      </c>
      <c r="K10" s="2503" t="s">
        <v>2970</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73" t="s">
        <v>643</v>
      </c>
      <c r="E14" s="317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7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73" t="s">
        <v>654</v>
      </c>
      <c r="L17" s="317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7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8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80"/>
      <c r="F22" s="56"/>
      <c r="G22" s="1593"/>
      <c r="H22" s="1650" t="s">
        <v>1883</v>
      </c>
      <c r="I22" s="784" t="s">
        <v>673</v>
      </c>
      <c r="J22" s="53">
        <f ca="1">ROUND(J14*M22,0)</f>
        <v>0</v>
      </c>
      <c r="K22" s="317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7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80"/>
      <c r="F25" s="56"/>
      <c r="G25" s="1593"/>
      <c r="H25" s="1831" t="s">
        <v>1770</v>
      </c>
      <c r="I25" s="3010"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7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73" t="s">
        <v>654</v>
      </c>
      <c r="E31" s="317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7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7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7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0"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5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43" t="s">
        <v>2340</v>
      </c>
      <c r="J47" s="2383"/>
      <c r="K47" s="3150" t="s">
        <v>2345</v>
      </c>
      <c r="L47" s="315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0" t="s">
        <v>2341</v>
      </c>
      <c r="J48" s="2384"/>
      <c r="K48" s="3151" t="s">
        <v>2347</v>
      </c>
      <c r="L48" s="1910">
        <f ca="1">INDIRECT("'数据-取费表'!f"&amp;$G$1)</f>
        <v>39.229999999999997</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0" t="s">
        <v>2342</v>
      </c>
      <c r="J49" s="2385"/>
      <c r="K49" s="315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0" t="s">
        <v>2343</v>
      </c>
      <c r="J50" s="3147">
        <f>SUMPRODUCT((I63:I65=J47)*(J62:L62=J48)*(J63:L65))</f>
        <v>0</v>
      </c>
      <c r="K50" s="315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44" t="s">
        <v>2344</v>
      </c>
      <c r="J51" s="3148">
        <f>IF(J49="",J50,J49+J50-YEAR('数据-取费表'!B2))</f>
        <v>0</v>
      </c>
      <c r="K51" s="3120" t="s">
        <v>2350</v>
      </c>
      <c r="L51" s="315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2970</v>
      </c>
      <c r="E52" s="2500" t="s">
        <v>2460</v>
      </c>
      <c r="F52" s="2623"/>
      <c r="I52" s="3145" t="s">
        <v>2417</v>
      </c>
      <c r="J52" s="2387"/>
      <c r="K52" s="314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46" t="s">
        <v>2975</v>
      </c>
      <c r="J53" s="3149">
        <f ca="1">IF(M47="住宅",IF(D1="——",MAX(J51,L48),MAX(J51,L48-'数据-取费表'!B20)),IF(D1="——",MIN(J51,L48),MIN(J51,L48-'数据-取费表'!B20)))</f>
        <v>0</v>
      </c>
      <c r="K53" s="3577" t="s">
        <v>2963</v>
      </c>
      <c r="L53" s="3578"/>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58" t="s">
        <v>2351</v>
      </c>
      <c r="J55" s="3102" t="e">
        <f ca="1">ROUND(IF(J47="钢混",J57/J50,1-(1-2%)*(J50-J57)/J50),3)</f>
        <v>#VALUE!</v>
      </c>
      <c r="K55" s="3159" t="s">
        <v>2352</v>
      </c>
      <c r="L55" s="2388"/>
      <c r="O55" s="2406" t="s">
        <v>2407</v>
      </c>
      <c r="P55" s="1593"/>
      <c r="Q55" s="1605"/>
      <c r="R55" s="1593"/>
    </row>
    <row r="56" spans="1:18" s="2061" customFormat="1" ht="42.75" customHeight="1" thickBot="1">
      <c r="A56" s="1651"/>
      <c r="B56" s="2233" t="s">
        <v>2296</v>
      </c>
      <c r="C56" s="53">
        <f ca="1">C29</f>
        <v>0</v>
      </c>
      <c r="D56" s="3174"/>
      <c r="E56" s="784"/>
      <c r="F56" s="809"/>
      <c r="I56" s="3160" t="s">
        <v>2353</v>
      </c>
      <c r="J56" s="3170"/>
      <c r="K56" s="3120" t="s">
        <v>2358</v>
      </c>
      <c r="L56" s="1910">
        <f ca="1">IF(L48&lt;J51,"——",L48-J51)</f>
        <v>39.229999999999997</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80"/>
      <c r="F57" s="56"/>
      <c r="I57" s="3161" t="s">
        <v>2354</v>
      </c>
      <c r="J57" s="3162" t="str">
        <f ca="1">IF(OR(M47="住宅",J51&lt;L48,J56="是"),"——",J51-L48)</f>
        <v>——</v>
      </c>
      <c r="K57" s="3120"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73" t="s">
        <v>654</v>
      </c>
      <c r="E58" s="3174" t="s">
        <v>687</v>
      </c>
      <c r="F58" s="810">
        <f ca="1">IF(项目基本情况!B11="企业","",IF(INDIRECT("'数据-取费表'!c"&amp;$G$1)="住宅",5%,IF(F48*F49*F50/12/(1+'数据-取费表'!C42)&gt;20000,12%,7%)))</f>
        <v>7.0000000000000007E-2</v>
      </c>
      <c r="I58" s="3161" t="s">
        <v>2355</v>
      </c>
      <c r="J58" s="3103" t="e">
        <f ca="1">IF(J55&lt;0.4,0.4,J55)</f>
        <v>#VALUE!</v>
      </c>
      <c r="K58" s="3120"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74" t="s">
        <v>658</v>
      </c>
      <c r="E59" s="784" t="s">
        <v>646</v>
      </c>
      <c r="F59" s="809">
        <f t="shared" ref="F59:F65" si="0">F32</f>
        <v>5.5000000000000007E-2</v>
      </c>
      <c r="I59" s="3161" t="s">
        <v>2356</v>
      </c>
      <c r="J59" s="3162" t="str">
        <f ca="1">IF(OR(M47="住宅",J51&lt;L48,J56="是"),"——",ROUND(C29*J58,0))</f>
        <v>——</v>
      </c>
      <c r="K59" s="3120"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74" t="str">
        <f>D33</f>
        <v>按房产原值计税</v>
      </c>
      <c r="E60" s="784" t="s">
        <v>646</v>
      </c>
      <c r="F60" s="809">
        <f t="shared" si="0"/>
        <v>1.2E-2</v>
      </c>
      <c r="I60" s="3163" t="s">
        <v>2357</v>
      </c>
      <c r="J60" s="3164" t="str">
        <f ca="1">IF(OR(M47="住宅",J51&lt;L48,J56="是"),"0",ROUND(J59/(1+J52)^J53,0))</f>
        <v>0</v>
      </c>
      <c r="K60" s="3165" t="s">
        <v>2362</v>
      </c>
      <c r="L60" s="316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66" t="s">
        <v>2363</v>
      </c>
      <c r="J62" s="3167" t="s">
        <v>2364</v>
      </c>
      <c r="K62" s="3167" t="s">
        <v>2365</v>
      </c>
      <c r="L62" s="3167" t="s">
        <v>2346</v>
      </c>
      <c r="M62" s="316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74" t="s">
        <v>688</v>
      </c>
      <c r="E63" s="784" t="s">
        <v>646</v>
      </c>
      <c r="F63" s="817">
        <f t="shared" ca="1" si="0"/>
        <v>0</v>
      </c>
      <c r="I63" s="3166" t="s">
        <v>2366</v>
      </c>
      <c r="J63" s="3167">
        <v>70</v>
      </c>
      <c r="K63" s="3167">
        <v>50</v>
      </c>
      <c r="L63" s="3167">
        <v>80</v>
      </c>
      <c r="M63" s="3169">
        <v>0.02</v>
      </c>
      <c r="O63" s="2400" t="s">
        <v>2387</v>
      </c>
      <c r="P63" s="2401" t="s">
        <v>2404</v>
      </c>
      <c r="Q63" s="2402" t="e">
        <f ca="1">Q57+Q58</f>
        <v>#DIV/0!</v>
      </c>
      <c r="R63" s="2405" t="s">
        <v>2388</v>
      </c>
    </row>
    <row r="64" spans="1:18" s="2061" customFormat="1" ht="16.5" thickBot="1">
      <c r="A64" s="1650" t="s">
        <v>1884</v>
      </c>
      <c r="B64" s="784" t="s">
        <v>676</v>
      </c>
      <c r="C64" s="53">
        <f ca="1">ROUND(C55*F64,1)</f>
        <v>0</v>
      </c>
      <c r="D64" s="3174" t="s">
        <v>677</v>
      </c>
      <c r="E64" s="784" t="s">
        <v>646</v>
      </c>
      <c r="F64" s="818">
        <f t="shared" ca="1" si="0"/>
        <v>0</v>
      </c>
      <c r="I64" s="3166" t="s">
        <v>2367</v>
      </c>
      <c r="J64" s="3167">
        <v>50</v>
      </c>
      <c r="K64" s="3167">
        <v>35</v>
      </c>
      <c r="L64" s="3167">
        <v>60</v>
      </c>
      <c r="M64" s="846">
        <v>0</v>
      </c>
      <c r="O64" s="2406" t="s">
        <v>2411</v>
      </c>
      <c r="P64" s="1593"/>
      <c r="Q64" s="1605"/>
      <c r="R64" s="1593"/>
    </row>
    <row r="65" spans="1:18" s="2061" customFormat="1" ht="15.75" thickBot="1">
      <c r="A65" s="1650" t="s">
        <v>1885</v>
      </c>
      <c r="B65" s="784" t="s">
        <v>663</v>
      </c>
      <c r="C65" s="53">
        <f ca="1">ROUND(C47*F65,1)</f>
        <v>0</v>
      </c>
      <c r="D65" s="3174" t="s">
        <v>680</v>
      </c>
      <c r="E65" s="784" t="s">
        <v>646</v>
      </c>
      <c r="F65" s="794">
        <f t="shared" ca="1" si="0"/>
        <v>0</v>
      </c>
      <c r="I65" s="3166" t="s">
        <v>2368</v>
      </c>
      <c r="J65" s="3167">
        <v>40</v>
      </c>
      <c r="K65" s="3167">
        <v>30</v>
      </c>
      <c r="L65" s="3167">
        <v>50</v>
      </c>
      <c r="M65" s="3169">
        <v>0.02</v>
      </c>
      <c r="O65" s="2397" t="s">
        <v>2371</v>
      </c>
      <c r="P65" s="2398" t="s">
        <v>2372</v>
      </c>
      <c r="Q65" s="2399" t="s">
        <v>2373</v>
      </c>
      <c r="R65" s="2398" t="s">
        <v>2374</v>
      </c>
    </row>
    <row r="66" spans="1:18" s="2061" customFormat="1" ht="24.75" thickBot="1">
      <c r="A66" s="797" t="s">
        <v>1770</v>
      </c>
      <c r="B66" s="3011" t="s">
        <v>2817</v>
      </c>
      <c r="C66" s="799">
        <f ca="1">C47-C57</f>
        <v>0</v>
      </c>
      <c r="D66" s="3173" t="s">
        <v>697</v>
      </c>
      <c r="E66" s="317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73" t="s">
        <v>2459</v>
      </c>
      <c r="C8" s="1827">
        <f ca="1">ROUND(F8*F10*F9*(1-F11)/10000,0)</f>
        <v>0</v>
      </c>
      <c r="D8" s="1824" t="s">
        <v>2530</v>
      </c>
      <c r="E8" s="61" t="s">
        <v>634</v>
      </c>
      <c r="F8" s="785">
        <f ca="1">INDIRECT("'数据-取费表'!u"&amp;$G$1)</f>
        <v>0</v>
      </c>
      <c r="G8" s="1593"/>
      <c r="H8" s="2506" t="s">
        <v>1818</v>
      </c>
      <c r="I8" s="3573" t="s">
        <v>2459</v>
      </c>
      <c r="J8" s="783">
        <f ca="1">ROUND(M8*M10*M9*(1-M11)/10000,0)</f>
        <v>0</v>
      </c>
      <c r="K8" s="341" t="s">
        <v>2530</v>
      </c>
      <c r="L8" s="784" t="s">
        <v>1732</v>
      </c>
      <c r="M8" s="785">
        <f ca="1">INDIRECT("'数据-取费表'!z"&amp;$G$1)</f>
        <v>0</v>
      </c>
    </row>
    <row r="9" spans="1:25" ht="18" customHeight="1">
      <c r="A9" s="2502"/>
      <c r="B9" s="3574"/>
      <c r="C9" s="1828"/>
      <c r="D9" s="1825"/>
      <c r="E9" s="61" t="s">
        <v>635</v>
      </c>
      <c r="F9" s="785">
        <f ca="1">IF(INDIRECT("'数据-取费表'!ah"&amp;$G$1)="",INDIRECT("'数据-取费表'!k"&amp;$G$1),INDIRECT("'数据-取费表'!ah"&amp;$G$1))</f>
        <v>0</v>
      </c>
      <c r="G9" s="1593"/>
      <c r="H9" s="2491"/>
      <c r="I9" s="3574"/>
      <c r="J9" s="788"/>
      <c r="K9" s="789"/>
      <c r="L9" s="784" t="s">
        <v>1733</v>
      </c>
      <c r="M9" s="785">
        <f ca="1">F9</f>
        <v>0</v>
      </c>
    </row>
    <row r="10" spans="1:25" ht="18" customHeight="1">
      <c r="A10" s="2495"/>
      <c r="B10" s="3575"/>
      <c r="C10" s="1828"/>
      <c r="D10" s="1825"/>
      <c r="E10" s="61" t="s">
        <v>636</v>
      </c>
      <c r="F10" s="785">
        <f ca="1">INDIRECT("'数据-取费表'!ai"&amp;$G$1)</f>
        <v>0</v>
      </c>
      <c r="G10" s="1593"/>
      <c r="H10" s="2491"/>
      <c r="I10" s="3575"/>
      <c r="J10" s="788"/>
      <c r="K10" s="789"/>
      <c r="L10" s="784" t="s">
        <v>1734</v>
      </c>
      <c r="M10" s="785">
        <f ca="1">INDIRECT("'数据-取费表'!ai"&amp;$G$1)</f>
        <v>0</v>
      </c>
    </row>
    <row r="11" spans="1:25" ht="18" customHeight="1">
      <c r="A11" s="786"/>
      <c r="B11" s="3576"/>
      <c r="C11" s="1828"/>
      <c r="D11" s="1825"/>
      <c r="E11" s="61" t="s">
        <v>637</v>
      </c>
      <c r="F11" s="794">
        <f ca="1">INDIRECT("'数据-取费表'!w"&amp;$G$1)</f>
        <v>0</v>
      </c>
      <c r="G11" s="1593"/>
      <c r="H11" s="2507"/>
      <c r="I11" s="3575"/>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2970</v>
      </c>
      <c r="E12" s="2500" t="s">
        <v>2460</v>
      </c>
      <c r="F12" s="2623"/>
      <c r="G12" s="1593"/>
      <c r="H12" s="2563" t="s">
        <v>1819</v>
      </c>
      <c r="I12" s="2568" t="s">
        <v>2455</v>
      </c>
      <c r="J12" s="783">
        <f ca="1">ROUND(IF(M12="押一",J8/12*M13,IF(M12="押二",J8/12*2*M13,IF(M12="押三",J8/12*3*M13,J13*M13))),0)</f>
        <v>0</v>
      </c>
      <c r="K12" s="2503" t="s">
        <v>2970</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1"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2"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79"/>
      <c r="J36" s="2081"/>
      <c r="K36" s="2082"/>
      <c r="L36" s="2081"/>
      <c r="M36" s="2081"/>
    </row>
    <row r="37" spans="1:18" ht="18" customHeight="1">
      <c r="A37" s="815"/>
      <c r="B37" s="793"/>
      <c r="C37" s="69"/>
      <c r="D37" s="816"/>
      <c r="E37" s="784" t="s">
        <v>671</v>
      </c>
      <c r="F37" s="785">
        <f ca="1">INDIRECT("'数据-取费表'!r"&amp;$G$1)</f>
        <v>0</v>
      </c>
      <c r="G37" s="2064"/>
      <c r="H37" s="2067"/>
      <c r="I37" s="3579"/>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16" t="s">
        <v>2959</v>
      </c>
      <c r="F43" s="3117">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38">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18"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53" t="e">
        <f ca="1">IF(M48="住宅",0,IF(L49&gt;J52,L61,J61))</f>
        <v>#DIV/0!</v>
      </c>
      <c r="O47" s="2396" t="s">
        <v>2406</v>
      </c>
      <c r="P47" s="1593"/>
      <c r="Q47" s="1605"/>
      <c r="R47" s="1593"/>
    </row>
    <row r="48" spans="1:18" s="2061" customFormat="1" ht="18" customHeight="1" thickBot="1">
      <c r="A48" s="2086"/>
      <c r="C48" s="2089"/>
      <c r="D48" s="2090"/>
      <c r="E48" s="2090"/>
      <c r="F48" s="2091"/>
      <c r="G48" s="2092"/>
      <c r="I48" s="3143" t="s">
        <v>2340</v>
      </c>
      <c r="J48" s="2383"/>
      <c r="K48" s="3150" t="s">
        <v>2345</v>
      </c>
      <c r="L48" s="3154">
        <f ca="1">INDIRECT("'数据-取费表'!d"&amp;$G$1)</f>
        <v>40</v>
      </c>
      <c r="M48" s="3115"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0" t="s">
        <v>2341</v>
      </c>
      <c r="J49" s="2384"/>
      <c r="K49" s="3151" t="s">
        <v>2347</v>
      </c>
      <c r="L49" s="1910">
        <f ca="1">INDIRECT("'数据-取费表'!f"&amp;$G$1)</f>
        <v>39.229999999999997</v>
      </c>
      <c r="O49" s="2400" t="s">
        <v>2375</v>
      </c>
      <c r="P49" s="2401" t="s">
        <v>2401</v>
      </c>
      <c r="Q49" s="2402">
        <f ca="1">C41+J31</f>
        <v>0</v>
      </c>
      <c r="R49" s="2401" t="s">
        <v>2376</v>
      </c>
    </row>
    <row r="50" spans="1:18" s="2061" customFormat="1" ht="18" customHeight="1" thickBot="1">
      <c r="A50" s="2086"/>
      <c r="D50" s="2096"/>
      <c r="E50" s="2096"/>
      <c r="F50" s="2090"/>
      <c r="G50" s="2097"/>
      <c r="H50" s="2095"/>
      <c r="I50" s="3120" t="s">
        <v>2342</v>
      </c>
      <c r="J50" s="2385"/>
      <c r="K50" s="315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0" t="s">
        <v>2343</v>
      </c>
      <c r="J51" s="3147">
        <f>SUMPRODUCT((I64:I66=J48)*(J63:L63=J49)*(J64:L66))</f>
        <v>0</v>
      </c>
      <c r="K51" s="3152" t="s">
        <v>2349</v>
      </c>
      <c r="L51" s="2386"/>
      <c r="O51" s="2403" t="s">
        <v>2379</v>
      </c>
      <c r="P51" s="2401" t="s">
        <v>2403</v>
      </c>
      <c r="Q51" s="2402">
        <f ca="1">C31</f>
        <v>0</v>
      </c>
      <c r="R51" s="2401" t="s">
        <v>2376</v>
      </c>
    </row>
    <row r="52" spans="1:18" s="2061" customFormat="1" ht="18" customHeight="1" thickBot="1">
      <c r="A52" s="2098"/>
      <c r="F52" s="2087"/>
      <c r="I52" s="3144" t="s">
        <v>2344</v>
      </c>
      <c r="J52" s="3148">
        <f>IF(J50="",J51,J50+J51-YEAR('数据-取费表'!B3))</f>
        <v>0</v>
      </c>
      <c r="K52" s="3120" t="s">
        <v>2350</v>
      </c>
      <c r="L52" s="3155">
        <f ca="1">ROUND(-PV(INDIRECT("'数据-取费表'!h"&amp;$G$1),L49,(C40-C14*J36),0),0)</f>
        <v>0</v>
      </c>
      <c r="O52" s="2403" t="s">
        <v>2380</v>
      </c>
      <c r="P52" s="2401" t="s">
        <v>2381</v>
      </c>
      <c r="Q52" s="2404" t="e">
        <f ca="1">J59</f>
        <v>#VALUE!</v>
      </c>
      <c r="R52" s="2405"/>
    </row>
    <row r="53" spans="1:18" s="2061" customFormat="1" ht="18" customHeight="1" thickBot="1">
      <c r="A53" s="2098"/>
      <c r="F53" s="2087"/>
      <c r="I53" s="3145" t="s">
        <v>2417</v>
      </c>
      <c r="J53" s="2387"/>
      <c r="K53" s="3145" t="s">
        <v>2416</v>
      </c>
      <c r="L53" s="2387"/>
      <c r="O53" s="2403" t="s">
        <v>2382</v>
      </c>
      <c r="P53" s="2401" t="s">
        <v>2383</v>
      </c>
      <c r="Q53" s="2404">
        <f>J53</f>
        <v>0</v>
      </c>
      <c r="R53" s="2405"/>
    </row>
    <row r="54" spans="1:18" s="2061" customFormat="1" ht="29.25" thickBot="1">
      <c r="A54" s="2098"/>
      <c r="I54" s="3146" t="s">
        <v>2975</v>
      </c>
      <c r="J54" s="3149">
        <f ca="1">IF(M48="住宅",MAX(J52,L49-'数据-取费表'!B20),MIN(J52,L49-'数据-取费表'!B20))</f>
        <v>0</v>
      </c>
      <c r="K54" s="3580"/>
      <c r="L54" s="3581"/>
      <c r="O54" s="2403" t="s">
        <v>2384</v>
      </c>
      <c r="P54" s="2401" t="s">
        <v>2385</v>
      </c>
      <c r="Q54" s="2402">
        <f ca="1">J54</f>
        <v>0</v>
      </c>
      <c r="R54" s="2401" t="s">
        <v>2386</v>
      </c>
    </row>
    <row r="55" spans="1:18" s="2061" customFormat="1" ht="18" customHeight="1" thickBot="1">
      <c r="A55" s="2098"/>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400" t="s">
        <v>2387</v>
      </c>
      <c r="P55" s="2401" t="s">
        <v>2404</v>
      </c>
      <c r="Q55" s="2402">
        <f ca="1">Q49+Q50</f>
        <v>0</v>
      </c>
      <c r="R55" s="2405" t="s">
        <v>2388</v>
      </c>
    </row>
    <row r="56" spans="1:18" s="2061" customFormat="1" ht="16.5" thickBot="1">
      <c r="A56" s="2098"/>
      <c r="B56" s="2099"/>
      <c r="C56" s="2099"/>
      <c r="I56" s="3158" t="s">
        <v>2351</v>
      </c>
      <c r="J56" s="3102" t="e">
        <f ca="1">ROUND(IF(J48="钢混",J58/J51,1-(1-2%)*(J51-J58)/J51),3)</f>
        <v>#VALUE!</v>
      </c>
      <c r="K56" s="3159" t="s">
        <v>2352</v>
      </c>
      <c r="L56" s="2388"/>
      <c r="O56" s="2406" t="s">
        <v>2407</v>
      </c>
      <c r="P56" s="1593"/>
      <c r="Q56" s="1605"/>
      <c r="R56" s="1593"/>
    </row>
    <row r="57" spans="1:18" s="2061" customFormat="1" ht="43.5" thickBot="1">
      <c r="A57" s="2098"/>
      <c r="B57" s="2099"/>
      <c r="C57" s="2099"/>
      <c r="I57" s="3160" t="s">
        <v>2353</v>
      </c>
      <c r="J57" s="3170" t="s">
        <v>1675</v>
      </c>
      <c r="K57" s="3120" t="s">
        <v>2358</v>
      </c>
      <c r="L57" s="1910">
        <f ca="1">IF(L49&lt;J52,"——",L49-J52)</f>
        <v>39.229999999999997</v>
      </c>
      <c r="O57" s="2397" t="s">
        <v>2371</v>
      </c>
      <c r="P57" s="2398" t="s">
        <v>2372</v>
      </c>
      <c r="Q57" s="2399" t="s">
        <v>2373</v>
      </c>
      <c r="R57" s="2398" t="s">
        <v>2374</v>
      </c>
    </row>
    <row r="58" spans="1:18" s="2061" customFormat="1" ht="29.25" thickBot="1">
      <c r="A58" s="2098"/>
      <c r="B58" s="2099"/>
      <c r="C58" s="2099"/>
      <c r="I58" s="3161" t="s">
        <v>2354</v>
      </c>
      <c r="J58" s="3162" t="str">
        <f ca="1">IF(OR(M48="住宅",J52&lt;L49,J57="是"),"——",J52-L49)</f>
        <v>——</v>
      </c>
      <c r="K58" s="3120"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61" t="s">
        <v>2355</v>
      </c>
      <c r="J59" s="3103" t="e">
        <f ca="1">IF(J56&lt;0.4,0.4,J56)</f>
        <v>#VALUE!</v>
      </c>
      <c r="K59" s="3120"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61" t="s">
        <v>2356</v>
      </c>
      <c r="J60" s="3162" t="str">
        <f ca="1">IF(OR(M48="住宅",J52&lt;L49,J57="是"),"——",ROUND(C30*J59,0))</f>
        <v>——</v>
      </c>
      <c r="K60" s="3120"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63" t="s">
        <v>2357</v>
      </c>
      <c r="J61" s="3164" t="str">
        <f ca="1">IF(OR(M48="住宅",J52&lt;L49,J57="是"),"0",ROUND(J60/(1+J53)^J54,0))</f>
        <v>0</v>
      </c>
      <c r="K61" s="3165" t="s">
        <v>2362</v>
      </c>
      <c r="L61" s="316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66" t="s">
        <v>2363</v>
      </c>
      <c r="J63" s="3167" t="s">
        <v>2364</v>
      </c>
      <c r="K63" s="3167" t="s">
        <v>2365</v>
      </c>
      <c r="L63" s="3167" t="s">
        <v>2346</v>
      </c>
      <c r="M63" s="3168" t="s">
        <v>2939</v>
      </c>
      <c r="O63" s="2403" t="s">
        <v>2384</v>
      </c>
      <c r="P63" s="2401" t="s">
        <v>2392</v>
      </c>
      <c r="Q63" s="2402">
        <f ca="1">L60</f>
        <v>0</v>
      </c>
      <c r="R63" s="2405" t="s">
        <v>2393</v>
      </c>
    </row>
    <row r="64" spans="1:18" s="2061" customFormat="1" ht="15.75" thickBot="1">
      <c r="A64" s="2098"/>
      <c r="B64" s="2099"/>
      <c r="C64" s="2099"/>
      <c r="I64" s="3166" t="s">
        <v>2366</v>
      </c>
      <c r="J64" s="3167">
        <v>70</v>
      </c>
      <c r="K64" s="3167">
        <v>50</v>
      </c>
      <c r="L64" s="3167">
        <v>80</v>
      </c>
      <c r="M64" s="3169">
        <v>0.02</v>
      </c>
      <c r="O64" s="2400" t="s">
        <v>2387</v>
      </c>
      <c r="P64" s="2401" t="s">
        <v>2404</v>
      </c>
      <c r="Q64" s="2402" t="e">
        <f ca="1">Q58+Q59</f>
        <v>#DIV/0!</v>
      </c>
      <c r="R64" s="2405" t="s">
        <v>2388</v>
      </c>
    </row>
    <row r="65" spans="1:18" s="2061" customFormat="1" ht="16.5" thickBot="1">
      <c r="A65" s="2098"/>
      <c r="B65" s="2099"/>
      <c r="C65" s="2099"/>
      <c r="I65" s="3166" t="s">
        <v>2367</v>
      </c>
      <c r="J65" s="3167">
        <v>50</v>
      </c>
      <c r="K65" s="3167">
        <v>35</v>
      </c>
      <c r="L65" s="3167">
        <v>60</v>
      </c>
      <c r="M65" s="846">
        <v>0</v>
      </c>
      <c r="O65" s="2406" t="s">
        <v>2411</v>
      </c>
      <c r="P65" s="1593"/>
      <c r="Q65" s="1605"/>
      <c r="R65" s="1593"/>
    </row>
    <row r="66" spans="1:18" s="2061" customFormat="1" ht="15.75" thickBot="1">
      <c r="A66" s="2098"/>
      <c r="B66" s="2099"/>
      <c r="C66" s="2099"/>
      <c r="I66" s="3166" t="s">
        <v>2368</v>
      </c>
      <c r="J66" s="3167">
        <v>40</v>
      </c>
      <c r="K66" s="3167">
        <v>30</v>
      </c>
      <c r="L66" s="3167">
        <v>50</v>
      </c>
      <c r="M66" s="316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500" t="s">
        <v>519</v>
      </c>
      <c r="D4" s="3501"/>
      <c r="E4" s="3534" t="s">
        <v>520</v>
      </c>
      <c r="F4" s="3535"/>
      <c r="G4" s="3500" t="s">
        <v>521</v>
      </c>
      <c r="H4" s="3501"/>
      <c r="I4" s="3500" t="s">
        <v>522</v>
      </c>
      <c r="J4" s="3501"/>
      <c r="K4" s="514" t="s">
        <v>523</v>
      </c>
      <c r="L4" s="2135"/>
      <c r="M4" s="2136"/>
      <c r="N4" s="2136"/>
      <c r="O4" s="2136"/>
      <c r="P4" s="3502" t="s">
        <v>524</v>
      </c>
      <c r="Q4" s="3503"/>
      <c r="R4" s="3508" t="s">
        <v>520</v>
      </c>
      <c r="S4" s="3509"/>
      <c r="T4" s="3508" t="s">
        <v>521</v>
      </c>
      <c r="U4" s="3509"/>
      <c r="V4" s="3495" t="s">
        <v>522</v>
      </c>
      <c r="W4" s="3495"/>
      <c r="X4" s="1568"/>
      <c r="Y4" s="3508" t="s">
        <v>524</v>
      </c>
      <c r="Z4" s="3509"/>
      <c r="AA4" s="3497" t="s">
        <v>520</v>
      </c>
      <c r="AB4" s="3495" t="s">
        <v>521</v>
      </c>
      <c r="AC4" s="3497" t="s">
        <v>522</v>
      </c>
    </row>
    <row r="5" spans="1:29" ht="15">
      <c r="A5" s="515"/>
      <c r="B5" s="516"/>
      <c r="C5" s="3516" t="s">
        <v>2925</v>
      </c>
      <c r="D5" s="3517"/>
      <c r="E5" s="3536" t="s">
        <v>2926</v>
      </c>
      <c r="F5" s="3537"/>
      <c r="G5" s="3516" t="s">
        <v>2927</v>
      </c>
      <c r="H5" s="3517"/>
      <c r="I5" s="3516" t="s">
        <v>2928</v>
      </c>
      <c r="J5" s="3517"/>
      <c r="K5" s="514"/>
      <c r="L5" s="2135"/>
      <c r="M5" s="2136"/>
      <c r="N5" s="2136"/>
      <c r="O5" s="2136"/>
      <c r="P5" s="3504"/>
      <c r="Q5" s="3505"/>
      <c r="R5" s="3510"/>
      <c r="S5" s="3511"/>
      <c r="T5" s="3510"/>
      <c r="U5" s="3511"/>
      <c r="V5" s="3495"/>
      <c r="W5" s="3495"/>
      <c r="X5" s="1568"/>
      <c r="Y5" s="3510"/>
      <c r="Z5" s="3511"/>
      <c r="AA5" s="3498"/>
      <c r="AB5" s="3495"/>
      <c r="AC5" s="3498"/>
    </row>
    <row r="6" spans="1:29" ht="15.75" thickBot="1">
      <c r="A6" s="517"/>
      <c r="B6" s="518"/>
      <c r="C6" s="3514" t="s">
        <v>2929</v>
      </c>
      <c r="D6" s="3515"/>
      <c r="E6" s="3532" t="s">
        <v>2929</v>
      </c>
      <c r="F6" s="3533"/>
      <c r="G6" s="3514" t="s">
        <v>2929</v>
      </c>
      <c r="H6" s="3515"/>
      <c r="I6" s="3514" t="s">
        <v>2929</v>
      </c>
      <c r="J6" s="3515"/>
      <c r="K6" s="514" t="s">
        <v>525</v>
      </c>
      <c r="L6" s="2135"/>
      <c r="M6" s="2136"/>
      <c r="N6" s="2136"/>
      <c r="O6" s="2136"/>
      <c r="P6" s="3506"/>
      <c r="Q6" s="3507"/>
      <c r="R6" s="3510"/>
      <c r="S6" s="3511"/>
      <c r="T6" s="3512"/>
      <c r="U6" s="3513"/>
      <c r="V6" s="3495"/>
      <c r="W6" s="3495"/>
      <c r="X6" s="1568"/>
      <c r="Y6" s="3512"/>
      <c r="Z6" s="3513"/>
      <c r="AA6" s="3499"/>
      <c r="AB6" s="3495"/>
      <c r="AC6" s="3499"/>
    </row>
    <row r="7" spans="1:29" s="1220" customFormat="1" ht="15.75" thickBot="1">
      <c r="A7" s="2912"/>
      <c r="B7" s="2919" t="s">
        <v>526</v>
      </c>
      <c r="C7" s="519">
        <f>'数据-取费表'!B2</f>
        <v>43711</v>
      </c>
      <c r="D7" s="520">
        <v>100</v>
      </c>
      <c r="E7" s="521"/>
      <c r="F7" s="522">
        <f>SUMIF(58:58,YEAR(E7)&amp;"-"&amp;MONTH(E7),59:59)</f>
        <v>0</v>
      </c>
      <c r="G7" s="521"/>
      <c r="H7" s="520">
        <f>SUMIF(58:58,YEAR(G7)&amp;"-"&amp;MONTH(G7),59:59)</f>
        <v>0</v>
      </c>
      <c r="I7" s="521"/>
      <c r="J7" s="520">
        <f>SUMIF(58:58,YEAR(I7)&amp;"-"&amp;MONTH(I7),59:59)</f>
        <v>0</v>
      </c>
      <c r="K7" s="524"/>
      <c r="L7" s="2137"/>
      <c r="M7" s="2138"/>
      <c r="N7" s="2138"/>
      <c r="O7" s="2138"/>
      <c r="P7" s="3525" t="s">
        <v>527</v>
      </c>
      <c r="Q7" s="3527"/>
      <c r="R7" s="1569" t="s">
        <v>8</v>
      </c>
      <c r="S7" s="1570">
        <f t="shared" ref="S7:S15" si="0">F7</f>
        <v>0</v>
      </c>
      <c r="T7" s="1569" t="s">
        <v>8</v>
      </c>
      <c r="U7" s="1570">
        <f t="shared" ref="U7:U15" si="1">H7</f>
        <v>0</v>
      </c>
      <c r="V7" s="1569" t="s">
        <v>8</v>
      </c>
      <c r="W7" s="1570">
        <f t="shared" ref="W7:W15" si="2">J7</f>
        <v>0</v>
      </c>
      <c r="X7" s="1571"/>
      <c r="Y7" s="3525" t="s">
        <v>527</v>
      </c>
      <c r="Z7" s="3526"/>
      <c r="AA7" s="1572" t="e">
        <f>D7/F7</f>
        <v>#DIV/0!</v>
      </c>
      <c r="AB7" s="1572" t="e">
        <f>D7/H7</f>
        <v>#DIV/0!</v>
      </c>
      <c r="AC7" s="1572" t="e">
        <f>D7/J7</f>
        <v>#DIV/0!</v>
      </c>
    </row>
    <row r="8" spans="1:29" s="1220" customFormat="1" ht="15.75" thickBot="1">
      <c r="A8" s="2913"/>
      <c r="B8" s="2920"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525" t="s">
        <v>530</v>
      </c>
      <c r="Q8" s="3526"/>
      <c r="R8" s="1569" t="s">
        <v>8</v>
      </c>
      <c r="S8" s="1570">
        <f t="shared" si="0"/>
        <v>0</v>
      </c>
      <c r="T8" s="1569" t="s">
        <v>8</v>
      </c>
      <c r="U8" s="1570">
        <f t="shared" si="1"/>
        <v>0</v>
      </c>
      <c r="V8" s="1569" t="s">
        <v>8</v>
      </c>
      <c r="W8" s="1570">
        <f t="shared" si="2"/>
        <v>0</v>
      </c>
      <c r="X8" s="1571"/>
      <c r="Y8" s="3525" t="s">
        <v>530</v>
      </c>
      <c r="Z8" s="3526"/>
      <c r="AA8" s="1572" t="e">
        <f t="shared" ref="AA8:AA46" si="3">D8/F8</f>
        <v>#DIV/0!</v>
      </c>
      <c r="AB8" s="1572" t="e">
        <f t="shared" ref="AB8:AB46" si="4">D8/H8</f>
        <v>#DIV/0!</v>
      </c>
      <c r="AC8" s="1572" t="e">
        <f t="shared" ref="AC8:AC46" si="5">D8/J8</f>
        <v>#DIV/0!</v>
      </c>
    </row>
    <row r="9" spans="1:29" s="1220" customFormat="1" ht="15">
      <c r="A9" s="2914"/>
      <c r="B9" s="2921"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94" t="s">
        <v>532</v>
      </c>
      <c r="Q9" s="1151" t="str">
        <f t="shared" ref="Q9:Q15" si="6">B9</f>
        <v>用途</v>
      </c>
      <c r="R9" s="1569" t="s">
        <v>8</v>
      </c>
      <c r="S9" s="1570">
        <f t="shared" si="0"/>
        <v>100</v>
      </c>
      <c r="T9" s="1569" t="s">
        <v>8</v>
      </c>
      <c r="U9" s="1570">
        <f t="shared" si="1"/>
        <v>100</v>
      </c>
      <c r="V9" s="1569" t="s">
        <v>8</v>
      </c>
      <c r="W9" s="1570">
        <f t="shared" si="2"/>
        <v>100</v>
      </c>
      <c r="X9" s="1571"/>
      <c r="Y9" s="3431"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94"/>
      <c r="Q10" s="1151" t="str">
        <f t="shared" si="6"/>
        <v>土地使用年限（年）</v>
      </c>
      <c r="R10" s="1569" t="s">
        <v>8</v>
      </c>
      <c r="S10" s="1570">
        <f t="shared" si="0"/>
        <v>100</v>
      </c>
      <c r="T10" s="1569" t="s">
        <v>8</v>
      </c>
      <c r="U10" s="1570">
        <f t="shared" si="1"/>
        <v>100</v>
      </c>
      <c r="V10" s="1569" t="s">
        <v>8</v>
      </c>
      <c r="W10" s="1570">
        <f t="shared" si="2"/>
        <v>100</v>
      </c>
      <c r="X10" s="1571"/>
      <c r="Y10" s="3431"/>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94"/>
      <c r="Q11" s="1151" t="str">
        <f t="shared" si="6"/>
        <v>容积率</v>
      </c>
      <c r="R11" s="1569" t="s">
        <v>8</v>
      </c>
      <c r="S11" s="1570" t="e">
        <f t="shared" si="0"/>
        <v>#N/A</v>
      </c>
      <c r="T11" s="1569" t="s">
        <v>8</v>
      </c>
      <c r="U11" s="1570" t="e">
        <f t="shared" si="1"/>
        <v>#N/A</v>
      </c>
      <c r="V11" s="1569" t="s">
        <v>8</v>
      </c>
      <c r="W11" s="1570" t="e">
        <f t="shared" si="2"/>
        <v>#N/A</v>
      </c>
      <c r="X11" s="1571"/>
      <c r="Y11" s="343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94"/>
      <c r="Q12" s="1151">
        <f t="shared" si="6"/>
        <v>111</v>
      </c>
      <c r="R12" s="1569" t="s">
        <v>8</v>
      </c>
      <c r="S12" s="1570">
        <f t="shared" si="0"/>
        <v>100</v>
      </c>
      <c r="T12" s="1569" t="s">
        <v>8</v>
      </c>
      <c r="U12" s="1570">
        <f t="shared" si="1"/>
        <v>100</v>
      </c>
      <c r="V12" s="1569" t="s">
        <v>8</v>
      </c>
      <c r="W12" s="1570">
        <f t="shared" si="2"/>
        <v>100</v>
      </c>
      <c r="X12" s="1571"/>
      <c r="Y12" s="3431"/>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94"/>
      <c r="Q13" s="1151">
        <f t="shared" si="6"/>
        <v>111</v>
      </c>
      <c r="R13" s="1569" t="s">
        <v>8</v>
      </c>
      <c r="S13" s="1570">
        <f t="shared" si="0"/>
        <v>100</v>
      </c>
      <c r="T13" s="1569" t="s">
        <v>8</v>
      </c>
      <c r="U13" s="1570">
        <f t="shared" si="1"/>
        <v>100</v>
      </c>
      <c r="V13" s="1569" t="s">
        <v>8</v>
      </c>
      <c r="W13" s="1570">
        <f t="shared" si="2"/>
        <v>100</v>
      </c>
      <c r="X13" s="1571"/>
      <c r="Y13" s="3431"/>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94"/>
      <c r="Q14" s="1151">
        <f t="shared" si="6"/>
        <v>111</v>
      </c>
      <c r="R14" s="1569" t="s">
        <v>8</v>
      </c>
      <c r="S14" s="1570">
        <f t="shared" si="0"/>
        <v>100</v>
      </c>
      <c r="T14" s="1569" t="s">
        <v>8</v>
      </c>
      <c r="U14" s="1570">
        <f t="shared" si="1"/>
        <v>100</v>
      </c>
      <c r="V14" s="1569" t="s">
        <v>8</v>
      </c>
      <c r="W14" s="1570">
        <f t="shared" si="2"/>
        <v>100</v>
      </c>
      <c r="X14" s="1571"/>
      <c r="Y14" s="3431"/>
      <c r="Z14" s="1150">
        <f t="shared" si="7"/>
        <v>111</v>
      </c>
      <c r="AA14" s="1572">
        <f t="shared" si="3"/>
        <v>1</v>
      </c>
      <c r="AB14" s="1572">
        <f t="shared" si="4"/>
        <v>1</v>
      </c>
      <c r="AC14" s="1572">
        <f t="shared" si="5"/>
        <v>1</v>
      </c>
    </row>
    <row r="15" spans="1:29" ht="71.25">
      <c r="A15" s="2910"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528" t="s">
        <v>537</v>
      </c>
      <c r="Q15" s="1573" t="str">
        <f t="shared" si="6"/>
        <v>商业繁华度</v>
      </c>
      <c r="R15" s="1574" t="s">
        <v>8</v>
      </c>
      <c r="S15" s="1575">
        <f t="shared" si="0"/>
        <v>100</v>
      </c>
      <c r="T15" s="1574" t="s">
        <v>8</v>
      </c>
      <c r="U15" s="1575">
        <f t="shared" si="1"/>
        <v>100</v>
      </c>
      <c r="V15" s="1574" t="s">
        <v>8</v>
      </c>
      <c r="W15" s="1575">
        <f t="shared" si="2"/>
        <v>100</v>
      </c>
      <c r="X15" s="1568"/>
      <c r="Y15" s="3528"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29"/>
      <c r="Q16" s="1573"/>
      <c r="R16" s="1574"/>
      <c r="S16" s="1575"/>
      <c r="T16" s="1574"/>
      <c r="U16" s="1575"/>
      <c r="V16" s="1574"/>
      <c r="W16" s="1575"/>
      <c r="X16" s="1568"/>
      <c r="Y16" s="3529"/>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529"/>
      <c r="Q17" s="1573" t="str">
        <f>B17</f>
        <v>交通便捷度</v>
      </c>
      <c r="R17" s="1574" t="s">
        <v>8</v>
      </c>
      <c r="S17" s="1575">
        <f>F17</f>
        <v>100</v>
      </c>
      <c r="T17" s="1574" t="s">
        <v>8</v>
      </c>
      <c r="U17" s="1575">
        <f>H17</f>
        <v>100</v>
      </c>
      <c r="V17" s="1574" t="s">
        <v>8</v>
      </c>
      <c r="W17" s="1575">
        <f>J17</f>
        <v>100</v>
      </c>
      <c r="X17" s="1568"/>
      <c r="Y17" s="352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29"/>
      <c r="Q18" s="1573"/>
      <c r="R18" s="1574"/>
      <c r="S18" s="1575"/>
      <c r="T18" s="1574"/>
      <c r="U18" s="1575"/>
      <c r="V18" s="1574"/>
      <c r="W18" s="1575"/>
      <c r="X18" s="1568"/>
      <c r="Y18" s="3529"/>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529"/>
      <c r="Q19" s="1573" t="str">
        <f>B19</f>
        <v>公共配套设施</v>
      </c>
      <c r="R19" s="1574" t="s">
        <v>8</v>
      </c>
      <c r="S19" s="1575">
        <f>F19</f>
        <v>100</v>
      </c>
      <c r="T19" s="1574" t="s">
        <v>8</v>
      </c>
      <c r="U19" s="1575">
        <f>H19</f>
        <v>100</v>
      </c>
      <c r="V19" s="1574" t="s">
        <v>8</v>
      </c>
      <c r="W19" s="1575">
        <f>J19</f>
        <v>100</v>
      </c>
      <c r="X19" s="1568"/>
      <c r="Y19" s="352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529"/>
      <c r="Q20" s="1573"/>
      <c r="R20" s="1574"/>
      <c r="S20" s="1575"/>
      <c r="T20" s="1574"/>
      <c r="U20" s="1575"/>
      <c r="V20" s="1574"/>
      <c r="W20" s="1575"/>
      <c r="X20" s="1568"/>
      <c r="Y20" s="3529"/>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529"/>
      <c r="Q21" s="2581" t="str">
        <f>B21</f>
        <v>基础设施水平</v>
      </c>
      <c r="R21" s="1574" t="s">
        <v>8</v>
      </c>
      <c r="S21" s="1575">
        <f>F21</f>
        <v>100</v>
      </c>
      <c r="T21" s="1574" t="s">
        <v>8</v>
      </c>
      <c r="U21" s="1575">
        <f>H21</f>
        <v>100</v>
      </c>
      <c r="V21" s="1574" t="s">
        <v>8</v>
      </c>
      <c r="W21" s="1575">
        <f>J21</f>
        <v>100</v>
      </c>
      <c r="X21" s="2583"/>
      <c r="Y21" s="352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529"/>
      <c r="Q22" s="2581"/>
      <c r="R22" s="1574"/>
      <c r="S22" s="1575"/>
      <c r="T22" s="1574"/>
      <c r="U22" s="1575"/>
      <c r="V22" s="1574"/>
      <c r="W22" s="1575"/>
      <c r="X22" s="2583"/>
      <c r="Y22" s="3529"/>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529"/>
      <c r="Q23" s="1573" t="str">
        <f>B23</f>
        <v>自然及人文环境</v>
      </c>
      <c r="R23" s="1574" t="s">
        <v>8</v>
      </c>
      <c r="S23" s="1575">
        <f>F23</f>
        <v>100</v>
      </c>
      <c r="T23" s="1574" t="s">
        <v>8</v>
      </c>
      <c r="U23" s="1575">
        <f>H23</f>
        <v>100</v>
      </c>
      <c r="V23" s="1574" t="s">
        <v>8</v>
      </c>
      <c r="W23" s="1575">
        <f>J23</f>
        <v>100</v>
      </c>
      <c r="X23" s="1568"/>
      <c r="Y23" s="352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529"/>
      <c r="Q24" s="1573"/>
      <c r="R24" s="1574"/>
      <c r="S24" s="1575"/>
      <c r="T24" s="1574"/>
      <c r="U24" s="1575"/>
      <c r="V24" s="1574"/>
      <c r="W24" s="1575"/>
      <c r="X24" s="1568"/>
      <c r="Y24" s="3529"/>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529"/>
      <c r="Q25" s="1573" t="str">
        <f t="shared" ref="Q25:Q46" si="11">B25</f>
        <v>临街状况</v>
      </c>
      <c r="R25" s="1574" t="s">
        <v>8</v>
      </c>
      <c r="S25" s="1575">
        <f>F25</f>
        <v>100</v>
      </c>
      <c r="T25" s="1574" t="s">
        <v>8</v>
      </c>
      <c r="U25" s="1575">
        <f>H25</f>
        <v>100</v>
      </c>
      <c r="V25" s="1574" t="s">
        <v>8</v>
      </c>
      <c r="W25" s="1575">
        <f>J25</f>
        <v>100</v>
      </c>
      <c r="X25" s="1568"/>
      <c r="Y25" s="3529"/>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529"/>
      <c r="Q26" s="1573" t="str">
        <f t="shared" si="11"/>
        <v>平面位置/可视性</v>
      </c>
      <c r="R26" s="1574" t="s">
        <v>8</v>
      </c>
      <c r="S26" s="1575">
        <f>F26</f>
        <v>100</v>
      </c>
      <c r="T26" s="1574" t="s">
        <v>8</v>
      </c>
      <c r="U26" s="1575">
        <f>H26</f>
        <v>100</v>
      </c>
      <c r="V26" s="1574" t="s">
        <v>8</v>
      </c>
      <c r="W26" s="1575">
        <f>J26</f>
        <v>100</v>
      </c>
      <c r="X26" s="1568"/>
      <c r="Y26" s="3529"/>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529"/>
      <c r="Q27" s="1151" t="str">
        <f t="shared" si="11"/>
        <v>人流量</v>
      </c>
      <c r="R27" s="1569" t="s">
        <v>8</v>
      </c>
      <c r="S27" s="1570">
        <f>F27</f>
        <v>100</v>
      </c>
      <c r="T27" s="1569" t="s">
        <v>8</v>
      </c>
      <c r="U27" s="1570">
        <f>H27</f>
        <v>100</v>
      </c>
      <c r="V27" s="1569" t="s">
        <v>8</v>
      </c>
      <c r="W27" s="1570">
        <f>J27</f>
        <v>100</v>
      </c>
      <c r="X27" s="1571"/>
      <c r="Y27" s="3529"/>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52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2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529"/>
      <c r="Q29" s="1573">
        <f t="shared" si="11"/>
        <v>111</v>
      </c>
      <c r="R29" s="1574" t="s">
        <v>8</v>
      </c>
      <c r="S29" s="1575">
        <f t="shared" si="12"/>
        <v>100</v>
      </c>
      <c r="T29" s="1574" t="s">
        <v>8</v>
      </c>
      <c r="U29" s="1575">
        <f t="shared" si="13"/>
        <v>100</v>
      </c>
      <c r="V29" s="1574" t="s">
        <v>8</v>
      </c>
      <c r="W29" s="1575">
        <f t="shared" si="14"/>
        <v>100</v>
      </c>
      <c r="X29" s="1568"/>
      <c r="Y29" s="352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529"/>
      <c r="Q30" s="1573">
        <f t="shared" si="11"/>
        <v>111</v>
      </c>
      <c r="R30" s="1574" t="s">
        <v>8</v>
      </c>
      <c r="S30" s="1575">
        <f t="shared" si="12"/>
        <v>100</v>
      </c>
      <c r="T30" s="1574" t="s">
        <v>8</v>
      </c>
      <c r="U30" s="1575">
        <f t="shared" si="13"/>
        <v>100</v>
      </c>
      <c r="V30" s="1574" t="s">
        <v>8</v>
      </c>
      <c r="W30" s="1575">
        <f t="shared" si="14"/>
        <v>100</v>
      </c>
      <c r="X30" s="1568"/>
      <c r="Y30" s="352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529"/>
      <c r="Q31" s="1573">
        <f t="shared" si="11"/>
        <v>111</v>
      </c>
      <c r="R31" s="1574" t="s">
        <v>8</v>
      </c>
      <c r="S31" s="1575">
        <f t="shared" si="12"/>
        <v>100</v>
      </c>
      <c r="T31" s="1574" t="s">
        <v>8</v>
      </c>
      <c r="U31" s="1575">
        <f t="shared" si="13"/>
        <v>100</v>
      </c>
      <c r="V31" s="1574" t="s">
        <v>8</v>
      </c>
      <c r="W31" s="1575">
        <f t="shared" si="14"/>
        <v>100</v>
      </c>
      <c r="X31" s="1568"/>
      <c r="Y31" s="3529"/>
      <c r="Z31" s="1576">
        <f t="shared" si="15"/>
        <v>111</v>
      </c>
      <c r="AA31" s="1577">
        <f t="shared" si="3"/>
        <v>1</v>
      </c>
      <c r="AB31" s="1577">
        <f t="shared" si="4"/>
        <v>1</v>
      </c>
      <c r="AC31" s="1577">
        <f t="shared" si="5"/>
        <v>1</v>
      </c>
    </row>
    <row r="32" spans="1:29" ht="15">
      <c r="A32" s="2907"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530" t="s">
        <v>547</v>
      </c>
      <c r="Q32" s="1573" t="str">
        <f t="shared" si="11"/>
        <v>商业类型</v>
      </c>
      <c r="R32" s="1574" t="s">
        <v>8</v>
      </c>
      <c r="S32" s="1575">
        <f t="shared" si="12"/>
        <v>100</v>
      </c>
      <c r="T32" s="1574" t="s">
        <v>8</v>
      </c>
      <c r="U32" s="1575">
        <f t="shared" si="13"/>
        <v>100</v>
      </c>
      <c r="V32" s="1574" t="s">
        <v>8</v>
      </c>
      <c r="W32" s="1575">
        <f t="shared" si="14"/>
        <v>100</v>
      </c>
      <c r="X32" s="1568"/>
      <c r="Y32" s="3531"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531"/>
      <c r="Q33" s="1606" t="str">
        <f t="shared" si="11"/>
        <v>项目建筑规模</v>
      </c>
      <c r="R33" s="1578" t="s">
        <v>8</v>
      </c>
      <c r="S33" s="1579" t="e">
        <f t="shared" si="12"/>
        <v>#N/A</v>
      </c>
      <c r="T33" s="1578" t="s">
        <v>8</v>
      </c>
      <c r="U33" s="1579" t="e">
        <f t="shared" si="13"/>
        <v>#N/A</v>
      </c>
      <c r="V33" s="1578" t="s">
        <v>8</v>
      </c>
      <c r="W33" s="1579" t="e">
        <f t="shared" si="14"/>
        <v>#N/A</v>
      </c>
      <c r="X33" s="1580"/>
      <c r="Y33" s="3531"/>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531"/>
      <c r="Q34" s="1573" t="str">
        <f t="shared" si="11"/>
        <v>建筑结构</v>
      </c>
      <c r="R34" s="1574" t="s">
        <v>8</v>
      </c>
      <c r="S34" s="1575">
        <f t="shared" si="12"/>
        <v>100</v>
      </c>
      <c r="T34" s="1574" t="s">
        <v>8</v>
      </c>
      <c r="U34" s="1575">
        <f t="shared" si="13"/>
        <v>100</v>
      </c>
      <c r="V34" s="1574" t="s">
        <v>8</v>
      </c>
      <c r="W34" s="1575">
        <f t="shared" si="14"/>
        <v>100</v>
      </c>
      <c r="X34" s="1568"/>
      <c r="Y34" s="3531"/>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531"/>
      <c r="Q35" s="1573" t="str">
        <f t="shared" si="11"/>
        <v>公共部分装修</v>
      </c>
      <c r="R35" s="1574" t="s">
        <v>8</v>
      </c>
      <c r="S35" s="1575">
        <f t="shared" si="12"/>
        <v>100</v>
      </c>
      <c r="T35" s="1574" t="s">
        <v>8</v>
      </c>
      <c r="U35" s="1575">
        <f t="shared" si="13"/>
        <v>100</v>
      </c>
      <c r="V35" s="1574" t="s">
        <v>8</v>
      </c>
      <c r="W35" s="1575">
        <f t="shared" si="14"/>
        <v>100</v>
      </c>
      <c r="X35" s="1568"/>
      <c r="Y35" s="3531"/>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531"/>
      <c r="Q36" s="1573" t="str">
        <f t="shared" si="11"/>
        <v>成新度</v>
      </c>
      <c r="R36" s="1574" t="s">
        <v>8</v>
      </c>
      <c r="S36" s="1575" t="e">
        <f t="shared" si="12"/>
        <v>#N/A</v>
      </c>
      <c r="T36" s="1574" t="s">
        <v>8</v>
      </c>
      <c r="U36" s="1575" t="e">
        <f t="shared" si="13"/>
        <v>#N/A</v>
      </c>
      <c r="V36" s="1574" t="s">
        <v>8</v>
      </c>
      <c r="W36" s="1575" t="e">
        <f t="shared" si="14"/>
        <v>#N/A</v>
      </c>
      <c r="X36" s="1568"/>
      <c r="Y36" s="3531"/>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531"/>
      <c r="Q37" s="1151" t="str">
        <f t="shared" si="11"/>
        <v>市政基础设施</v>
      </c>
      <c r="R37" s="1569" t="s">
        <v>8</v>
      </c>
      <c r="S37" s="1570">
        <f t="shared" si="12"/>
        <v>100</v>
      </c>
      <c r="T37" s="1569" t="s">
        <v>8</v>
      </c>
      <c r="U37" s="1570">
        <f t="shared" si="13"/>
        <v>100</v>
      </c>
      <c r="V37" s="1569" t="s">
        <v>8</v>
      </c>
      <c r="W37" s="1570">
        <f t="shared" si="14"/>
        <v>100</v>
      </c>
      <c r="X37" s="1571"/>
      <c r="Y37" s="3531"/>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531" t="s">
        <v>763</v>
      </c>
      <c r="Q38" s="1573" t="str">
        <f t="shared" si="11"/>
        <v>业态</v>
      </c>
      <c r="R38" s="1574" t="s">
        <v>8</v>
      </c>
      <c r="S38" s="1575">
        <f t="shared" si="12"/>
        <v>100</v>
      </c>
      <c r="T38" s="1574" t="s">
        <v>8</v>
      </c>
      <c r="U38" s="1575">
        <f t="shared" si="13"/>
        <v>100</v>
      </c>
      <c r="V38" s="1574" t="s">
        <v>8</v>
      </c>
      <c r="W38" s="1575">
        <f t="shared" si="14"/>
        <v>100</v>
      </c>
      <c r="X38" s="1568"/>
      <c r="Y38" s="3531"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31"/>
      <c r="Q39" s="1573" t="str">
        <f t="shared" si="11"/>
        <v>层高</v>
      </c>
      <c r="R39" s="1574" t="s">
        <v>8</v>
      </c>
      <c r="S39" s="1575">
        <f t="shared" si="12"/>
        <v>100</v>
      </c>
      <c r="T39" s="1574" t="s">
        <v>8</v>
      </c>
      <c r="U39" s="1575">
        <f t="shared" si="13"/>
        <v>100</v>
      </c>
      <c r="V39" s="1574" t="s">
        <v>8</v>
      </c>
      <c r="W39" s="1575">
        <f t="shared" si="14"/>
        <v>100</v>
      </c>
      <c r="X39" s="1568"/>
      <c r="Y39" s="3531"/>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531"/>
      <c r="Q40" s="1573" t="str">
        <f t="shared" si="11"/>
        <v>单套建筑面积</v>
      </c>
      <c r="R40" s="1574" t="s">
        <v>8</v>
      </c>
      <c r="S40" s="1575">
        <f t="shared" si="12"/>
        <v>100</v>
      </c>
      <c r="T40" s="1574" t="s">
        <v>8</v>
      </c>
      <c r="U40" s="1575">
        <f t="shared" si="13"/>
        <v>100</v>
      </c>
      <c r="V40" s="1574" t="s">
        <v>8</v>
      </c>
      <c r="W40" s="1575">
        <f t="shared" si="14"/>
        <v>100</v>
      </c>
      <c r="X40" s="1568"/>
      <c r="Y40" s="3531"/>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531"/>
      <c r="Q41" s="1606" t="str">
        <f t="shared" si="11"/>
        <v>进深比</v>
      </c>
      <c r="R41" s="1578" t="s">
        <v>8</v>
      </c>
      <c r="S41" s="1579">
        <f t="shared" si="12"/>
        <v>100</v>
      </c>
      <c r="T41" s="1578" t="s">
        <v>8</v>
      </c>
      <c r="U41" s="1579">
        <f t="shared" si="13"/>
        <v>100</v>
      </c>
      <c r="V41" s="1578" t="s">
        <v>8</v>
      </c>
      <c r="W41" s="1579">
        <f t="shared" si="14"/>
        <v>100</v>
      </c>
      <c r="X41" s="1580"/>
      <c r="Y41" s="3531"/>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531"/>
      <c r="Q42" s="1573" t="str">
        <f t="shared" si="11"/>
        <v>内部装修</v>
      </c>
      <c r="R42" s="1574" t="s">
        <v>8</v>
      </c>
      <c r="S42" s="1575">
        <f t="shared" si="12"/>
        <v>100</v>
      </c>
      <c r="T42" s="1574" t="s">
        <v>8</v>
      </c>
      <c r="U42" s="1575">
        <f t="shared" si="13"/>
        <v>100</v>
      </c>
      <c r="V42" s="1574" t="s">
        <v>8</v>
      </c>
      <c r="W42" s="1575">
        <f t="shared" si="14"/>
        <v>100</v>
      </c>
      <c r="X42" s="1568"/>
      <c r="Y42" s="3531"/>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531"/>
      <c r="Q43" s="1573" t="str">
        <f t="shared" si="11"/>
        <v>内部装修维护情况</v>
      </c>
      <c r="R43" s="1574" t="s">
        <v>8</v>
      </c>
      <c r="S43" s="1575">
        <f t="shared" si="12"/>
        <v>100</v>
      </c>
      <c r="T43" s="1574" t="s">
        <v>8</v>
      </c>
      <c r="U43" s="1575">
        <f t="shared" si="13"/>
        <v>100</v>
      </c>
      <c r="V43" s="1574" t="s">
        <v>8</v>
      </c>
      <c r="W43" s="1575">
        <f t="shared" si="14"/>
        <v>100</v>
      </c>
      <c r="X43" s="1568"/>
      <c r="Y43" s="353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531"/>
      <c r="Q44" s="1151">
        <f t="shared" si="11"/>
        <v>111</v>
      </c>
      <c r="R44" s="1569" t="s">
        <v>8</v>
      </c>
      <c r="S44" s="1570">
        <f t="shared" si="12"/>
        <v>100</v>
      </c>
      <c r="T44" s="1569" t="s">
        <v>8</v>
      </c>
      <c r="U44" s="1570">
        <f t="shared" si="13"/>
        <v>100</v>
      </c>
      <c r="V44" s="1569" t="s">
        <v>8</v>
      </c>
      <c r="W44" s="1570">
        <f t="shared" si="14"/>
        <v>100</v>
      </c>
      <c r="X44" s="1571"/>
      <c r="Y44" s="353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531"/>
      <c r="Q45" s="1573">
        <f t="shared" si="11"/>
        <v>111</v>
      </c>
      <c r="R45" s="1574" t="s">
        <v>8</v>
      </c>
      <c r="S45" s="1575">
        <f t="shared" si="12"/>
        <v>100</v>
      </c>
      <c r="T45" s="1574" t="s">
        <v>8</v>
      </c>
      <c r="U45" s="1575">
        <f t="shared" si="13"/>
        <v>100</v>
      </c>
      <c r="V45" s="1574" t="s">
        <v>8</v>
      </c>
      <c r="W45" s="1575">
        <f t="shared" si="14"/>
        <v>100</v>
      </c>
      <c r="X45" s="1568"/>
      <c r="Y45" s="353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69"/>
      <c r="Q46" s="1573">
        <f t="shared" si="11"/>
        <v>111</v>
      </c>
      <c r="R46" s="1574" t="s">
        <v>8</v>
      </c>
      <c r="S46" s="1575">
        <f t="shared" si="12"/>
        <v>100</v>
      </c>
      <c r="T46" s="1574" t="s">
        <v>8</v>
      </c>
      <c r="U46" s="1575">
        <f t="shared" si="13"/>
        <v>100</v>
      </c>
      <c r="V46" s="1574" t="s">
        <v>8</v>
      </c>
      <c r="W46" s="1575">
        <f t="shared" si="14"/>
        <v>100</v>
      </c>
      <c r="X46" s="1568"/>
      <c r="Y46" s="3569"/>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494" t="str">
        <f>A47</f>
        <v>成交单价（元/平方米）</v>
      </c>
      <c r="Q47" s="3494"/>
      <c r="R47" s="3566">
        <f>E47</f>
        <v>0</v>
      </c>
      <c r="S47" s="3566"/>
      <c r="T47" s="3566">
        <f>G47</f>
        <v>0</v>
      </c>
      <c r="U47" s="3566"/>
      <c r="V47" s="3566">
        <f>I47</f>
        <v>0</v>
      </c>
      <c r="W47" s="3566"/>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494" t="str">
        <f>A48</f>
        <v>比较价格（元/平方米）</v>
      </c>
      <c r="Q48" s="3494"/>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91" t="str">
        <f>A49</f>
        <v>估价对象XX用房的比较价格（楼面单价，元/平方米）</v>
      </c>
      <c r="Q49" s="3492"/>
      <c r="R49" s="3568" t="e">
        <f>IF(F1="售价",ROUND(AVERAGE(R48:V48),0),ROUND(AVERAGE(R48:V48),1))</f>
        <v>#DIV/0!</v>
      </c>
      <c r="S49" s="3568"/>
      <c r="T49" s="3568"/>
      <c r="U49" s="3568"/>
      <c r="V49" s="3568"/>
      <c r="W49" s="35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2" t="str">
        <f>YEAR(C7)&amp;"-"&amp;MONTH(C7)</f>
        <v>2019-9</v>
      </c>
      <c r="D58" s="2804">
        <f>EDATE(C58,-1)</f>
        <v>43678</v>
      </c>
      <c r="E58" s="2804">
        <f t="shared" ref="E58:O58" si="16">EDATE(D58,-1)</f>
        <v>43647</v>
      </c>
      <c r="F58" s="2804">
        <f t="shared" si="16"/>
        <v>43617</v>
      </c>
      <c r="G58" s="2804">
        <f t="shared" si="16"/>
        <v>43586</v>
      </c>
      <c r="H58" s="2804">
        <f t="shared" si="16"/>
        <v>43556</v>
      </c>
      <c r="I58" s="2804">
        <f t="shared" si="16"/>
        <v>43525</v>
      </c>
      <c r="J58" s="2804">
        <f t="shared" si="16"/>
        <v>43497</v>
      </c>
      <c r="K58" s="2804">
        <f t="shared" si="16"/>
        <v>43466</v>
      </c>
      <c r="L58" s="2804">
        <f t="shared" si="16"/>
        <v>43435</v>
      </c>
      <c r="M58" s="2804">
        <f t="shared" si="16"/>
        <v>43405</v>
      </c>
      <c r="N58" s="2804">
        <f t="shared" si="16"/>
        <v>43374</v>
      </c>
      <c r="O58" s="2804">
        <f t="shared" si="16"/>
        <v>43344</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19"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73" t="s">
        <v>2459</v>
      </c>
      <c r="C6" s="783">
        <f ca="1">ROUND(F6*F8*F7*(1-F9)/10000,0)</f>
        <v>0</v>
      </c>
      <c r="D6" s="2499" t="s">
        <v>2458</v>
      </c>
      <c r="E6" s="784" t="s">
        <v>1732</v>
      </c>
      <c r="F6" s="785">
        <f ca="1">INDIRECT("'数据-取费表'!u"&amp;$G$1)</f>
        <v>0</v>
      </c>
      <c r="G6" s="1593"/>
      <c r="H6" s="2506" t="s">
        <v>2464</v>
      </c>
      <c r="I6" s="3573" t="s">
        <v>2459</v>
      </c>
      <c r="J6" s="783">
        <f ca="1">ROUND(M6*M8*M7*(1-M9)/10000,0)</f>
        <v>0</v>
      </c>
      <c r="K6" s="341" t="s">
        <v>1731</v>
      </c>
      <c r="L6" s="784" t="s">
        <v>1732</v>
      </c>
      <c r="M6" s="785">
        <f ca="1">INDIRECT("'数据-取费表'!z"&amp;$G$1)</f>
        <v>0</v>
      </c>
    </row>
    <row r="7" spans="1:33" ht="18" customHeight="1">
      <c r="A7" s="2502"/>
      <c r="B7" s="3574"/>
      <c r="C7" s="788"/>
      <c r="D7" s="789"/>
      <c r="E7" s="784" t="s">
        <v>1733</v>
      </c>
      <c r="F7" s="785">
        <f ca="1">IF(INDIRECT("'数据-取费表'!ah"&amp;$G$1)="",INDIRECT("'数据-取费表'!k"&amp;$G$1),INDIRECT("'数据-取费表'!ah"&amp;$G$1))</f>
        <v>0</v>
      </c>
      <c r="G7" s="1593"/>
      <c r="H7" s="2491"/>
      <c r="I7" s="3574"/>
      <c r="J7" s="788"/>
      <c r="K7" s="789"/>
      <c r="L7" s="784" t="s">
        <v>1733</v>
      </c>
      <c r="M7" s="785">
        <f ca="1">F7</f>
        <v>0</v>
      </c>
    </row>
    <row r="8" spans="1:33" ht="18" customHeight="1">
      <c r="A8" s="2495"/>
      <c r="B8" s="3575"/>
      <c r="C8" s="788"/>
      <c r="D8" s="789"/>
      <c r="E8" s="784" t="s">
        <v>1734</v>
      </c>
      <c r="F8" s="785">
        <f ca="1">INDIRECT("'数据-取费表'!ai"&amp;$G$1)</f>
        <v>0</v>
      </c>
      <c r="G8" s="1593"/>
      <c r="H8" s="2491"/>
      <c r="I8" s="3575"/>
      <c r="J8" s="788"/>
      <c r="K8" s="789"/>
      <c r="L8" s="784" t="s">
        <v>1734</v>
      </c>
      <c r="M8" s="785">
        <f ca="1">INDIRECT("'数据-取费表'!ai"&amp;$G$1)</f>
        <v>0</v>
      </c>
    </row>
    <row r="9" spans="1:33" ht="18" customHeight="1">
      <c r="A9" s="786"/>
      <c r="B9" s="3576"/>
      <c r="C9" s="788"/>
      <c r="D9" s="789"/>
      <c r="E9" s="784" t="s">
        <v>1735</v>
      </c>
      <c r="F9" s="794">
        <f ca="1">INDIRECT("'数据-取费表'!w"&amp;$G$1)</f>
        <v>0</v>
      </c>
      <c r="G9" s="1593"/>
      <c r="H9" s="2507"/>
      <c r="I9" s="3575"/>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2970</v>
      </c>
      <c r="E10" s="2500" t="s">
        <v>2460</v>
      </c>
      <c r="F10" s="2623"/>
      <c r="G10" s="1593"/>
      <c r="H10" s="2563" t="s">
        <v>2465</v>
      </c>
      <c r="I10" s="2568" t="s">
        <v>2455</v>
      </c>
      <c r="J10" s="783">
        <f ca="1">ROUND(IF(M10="押一",J6/12*M11,IF(M10="押二",J6/12*2*M11,IF(M10="押三",J6/12*3*M11,J11*M11))),0)</f>
        <v>0</v>
      </c>
      <c r="K10" s="2503" t="s">
        <v>2970</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0"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0"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5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43" t="s">
        <v>2340</v>
      </c>
      <c r="J47" s="2383"/>
      <c r="K47" s="3150" t="s">
        <v>2345</v>
      </c>
      <c r="L47" s="315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0" t="s">
        <v>2341</v>
      </c>
      <c r="J48" s="2384"/>
      <c r="K48" s="3151" t="s">
        <v>2347</v>
      </c>
      <c r="L48" s="1910">
        <f ca="1">INDIRECT("'数据-取费表'!f"&amp;$G$1)</f>
        <v>39.229999999999997</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0" t="s">
        <v>2342</v>
      </c>
      <c r="J49" s="2385"/>
      <c r="K49" s="315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0" t="s">
        <v>2343</v>
      </c>
      <c r="J50" s="3147">
        <f>SUMPRODUCT((I63:I65=J47)*(J62:L62=J48)*(J63:L65))</f>
        <v>0</v>
      </c>
      <c r="K50" s="315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44" t="s">
        <v>2344</v>
      </c>
      <c r="J51" s="3148">
        <f>IF(J49="",J50,J49+J50-YEAR('数据-取费表'!B2))</f>
        <v>0</v>
      </c>
      <c r="K51" s="3120" t="s">
        <v>2350</v>
      </c>
      <c r="L51" s="315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45" t="s">
        <v>2417</v>
      </c>
      <c r="J52" s="2387"/>
      <c r="K52" s="314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46" t="s">
        <v>2975</v>
      </c>
      <c r="J53" s="3149">
        <f ca="1">IF(M47="住宅",IF(D1="——",MAX(J51,L48),MAX(J51,L48-'数据-取费表'!B20)),IF(D1="——",MIN(J51,L48),MIN(J51,L48-'数据-取费表'!B20)))</f>
        <v>0</v>
      </c>
      <c r="K53" s="3577" t="s">
        <v>2963</v>
      </c>
      <c r="L53" s="3578"/>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58" t="s">
        <v>2351</v>
      </c>
      <c r="J55" s="3102" t="e">
        <f ca="1">ROUND(IF(J47="钢混",J57/J50,1-(1-2%)*(J50-J57)/J50),3)</f>
        <v>#VALUE!</v>
      </c>
      <c r="K55" s="3159" t="s">
        <v>2352</v>
      </c>
      <c r="L55" s="2388"/>
      <c r="O55" s="2406" t="s">
        <v>2407</v>
      </c>
      <c r="P55" s="1593"/>
      <c r="Q55" s="1605"/>
      <c r="R55" s="1593"/>
    </row>
    <row r="56" spans="1:18" s="2061" customFormat="1" ht="42.75" customHeight="1" thickBot="1">
      <c r="A56" s="1651"/>
      <c r="B56" s="2233" t="s">
        <v>2298</v>
      </c>
      <c r="C56" s="53">
        <f ca="1">C29</f>
        <v>0</v>
      </c>
      <c r="D56" s="2641"/>
      <c r="E56" s="784"/>
      <c r="F56" s="809"/>
      <c r="I56" s="3160" t="s">
        <v>2353</v>
      </c>
      <c r="J56" s="3170"/>
      <c r="K56" s="3120" t="s">
        <v>2358</v>
      </c>
      <c r="L56" s="1910">
        <f ca="1">IF(L48&lt;J51,"——",L48-J51)</f>
        <v>39.229999999999997</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61" t="s">
        <v>2354</v>
      </c>
      <c r="J57" s="3162" t="str">
        <f ca="1">IF(OR(M47="住宅",J51&lt;L48,J56="是"),"——",J51-L48)</f>
        <v>——</v>
      </c>
      <c r="K57" s="3120"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61" t="s">
        <v>2355</v>
      </c>
      <c r="J58" s="3103" t="e">
        <f ca="1">IF(J55&lt;0.4,0.4,J55)</f>
        <v>#VALUE!</v>
      </c>
      <c r="K58" s="3120"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61" t="s">
        <v>2356</v>
      </c>
      <c r="J59" s="3162" t="str">
        <f ca="1">IF(OR(M47="住宅",J51&lt;L48,J56="是"),"——",ROUND(C29*J58,0))</f>
        <v>——</v>
      </c>
      <c r="K59" s="3120"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63" t="s">
        <v>2357</v>
      </c>
      <c r="J60" s="3164" t="str">
        <f ca="1">IF(OR(M47="住宅",J51&lt;L48,J56="是"),"0",ROUND(J59/(1+J52)^J53,0))</f>
        <v>0</v>
      </c>
      <c r="K60" s="3165" t="s">
        <v>2362</v>
      </c>
      <c r="L60" s="316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66" t="s">
        <v>2363</v>
      </c>
      <c r="J62" s="3167" t="s">
        <v>2364</v>
      </c>
      <c r="K62" s="3167" t="s">
        <v>2365</v>
      </c>
      <c r="L62" s="3167" t="s">
        <v>2346</v>
      </c>
      <c r="M62" s="316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66" t="s">
        <v>2366</v>
      </c>
      <c r="J63" s="3167">
        <v>70</v>
      </c>
      <c r="K63" s="3167">
        <v>50</v>
      </c>
      <c r="L63" s="3167">
        <v>80</v>
      </c>
      <c r="M63" s="316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66" t="s">
        <v>2367</v>
      </c>
      <c r="J64" s="3167">
        <v>50</v>
      </c>
      <c r="K64" s="3167">
        <v>35</v>
      </c>
      <c r="L64" s="316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66" t="s">
        <v>2368</v>
      </c>
      <c r="J65" s="3167">
        <v>40</v>
      </c>
      <c r="K65" s="3167">
        <v>30</v>
      </c>
      <c r="L65" s="3167">
        <v>50</v>
      </c>
      <c r="M65" s="3169">
        <v>0.02</v>
      </c>
      <c r="O65" s="2397" t="s">
        <v>2371</v>
      </c>
      <c r="P65" s="2398" t="s">
        <v>2372</v>
      </c>
      <c r="Q65" s="2399" t="s">
        <v>2373</v>
      </c>
      <c r="R65" s="2398" t="s">
        <v>2374</v>
      </c>
    </row>
    <row r="66" spans="1:18" s="2061" customFormat="1" ht="24.75" thickBot="1">
      <c r="A66" s="797" t="s">
        <v>1770</v>
      </c>
      <c r="B66" s="3011"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H1" zoomScale="80" zoomScaleNormal="80" workbookViewId="0">
      <selection activeCell="R31" sqref="R31"/>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88" t="s">
        <v>2572</v>
      </c>
      <c r="C1" s="3588"/>
      <c r="D1" s="3588"/>
      <c r="E1" s="3588"/>
      <c r="F1" s="3588"/>
      <c r="G1" s="3587" t="s">
        <v>2573</v>
      </c>
      <c r="H1" s="3587"/>
      <c r="I1" s="3587"/>
      <c r="J1" s="3587"/>
      <c r="K1" s="3587"/>
      <c r="L1" s="3587"/>
      <c r="N1" s="3587" t="s">
        <v>2574</v>
      </c>
      <c r="O1" s="3587"/>
      <c r="P1" s="3587"/>
      <c r="Q1" s="3587"/>
      <c r="R1" s="2656"/>
      <c r="S1" s="3587" t="s">
        <v>2575</v>
      </c>
      <c r="T1" s="3587"/>
      <c r="U1" s="3587"/>
      <c r="V1" s="3587"/>
      <c r="X1" s="3586" t="s">
        <v>2635</v>
      </c>
      <c r="Y1" s="3587"/>
      <c r="Z1" s="3587"/>
      <c r="AA1" s="3587"/>
      <c r="AB1" s="3587"/>
      <c r="AD1" s="3586" t="s">
        <v>2639</v>
      </c>
      <c r="AE1" s="3587"/>
      <c r="AF1" s="3587"/>
      <c r="AG1" s="3587"/>
      <c r="AH1" s="3587"/>
    </row>
    <row r="2" spans="1:34" s="2758" customFormat="1" ht="14.25" thickBot="1">
      <c r="B2" s="2765" t="s">
        <v>2576</v>
      </c>
      <c r="C2" s="2765" t="s">
        <v>2637</v>
      </c>
      <c r="D2" s="2759" t="s">
        <v>1641</v>
      </c>
      <c r="E2" s="2759" t="s">
        <v>1945</v>
      </c>
      <c r="F2" s="2765" t="s">
        <v>2638</v>
      </c>
      <c r="G2" s="2762"/>
      <c r="H2" s="2761"/>
      <c r="I2" s="2765" t="s">
        <v>2953</v>
      </c>
      <c r="J2" s="2759" t="s">
        <v>2955</v>
      </c>
      <c r="K2" s="2759" t="s">
        <v>2956</v>
      </c>
      <c r="L2" s="2765" t="s">
        <v>2957</v>
      </c>
      <c r="N2" s="2765" t="s">
        <v>2576</v>
      </c>
      <c r="O2" s="2759" t="s">
        <v>2954</v>
      </c>
      <c r="P2" s="2759" t="s">
        <v>1945</v>
      </c>
      <c r="Q2" s="2765" t="s">
        <v>2638</v>
      </c>
      <c r="R2" s="2760"/>
      <c r="S2" s="2765" t="s">
        <v>2576</v>
      </c>
      <c r="T2" s="2759" t="s">
        <v>2954</v>
      </c>
      <c r="U2" s="2759" t="s">
        <v>1945</v>
      </c>
      <c r="V2" s="2765" t="s">
        <v>2638</v>
      </c>
      <c r="X2" s="2765" t="s">
        <v>2576</v>
      </c>
      <c r="Y2" s="2765" t="s">
        <v>2637</v>
      </c>
      <c r="Z2" s="2759" t="s">
        <v>1641</v>
      </c>
      <c r="AA2" s="2759" t="s">
        <v>1945</v>
      </c>
      <c r="AB2" s="2765" t="s">
        <v>2638</v>
      </c>
      <c r="AD2" s="2765" t="s">
        <v>2576</v>
      </c>
      <c r="AE2" s="2765" t="s">
        <v>2637</v>
      </c>
      <c r="AF2" s="2759" t="s">
        <v>1641</v>
      </c>
      <c r="AG2" s="2759" t="s">
        <v>1945</v>
      </c>
      <c r="AH2" s="2765" t="s">
        <v>2638</v>
      </c>
    </row>
    <row r="3" spans="1:34" s="3127" customFormat="1" ht="14.25">
      <c r="A3" s="3139" t="s">
        <v>2966</v>
      </c>
      <c r="B3" s="3128"/>
      <c r="C3" s="3128"/>
      <c r="D3" s="3129"/>
      <c r="E3" s="3129"/>
      <c r="F3" s="3128"/>
      <c r="G3" s="3130"/>
      <c r="H3" s="3131"/>
      <c r="I3" s="3138">
        <f>ROUND(AVERAGE($I4:$I27),2)</f>
        <v>2.04</v>
      </c>
      <c r="J3" s="3138">
        <f>ROUND(AVERAGE($J4:$J27),2)</f>
        <v>1.44</v>
      </c>
      <c r="K3" s="3138">
        <f>ROUND(AVERAGE($K4:$K27),2)</f>
        <v>2.23</v>
      </c>
      <c r="L3" s="3138">
        <f>ROUND(AVERAGE($L4:$L27),2)</f>
        <v>1.4</v>
      </c>
      <c r="N3" s="3130"/>
      <c r="O3" s="3132"/>
      <c r="P3" s="3132"/>
      <c r="Q3" s="3132"/>
      <c r="R3" s="3132"/>
      <c r="S3" s="3130"/>
      <c r="T3" s="3132"/>
      <c r="U3" s="3132"/>
      <c r="V3" s="3132"/>
      <c r="W3" s="3135"/>
      <c r="X3" s="3133">
        <f>ROUND(SUMPRODUCT(PRODUCT(1+N3:N$26)),4)</f>
        <v>1.5422</v>
      </c>
      <c r="Y3" s="3133">
        <f>ROUND(SUMPRODUCT(PRODUCT(1+O3:O$26)),4)</f>
        <v>1.3557999999999999</v>
      </c>
      <c r="Z3" s="3133">
        <f t="shared" ref="Z3" si="0">Y3</f>
        <v>1.3557999999999999</v>
      </c>
      <c r="AA3" s="3133">
        <f>ROUND(SUMPRODUCT(PRODUCT(1+P3:P$26)),4)</f>
        <v>1.6036999999999999</v>
      </c>
      <c r="AB3" s="3133">
        <f>ROUND(SUMPRODUCT(PRODUCT(1+Q3:Q$26)),4)</f>
        <v>1.3573</v>
      </c>
      <c r="AD3" s="3134">
        <f>ROUND(AVERAGE(I3:I$27)/100,4)</f>
        <v>2.0400000000000001E-2</v>
      </c>
      <c r="AE3" s="3134">
        <f>ROUND(AVERAGE(J3:J$27)/100,4)</f>
        <v>1.44E-2</v>
      </c>
      <c r="AF3" s="3134">
        <f t="shared" ref="AF3:AF25" si="1">AE3</f>
        <v>1.44E-2</v>
      </c>
      <c r="AG3" s="3134">
        <f>ROUND(AVERAGE(K3:K$27)/100,4)</f>
        <v>2.23E-2</v>
      </c>
      <c r="AH3" s="3134">
        <f>ROUND(AVERAGE(L3:L$27)/100,4)</f>
        <v>1.4E-2</v>
      </c>
    </row>
    <row r="4" spans="1:34" s="2751" customFormat="1" ht="14.25">
      <c r="B4" s="2752"/>
      <c r="C4" s="2752"/>
      <c r="D4" s="2753"/>
      <c r="E4" s="2753"/>
      <c r="F4" s="2752"/>
      <c r="G4" s="2757"/>
      <c r="H4" s="2754"/>
      <c r="I4" s="3121"/>
      <c r="J4" s="3121"/>
      <c r="K4" s="3121"/>
      <c r="L4" s="3121"/>
      <c r="N4" s="2757"/>
      <c r="O4" s="2755"/>
      <c r="P4" s="2755"/>
      <c r="Q4" s="2755"/>
      <c r="R4" s="2755"/>
      <c r="S4" s="2757"/>
      <c r="T4" s="2755"/>
      <c r="U4" s="2755"/>
      <c r="V4" s="2755"/>
      <c r="W4" s="3136"/>
      <c r="X4" s="2756"/>
      <c r="Y4" s="2756"/>
      <c r="Z4" s="2756"/>
      <c r="AA4" s="2756"/>
      <c r="AB4" s="2756"/>
      <c r="AD4" s="2676"/>
      <c r="AE4" s="2676"/>
      <c r="AF4" s="2676"/>
      <c r="AG4" s="2676"/>
      <c r="AH4" s="2676"/>
    </row>
    <row r="5" spans="1:34" s="3277" customFormat="1" ht="13.5" thickBot="1">
      <c r="A5" s="3272" t="s">
        <v>3183</v>
      </c>
      <c r="B5" s="3273">
        <f t="shared" ref="B5:C8" si="2">B6*(1+N5)</f>
        <v>474.30670301923408</v>
      </c>
      <c r="C5" s="3273">
        <f t="shared" si="2"/>
        <v>349.50705005996491</v>
      </c>
      <c r="D5" s="3273">
        <f t="shared" ref="D5:D8" si="3">C5</f>
        <v>349.50705005996491</v>
      </c>
      <c r="E5" s="3273">
        <f t="shared" ref="E5:F8" si="4">E6*(1+P5)</f>
        <v>678.22831959706957</v>
      </c>
      <c r="F5" s="3273">
        <f t="shared" si="4"/>
        <v>312.0556832169558</v>
      </c>
      <c r="G5" s="3274">
        <v>2019</v>
      </c>
      <c r="H5" s="3275">
        <v>3</v>
      </c>
      <c r="I5" s="3276">
        <v>0</v>
      </c>
      <c r="J5" s="3276">
        <v>0</v>
      </c>
      <c r="K5" s="3276">
        <v>0</v>
      </c>
      <c r="L5" s="3276">
        <v>0</v>
      </c>
      <c r="N5" s="3278">
        <f t="shared" ref="N5:Q8" si="5">I5/100</f>
        <v>0</v>
      </c>
      <c r="O5" s="3278">
        <f t="shared" si="5"/>
        <v>0</v>
      </c>
      <c r="P5" s="3278">
        <f t="shared" si="5"/>
        <v>0</v>
      </c>
      <c r="Q5" s="3278">
        <f t="shared" si="5"/>
        <v>0</v>
      </c>
      <c r="R5" s="3279"/>
      <c r="S5" s="3280"/>
      <c r="T5" s="3279"/>
      <c r="U5" s="3279"/>
      <c r="V5" s="3279"/>
      <c r="W5" s="3137" t="s">
        <v>3184</v>
      </c>
      <c r="X5" s="3281">
        <f>ROUND(SUMPRODUCT(PRODUCT(1+N5:N$27)),4)</f>
        <v>1.5880000000000001</v>
      </c>
      <c r="Y5" s="3281">
        <f>ROUND(SUMPRODUCT(PRODUCT(1+O5:O$27)),4)</f>
        <v>1.3875999999999999</v>
      </c>
      <c r="Z5" s="3281">
        <f t="shared" ref="Z5:Z8" si="6">Y5</f>
        <v>1.3875999999999999</v>
      </c>
      <c r="AA5" s="3281">
        <f>ROUND(SUMPRODUCT(PRODUCT(1+P5:P$27)),4)</f>
        <v>1.6563000000000001</v>
      </c>
      <c r="AB5" s="3281">
        <f>ROUND(SUMPRODUCT(PRODUCT(1+Q5:Q$27)),4)</f>
        <v>1.3756999999999999</v>
      </c>
      <c r="AD5" s="3282">
        <f>ROUND(AVERAGE(I5:I$27)/100,4)</f>
        <v>2.0400000000000001E-2</v>
      </c>
      <c r="AE5" s="3282">
        <f>ROUND(AVERAGE(J5:J$27)/100,4)</f>
        <v>1.44E-2</v>
      </c>
      <c r="AF5" s="3282">
        <f t="shared" ref="AF5:AF8" si="7">AE5</f>
        <v>1.44E-2</v>
      </c>
      <c r="AG5" s="3282">
        <f>ROUND(AVERAGE(K5:K$27)/100,4)</f>
        <v>2.23E-2</v>
      </c>
      <c r="AH5" s="3282">
        <f>ROUND(AVERAGE(L5:L$27)/100,4)</f>
        <v>1.4E-2</v>
      </c>
    </row>
    <row r="6" spans="1:34" s="3295" customFormat="1">
      <c r="A6" s="3283" t="s">
        <v>3185</v>
      </c>
      <c r="B6" s="3284">
        <f t="shared" si="2"/>
        <v>474.30670301923408</v>
      </c>
      <c r="C6" s="3284">
        <f t="shared" si="2"/>
        <v>349.50705005996491</v>
      </c>
      <c r="D6" s="3284">
        <f t="shared" si="3"/>
        <v>349.50705005996491</v>
      </c>
      <c r="E6" s="3284">
        <f t="shared" si="4"/>
        <v>678.22831959706957</v>
      </c>
      <c r="F6" s="3284">
        <f t="shared" si="4"/>
        <v>312.0556832169558</v>
      </c>
      <c r="G6" s="3274">
        <v>2019</v>
      </c>
      <c r="H6" s="3285">
        <v>2</v>
      </c>
      <c r="I6" s="3286">
        <v>1.53</v>
      </c>
      <c r="J6" s="3286">
        <v>1.01</v>
      </c>
      <c r="K6" s="3286">
        <v>1.62</v>
      </c>
      <c r="L6" s="3287">
        <v>1.25</v>
      </c>
      <c r="M6" s="3288"/>
      <c r="N6" s="3289">
        <f>I6/100</f>
        <v>1.5300000000000001E-2</v>
      </c>
      <c r="O6" s="3290">
        <f t="shared" si="5"/>
        <v>1.01E-2</v>
      </c>
      <c r="P6" s="3290">
        <f t="shared" si="5"/>
        <v>1.6200000000000003E-2</v>
      </c>
      <c r="Q6" s="3290">
        <f t="shared" si="5"/>
        <v>1.2500000000000001E-2</v>
      </c>
      <c r="R6" s="3291"/>
      <c r="S6" s="3292"/>
      <c r="T6" s="3293"/>
      <c r="U6" s="3293"/>
      <c r="V6" s="3293"/>
      <c r="W6" s="3288"/>
      <c r="X6" s="3281">
        <f>ROUND(SUMPRODUCT(PRODUCT(1+N6:N$27)),4)</f>
        <v>1.5880000000000001</v>
      </c>
      <c r="Y6" s="3281">
        <f>ROUND(SUMPRODUCT(PRODUCT(1+O6:O$27)),4)</f>
        <v>1.3875999999999999</v>
      </c>
      <c r="Z6" s="3281">
        <f t="shared" si="6"/>
        <v>1.3875999999999999</v>
      </c>
      <c r="AA6" s="3281">
        <f>ROUND(SUMPRODUCT(PRODUCT(1+P6:P$27)),4)</f>
        <v>1.6563000000000001</v>
      </c>
      <c r="AB6" s="3281">
        <f>ROUND(SUMPRODUCT(PRODUCT(1+Q6:Q$27)),4)</f>
        <v>1.3756999999999999</v>
      </c>
      <c r="AC6" s="3288"/>
      <c r="AD6" s="3294">
        <f>ROUND(AVERAGE(I6:I$27)/100,4)</f>
        <v>2.1299999999999999E-2</v>
      </c>
      <c r="AE6" s="3294">
        <f>ROUND(AVERAGE(J6:J$27)/100,4)</f>
        <v>1.4999999999999999E-2</v>
      </c>
      <c r="AF6" s="3294">
        <f t="shared" si="7"/>
        <v>1.4999999999999999E-2</v>
      </c>
      <c r="AG6" s="3294">
        <f>ROUND(AVERAGE(K6:K$27)/100,4)</f>
        <v>2.3300000000000001E-2</v>
      </c>
      <c r="AH6" s="3294">
        <f>ROUND(AVERAGE(L6:L$27)/100,4)</f>
        <v>1.46E-2</v>
      </c>
    </row>
    <row r="7" spans="1:34" s="3295" customFormat="1" ht="13.5" thickBot="1">
      <c r="A7" s="3283" t="s">
        <v>3186</v>
      </c>
      <c r="B7" s="3284">
        <f t="shared" si="2"/>
        <v>467.15916775261894</v>
      </c>
      <c r="C7" s="3284">
        <f t="shared" si="2"/>
        <v>346.01232557169084</v>
      </c>
      <c r="D7" s="3284">
        <f t="shared" si="3"/>
        <v>346.01232557169084</v>
      </c>
      <c r="E7" s="3284">
        <f t="shared" si="4"/>
        <v>667.41617752122568</v>
      </c>
      <c r="F7" s="3284">
        <f t="shared" si="4"/>
        <v>308.20314391798104</v>
      </c>
      <c r="G7" s="3274">
        <v>2019</v>
      </c>
      <c r="H7" s="3296">
        <v>1</v>
      </c>
      <c r="I7" s="3296">
        <v>0.6</v>
      </c>
      <c r="J7" s="3296">
        <v>0.37</v>
      </c>
      <c r="K7" s="3296">
        <v>0.63</v>
      </c>
      <c r="L7" s="3297">
        <v>1.1299999999999999</v>
      </c>
      <c r="M7" s="3288"/>
      <c r="N7" s="3289">
        <f t="shared" si="5"/>
        <v>6.0000000000000001E-3</v>
      </c>
      <c r="O7" s="3290">
        <f t="shared" si="5"/>
        <v>3.7000000000000002E-3</v>
      </c>
      <c r="P7" s="3290">
        <f t="shared" si="5"/>
        <v>6.3E-3</v>
      </c>
      <c r="Q7" s="3290">
        <f t="shared" si="5"/>
        <v>1.1299999999999999E-2</v>
      </c>
      <c r="R7" s="3291"/>
      <c r="S7" s="3292">
        <f>B7/B8-1</f>
        <v>6.0000000000000053E-3</v>
      </c>
      <c r="T7" s="3293">
        <f>C7/C8-1</f>
        <v>3.7000000000000366E-3</v>
      </c>
      <c r="U7" s="3293">
        <f>E7/E8-1</f>
        <v>6.2999999999999723E-3</v>
      </c>
      <c r="V7" s="3293">
        <f>F7/F8-1</f>
        <v>1.1300000000000088E-2</v>
      </c>
      <c r="W7" s="3288"/>
      <c r="X7" s="3281">
        <f>ROUND(SUMPRODUCT(PRODUCT(1+N7:N$27)),4)</f>
        <v>1.5641</v>
      </c>
      <c r="Y7" s="3281">
        <f>ROUND(SUMPRODUCT(PRODUCT(1+O7:O$27)),4)</f>
        <v>1.3736999999999999</v>
      </c>
      <c r="Z7" s="3281">
        <f t="shared" si="6"/>
        <v>1.3736999999999999</v>
      </c>
      <c r="AA7" s="3281">
        <f>ROUND(SUMPRODUCT(PRODUCT(1+P7:P$27)),4)</f>
        <v>1.6298999999999999</v>
      </c>
      <c r="AB7" s="3281">
        <f>ROUND(SUMPRODUCT(PRODUCT(1+Q7:Q$27)),4)</f>
        <v>1.3588</v>
      </c>
      <c r="AC7" s="3288"/>
      <c r="AD7" s="3294">
        <f>ROUND(AVERAGE(I7:I$27)/100,4)</f>
        <v>2.1600000000000001E-2</v>
      </c>
      <c r="AE7" s="3294">
        <f>ROUND(AVERAGE(J7:J$27)/100,4)</f>
        <v>1.5299999999999999E-2</v>
      </c>
      <c r="AF7" s="3294">
        <f t="shared" si="7"/>
        <v>1.5299999999999999E-2</v>
      </c>
      <c r="AG7" s="3294">
        <f>ROUND(AVERAGE(K7:K$27)/100,4)</f>
        <v>2.3699999999999999E-2</v>
      </c>
      <c r="AH7" s="3294">
        <f>ROUND(AVERAGE(L7:L$27)/100,4)</f>
        <v>1.47E-2</v>
      </c>
    </row>
    <row r="8" spans="1:34" s="3295" customFormat="1" ht="13.5" thickBot="1">
      <c r="A8" s="3283" t="s">
        <v>3187</v>
      </c>
      <c r="B8" s="3298">
        <f t="shared" si="2"/>
        <v>464.37293017158942</v>
      </c>
      <c r="C8" s="3298">
        <f t="shared" si="2"/>
        <v>344.73679941385956</v>
      </c>
      <c r="D8" s="3298">
        <f t="shared" si="3"/>
        <v>344.73679941385956</v>
      </c>
      <c r="E8" s="3298">
        <f t="shared" si="4"/>
        <v>663.2377795103107</v>
      </c>
      <c r="F8" s="3299">
        <f t="shared" si="4"/>
        <v>304.75936311478398</v>
      </c>
      <c r="G8" s="3300">
        <v>2018</v>
      </c>
      <c r="H8" s="3285">
        <v>4</v>
      </c>
      <c r="I8" s="3285">
        <v>0.96</v>
      </c>
      <c r="J8" s="3285">
        <v>1.03</v>
      </c>
      <c r="K8" s="3285">
        <v>0.92</v>
      </c>
      <c r="L8" s="3301">
        <v>1.29</v>
      </c>
      <c r="M8" s="3288"/>
      <c r="N8" s="3289">
        <f t="shared" si="5"/>
        <v>9.5999999999999992E-3</v>
      </c>
      <c r="O8" s="3290">
        <f t="shared" si="5"/>
        <v>1.03E-2</v>
      </c>
      <c r="P8" s="3290">
        <f t="shared" si="5"/>
        <v>9.1999999999999998E-3</v>
      </c>
      <c r="Q8" s="3290">
        <f t="shared" si="5"/>
        <v>1.29E-2</v>
      </c>
      <c r="R8" s="3291"/>
      <c r="S8" s="3302"/>
      <c r="T8" s="3303"/>
      <c r="U8" s="3303"/>
      <c r="V8" s="3303"/>
      <c r="W8" s="3288"/>
      <c r="X8" s="3281">
        <f>ROUND(SUMPRODUCT(PRODUCT(1+N8:N$27)),4)</f>
        <v>1.5548</v>
      </c>
      <c r="Y8" s="3281">
        <f>ROUND(SUMPRODUCT(PRODUCT(1+O8:O$27)),4)</f>
        <v>1.3686</v>
      </c>
      <c r="Z8" s="3281">
        <f t="shared" si="6"/>
        <v>1.3686</v>
      </c>
      <c r="AA8" s="3281">
        <f>ROUND(SUMPRODUCT(PRODUCT(1+P8:P$27)),4)</f>
        <v>1.6196999999999999</v>
      </c>
      <c r="AB8" s="3281">
        <f>ROUND(SUMPRODUCT(PRODUCT(1+Q8:Q$27)),4)</f>
        <v>1.3435999999999999</v>
      </c>
      <c r="AC8" s="3288"/>
      <c r="AD8" s="3294">
        <f>ROUND(AVERAGE(I8:I$27)/100,4)</f>
        <v>2.24E-2</v>
      </c>
      <c r="AE8" s="3294">
        <f>ROUND(AVERAGE(J8:J$27)/100,4)</f>
        <v>1.5800000000000002E-2</v>
      </c>
      <c r="AF8" s="3294">
        <f t="shared" si="7"/>
        <v>1.5800000000000002E-2</v>
      </c>
      <c r="AG8" s="3294">
        <f>ROUND(AVERAGE(K8:K$27)/100,4)</f>
        <v>2.4500000000000001E-2</v>
      </c>
      <c r="AH8" s="3294">
        <f>ROUND(AVERAGE(L8:L$27)/100,4)</f>
        <v>1.49E-2</v>
      </c>
    </row>
    <row r="9" spans="1:34" s="2763" customFormat="1" ht="13.5" thickBot="1">
      <c r="A9" s="2657" t="s">
        <v>2976</v>
      </c>
      <c r="B9" s="2671">
        <f>B10*(1+N9)</f>
        <v>459.95733971036987</v>
      </c>
      <c r="C9" s="2671">
        <f t="shared" ref="C9" si="8">C10*(1+O9)</f>
        <v>341.22221064422405</v>
      </c>
      <c r="D9" s="2671">
        <f t="shared" ref="D9" si="9">C9</f>
        <v>341.22221064422405</v>
      </c>
      <c r="E9" s="2671">
        <f t="shared" ref="E9" si="10">E10*(1+P9)</f>
        <v>657.19161663724799</v>
      </c>
      <c r="F9" s="2671">
        <f t="shared" ref="F9" si="11">F10*(1+Q9)</f>
        <v>300.87803644464805</v>
      </c>
      <c r="G9" s="3126"/>
      <c r="H9" s="2661">
        <v>3</v>
      </c>
      <c r="I9" s="2661">
        <v>1.51</v>
      </c>
      <c r="J9" s="2661">
        <v>1.41</v>
      </c>
      <c r="K9" s="2661">
        <v>1.52</v>
      </c>
      <c r="L9" s="2672">
        <v>1.74</v>
      </c>
      <c r="M9" s="2665"/>
      <c r="N9" s="2666">
        <f t="shared" ref="N9" si="12">I9/100</f>
        <v>1.5100000000000001E-2</v>
      </c>
      <c r="O9" s="2667">
        <f t="shared" ref="O9" si="13">J9/100</f>
        <v>1.41E-2</v>
      </c>
      <c r="P9" s="2667">
        <f t="shared" ref="P9" si="14">K9/100</f>
        <v>1.52E-2</v>
      </c>
      <c r="Q9" s="2667">
        <f t="shared" ref="Q9" si="15">L9/100</f>
        <v>1.7399999999999999E-2</v>
      </c>
      <c r="R9" s="2668"/>
      <c r="S9" s="2674"/>
      <c r="T9" s="2675"/>
      <c r="U9" s="2675"/>
      <c r="V9" s="2675"/>
      <c r="W9" s="2665"/>
      <c r="X9" s="3281">
        <f>ROUND(SUMPRODUCT(PRODUCT(1+N9:N$27)),4)</f>
        <v>1.54</v>
      </c>
      <c r="Y9" s="3281">
        <f>ROUND(SUMPRODUCT(PRODUCT(1+O9:O$27)),4)</f>
        <v>1.3547</v>
      </c>
      <c r="Z9" s="3281">
        <f t="shared" ref="Z9:Z25" si="16">Y9</f>
        <v>1.3547</v>
      </c>
      <c r="AA9" s="3281">
        <f>ROUND(SUMPRODUCT(PRODUCT(1+P9:P$27)),4)</f>
        <v>1.605</v>
      </c>
      <c r="AB9" s="3281">
        <f>ROUND(SUMPRODUCT(PRODUCT(1+Q9:Q$27)),4)</f>
        <v>1.3265</v>
      </c>
      <c r="AC9" s="2756"/>
      <c r="AD9" s="2676">
        <f>ROUND(AVERAGE(I9:I$27)/100,4)</f>
        <v>2.3099999999999999E-2</v>
      </c>
      <c r="AE9" s="2676">
        <f>ROUND(AVERAGE(J9:J$27)/100,4)</f>
        <v>1.61E-2</v>
      </c>
      <c r="AF9" s="2676">
        <f t="shared" ref="AF9" si="17">AE9</f>
        <v>1.61E-2</v>
      </c>
      <c r="AG9" s="2676">
        <f>ROUND(AVERAGE(K9:K$27)/100,4)</f>
        <v>2.53E-2</v>
      </c>
      <c r="AH9" s="2676">
        <f>ROUND(AVERAGE(L9:L$27)/100,4)</f>
        <v>1.4999999999999999E-2</v>
      </c>
    </row>
    <row r="10" spans="1:34" s="2763" customFormat="1" ht="13.5" thickBot="1">
      <c r="A10" s="2657" t="s">
        <v>2977</v>
      </c>
      <c r="B10" s="2671">
        <f>B11*(1+N10)</f>
        <v>453.11529869999993</v>
      </c>
      <c r="C10" s="2671">
        <f t="shared" ref="C10" si="18">C11*(1+O10)</f>
        <v>336.47787264000004</v>
      </c>
      <c r="D10" s="2671">
        <f t="shared" ref="D10" si="19">C10</f>
        <v>336.47787264000004</v>
      </c>
      <c r="E10" s="2671">
        <f t="shared" ref="E10" si="20">E11*(1+P10)</f>
        <v>647.35186823999993</v>
      </c>
      <c r="F10" s="2671">
        <f t="shared" ref="F10" si="21">F11*(1+Q10)</f>
        <v>295.73229452000004</v>
      </c>
      <c r="G10" s="3126"/>
      <c r="H10" s="2661">
        <v>2</v>
      </c>
      <c r="I10" s="2661">
        <v>1.49</v>
      </c>
      <c r="J10" s="2661">
        <v>0.96</v>
      </c>
      <c r="K10" s="2661">
        <v>1.58</v>
      </c>
      <c r="L10" s="2672">
        <v>2.44</v>
      </c>
      <c r="M10" s="2665"/>
      <c r="N10" s="2666">
        <f t="shared" ref="N10" si="22">I10/100</f>
        <v>1.49E-2</v>
      </c>
      <c r="O10" s="2667">
        <f t="shared" ref="O10" si="23">J10/100</f>
        <v>9.5999999999999992E-3</v>
      </c>
      <c r="P10" s="2667">
        <f t="shared" ref="P10" si="24">K10/100</f>
        <v>1.5800000000000002E-2</v>
      </c>
      <c r="Q10" s="2667">
        <f t="shared" ref="Q10" si="25">L10/100</f>
        <v>2.4399999999999998E-2</v>
      </c>
      <c r="R10" s="2668"/>
      <c r="S10" s="2674"/>
      <c r="T10" s="2675"/>
      <c r="U10" s="2675"/>
      <c r="V10" s="2675"/>
      <c r="W10" s="2665"/>
      <c r="X10" s="3281">
        <f>ROUND(SUMPRODUCT(PRODUCT(1+N10:N$27)),4)</f>
        <v>1.5170999999999999</v>
      </c>
      <c r="Y10" s="3281">
        <f>ROUND(SUMPRODUCT(PRODUCT(1+O10:O$27)),4)</f>
        <v>1.3358000000000001</v>
      </c>
      <c r="Z10" s="3281">
        <f t="shared" si="16"/>
        <v>1.3358000000000001</v>
      </c>
      <c r="AA10" s="3281">
        <f>ROUND(SUMPRODUCT(PRODUCT(1+P10:P$27)),4)</f>
        <v>1.5809</v>
      </c>
      <c r="AB10" s="3281">
        <f>ROUND(SUMPRODUCT(PRODUCT(1+Q10:Q$27)),4)</f>
        <v>1.3038000000000001</v>
      </c>
      <c r="AC10" s="2665"/>
      <c r="AD10" s="2676">
        <f>ROUND(AVERAGE(I10:I$27)/100,4)</f>
        <v>2.35E-2</v>
      </c>
      <c r="AE10" s="2676">
        <f>ROUND(AVERAGE(J10:J$27)/100,4)</f>
        <v>1.6199999999999999E-2</v>
      </c>
      <c r="AF10" s="2676">
        <f t="shared" ref="AF10" si="26">AE10</f>
        <v>1.6199999999999999E-2</v>
      </c>
      <c r="AG10" s="2676">
        <f>ROUND(AVERAGE(K10:K$27)/100,4)</f>
        <v>2.5899999999999999E-2</v>
      </c>
      <c r="AH10" s="2676">
        <f>ROUND(AVERAGE(L10:L$27)/100,4)</f>
        <v>1.49E-2</v>
      </c>
    </row>
    <row r="11" spans="1:34" s="2763" customFormat="1" ht="13.5" thickBot="1">
      <c r="A11" s="2657" t="s">
        <v>2972</v>
      </c>
      <c r="B11" s="2671">
        <f>B12*(1+N11)</f>
        <v>446.46299999999997</v>
      </c>
      <c r="C11" s="2671">
        <f t="shared" ref="C11" si="27">C12*(1+O11)</f>
        <v>333.27840000000003</v>
      </c>
      <c r="D11" s="2671">
        <f t="shared" ref="D11:D16" si="28">C11</f>
        <v>333.27840000000003</v>
      </c>
      <c r="E11" s="2671">
        <f t="shared" ref="E11" si="29">E12*(1+P11)</f>
        <v>637.28279999999995</v>
      </c>
      <c r="F11" s="2671">
        <f t="shared" ref="F11" si="30">F12*(1+Q11)</f>
        <v>288.68830000000003</v>
      </c>
      <c r="G11" s="3126"/>
      <c r="H11" s="2661">
        <v>1</v>
      </c>
      <c r="I11" s="2661">
        <v>1.7</v>
      </c>
      <c r="J11" s="2661">
        <v>1.92</v>
      </c>
      <c r="K11" s="2661">
        <v>1.64</v>
      </c>
      <c r="L11" s="2672">
        <v>2.0099999999999998</v>
      </c>
      <c r="M11" s="2665"/>
      <c r="N11" s="2666">
        <f t="shared" ref="N11:N16" si="31">I11/100</f>
        <v>1.7000000000000001E-2</v>
      </c>
      <c r="O11" s="2667">
        <f t="shared" ref="O11" si="32">J11/100</f>
        <v>1.9199999999999998E-2</v>
      </c>
      <c r="P11" s="2667">
        <f t="shared" ref="P11" si="33">K11/100</f>
        <v>1.6399999999999998E-2</v>
      </c>
      <c r="Q11" s="2667">
        <f t="shared" ref="Q11" si="34">L11/100</f>
        <v>2.0099999999999996E-2</v>
      </c>
      <c r="R11" s="2668"/>
      <c r="S11" s="2674">
        <f>B11/B12-1</f>
        <v>1.6999999999999904E-2</v>
      </c>
      <c r="T11" s="2675">
        <f>C11/C12-1</f>
        <v>1.9200000000000106E-2</v>
      </c>
      <c r="U11" s="2675">
        <f>E11/E12-1</f>
        <v>1.639999999999997E-2</v>
      </c>
      <c r="V11" s="2675">
        <f>F11/F12-1</f>
        <v>2.0100000000000007E-2</v>
      </c>
      <c r="W11" s="2665"/>
      <c r="X11" s="3281">
        <f>ROUND(SUMPRODUCT(PRODUCT(1+N11:N$27)),4)</f>
        <v>1.4947999999999999</v>
      </c>
      <c r="Y11" s="3281">
        <f>ROUND(SUMPRODUCT(PRODUCT(1+O11:O$27)),4)</f>
        <v>1.3230999999999999</v>
      </c>
      <c r="Z11" s="3281">
        <f t="shared" si="16"/>
        <v>1.3230999999999999</v>
      </c>
      <c r="AA11" s="3281">
        <f>ROUND(SUMPRODUCT(PRODUCT(1+P11:P$27)),4)</f>
        <v>1.5564</v>
      </c>
      <c r="AB11" s="3281">
        <f>ROUND(SUMPRODUCT(PRODUCT(1+Q11:Q$27)),4)</f>
        <v>1.2726999999999999</v>
      </c>
      <c r="AC11" s="2665"/>
      <c r="AD11" s="2676">
        <f>ROUND(AVERAGE(I11:I$27)/100,4)</f>
        <v>2.4E-2</v>
      </c>
      <c r="AE11" s="2676">
        <f>ROUND(AVERAGE(J11:J$27)/100,4)</f>
        <v>1.66E-2</v>
      </c>
      <c r="AF11" s="2676">
        <f t="shared" ref="AF11" si="35">AE11</f>
        <v>1.66E-2</v>
      </c>
      <c r="AG11" s="2676">
        <f>ROUND(AVERAGE(K11:K$27)/100,4)</f>
        <v>2.6499999999999999E-2</v>
      </c>
      <c r="AH11" s="2676">
        <f>ROUND(AVERAGE(L11:L$27)/100,4)</f>
        <v>1.43E-2</v>
      </c>
    </row>
    <row r="12" spans="1:34">
      <c r="A12" s="2657" t="s">
        <v>2964</v>
      </c>
      <c r="B12" s="3141">
        <v>439</v>
      </c>
      <c r="C12" s="3141">
        <v>327</v>
      </c>
      <c r="D12" s="3141">
        <f t="shared" si="28"/>
        <v>327</v>
      </c>
      <c r="E12" s="3141">
        <v>627</v>
      </c>
      <c r="F12" s="3142">
        <v>283</v>
      </c>
      <c r="G12" s="3124">
        <v>2017</v>
      </c>
      <c r="H12" s="2658">
        <v>4</v>
      </c>
      <c r="I12" s="2658">
        <v>1.71</v>
      </c>
      <c r="J12" s="2658">
        <v>1.78</v>
      </c>
      <c r="K12" s="2658">
        <v>1.71</v>
      </c>
      <c r="L12" s="2659">
        <v>1.43</v>
      </c>
      <c r="N12" s="2679">
        <f t="shared" si="31"/>
        <v>1.7100000000000001E-2</v>
      </c>
      <c r="O12" s="2680">
        <f t="shared" ref="O12" si="36">J12/100</f>
        <v>1.78E-2</v>
      </c>
      <c r="P12" s="2680">
        <f t="shared" ref="P12" si="37">K12/100</f>
        <v>1.7100000000000001E-2</v>
      </c>
      <c r="Q12" s="2680">
        <f t="shared" ref="Q12" si="38">L12/100</f>
        <v>1.43E-2</v>
      </c>
      <c r="R12" s="2668"/>
      <c r="S12" s="2669"/>
      <c r="T12" s="2670"/>
      <c r="U12" s="2670"/>
      <c r="V12" s="2670"/>
      <c r="X12" s="3281">
        <f>ROUND(SUMPRODUCT(PRODUCT(1+N12:N$27)),4)</f>
        <v>1.4698</v>
      </c>
      <c r="Y12" s="3281">
        <f>ROUND(SUMPRODUCT(PRODUCT(1+O12:O$27)),4)</f>
        <v>1.2982</v>
      </c>
      <c r="Z12" s="3281">
        <f t="shared" si="16"/>
        <v>1.2982</v>
      </c>
      <c r="AA12" s="3281">
        <f>ROUND(SUMPRODUCT(PRODUCT(1+P12:P$27)),4)</f>
        <v>1.5311999999999999</v>
      </c>
      <c r="AB12" s="3281">
        <f>ROUND(SUMPRODUCT(PRODUCT(1+Q12:Q$27)),4)</f>
        <v>1.2476</v>
      </c>
      <c r="AD12" s="2676">
        <f>ROUND(AVERAGE(I12:I$27)/100,4)</f>
        <v>2.4500000000000001E-2</v>
      </c>
      <c r="AE12" s="2676">
        <f>ROUND(AVERAGE(J12:J$27)/100,4)</f>
        <v>1.6500000000000001E-2</v>
      </c>
      <c r="AF12" s="2676">
        <f t="shared" si="1"/>
        <v>1.6500000000000001E-2</v>
      </c>
      <c r="AG12" s="2676">
        <f>ROUND(AVERAGE(K12:K$27)/100,4)</f>
        <v>2.7099999999999999E-2</v>
      </c>
      <c r="AH12" s="2676">
        <f>ROUND(AVERAGE(L12:L$27)/100,4)</f>
        <v>1.3899999999999999E-2</v>
      </c>
    </row>
    <row r="13" spans="1:34" s="2763" customFormat="1" ht="13.5" thickBot="1">
      <c r="A13" s="2657" t="s">
        <v>2967</v>
      </c>
      <c r="B13" s="2671">
        <f t="shared" ref="B13:C15" si="39">B14*(1+N13)</f>
        <v>431.80730811680002</v>
      </c>
      <c r="C13" s="2671">
        <f t="shared" si="39"/>
        <v>320.57880516480003</v>
      </c>
      <c r="D13" s="2671">
        <f t="shared" si="28"/>
        <v>320.57880516480003</v>
      </c>
      <c r="E13" s="2671">
        <f t="shared" ref="E13:F15" si="40">E14*(1+P13)</f>
        <v>615.96110553196797</v>
      </c>
      <c r="F13" s="2671">
        <f t="shared" si="40"/>
        <v>279.46777300108801</v>
      </c>
      <c r="G13" s="3126"/>
      <c r="H13" s="2661">
        <v>3</v>
      </c>
      <c r="I13" s="2661">
        <v>2.98</v>
      </c>
      <c r="J13" s="2661">
        <v>2.11</v>
      </c>
      <c r="K13" s="2661">
        <v>3.24</v>
      </c>
      <c r="L13" s="2672">
        <v>1.72</v>
      </c>
      <c r="M13" s="2665"/>
      <c r="N13" s="2666">
        <f t="shared" si="31"/>
        <v>2.98E-2</v>
      </c>
      <c r="O13" s="2684">
        <f t="shared" ref="O13:O14" si="41">J13/100</f>
        <v>2.1099999999999997E-2</v>
      </c>
      <c r="P13" s="2684">
        <f t="shared" ref="P13:P14" si="42">K13/100</f>
        <v>3.2400000000000005E-2</v>
      </c>
      <c r="Q13" s="2684">
        <f t="shared" ref="Q13:Q14" si="43">L13/100</f>
        <v>1.72E-2</v>
      </c>
      <c r="R13" s="2668"/>
      <c r="S13" s="2674"/>
      <c r="T13" s="2675"/>
      <c r="U13" s="2675"/>
      <c r="V13" s="2675"/>
      <c r="W13" s="2665"/>
      <c r="X13" s="3281">
        <f>ROUND(SUMPRODUCT(PRODUCT(1+N13:N$27)),4)</f>
        <v>1.4451000000000001</v>
      </c>
      <c r="Y13" s="3281">
        <f>ROUND(SUMPRODUCT(PRODUCT(1+O13:O$27)),4)</f>
        <v>1.2755000000000001</v>
      </c>
      <c r="Z13" s="3281">
        <f t="shared" si="16"/>
        <v>1.2755000000000001</v>
      </c>
      <c r="AA13" s="3281">
        <f>ROUND(SUMPRODUCT(PRODUCT(1+P13:P$27)),4)</f>
        <v>1.5055000000000001</v>
      </c>
      <c r="AB13" s="3281">
        <f>ROUND(SUMPRODUCT(PRODUCT(1+Q13:Q$27)),4)</f>
        <v>1.2301</v>
      </c>
      <c r="AC13" s="2665"/>
      <c r="AD13" s="2676">
        <f>ROUND(AVERAGE(I13:I$27)/100,4)</f>
        <v>2.4899999999999999E-2</v>
      </c>
      <c r="AE13" s="2676">
        <f>ROUND(AVERAGE(J13:J$27)/100,4)</f>
        <v>1.6400000000000001E-2</v>
      </c>
      <c r="AF13" s="2676">
        <f t="shared" si="1"/>
        <v>1.6400000000000001E-2</v>
      </c>
      <c r="AG13" s="2676">
        <f>ROUND(AVERAGE(K13:K$27)/100,4)</f>
        <v>2.7799999999999998E-2</v>
      </c>
      <c r="AH13" s="2676">
        <f>ROUND(AVERAGE(L13:L$27)/100,4)</f>
        <v>1.3899999999999999E-2</v>
      </c>
    </row>
    <row r="14" spans="1:34" s="2655" customFormat="1">
      <c r="A14" s="2657" t="s">
        <v>2577</v>
      </c>
      <c r="B14" s="2671">
        <f t="shared" si="39"/>
        <v>419.31181600000002</v>
      </c>
      <c r="C14" s="2671">
        <f t="shared" si="39"/>
        <v>313.95436800000004</v>
      </c>
      <c r="D14" s="2671">
        <f t="shared" si="28"/>
        <v>313.95436800000004</v>
      </c>
      <c r="E14" s="2671">
        <f t="shared" si="40"/>
        <v>596.63028431999999</v>
      </c>
      <c r="F14" s="2671">
        <f t="shared" si="40"/>
        <v>274.74220703999998</v>
      </c>
      <c r="G14" s="3125"/>
      <c r="H14" s="2662">
        <v>2</v>
      </c>
      <c r="I14" s="2662">
        <v>3.4</v>
      </c>
      <c r="J14" s="2662">
        <v>2</v>
      </c>
      <c r="K14" s="2662">
        <v>3.82</v>
      </c>
      <c r="L14" s="2673">
        <v>1.68</v>
      </c>
      <c r="N14" s="2666">
        <f t="shared" si="31"/>
        <v>3.4000000000000002E-2</v>
      </c>
      <c r="O14" s="2684">
        <f t="shared" si="41"/>
        <v>0.02</v>
      </c>
      <c r="P14" s="2684">
        <f t="shared" si="42"/>
        <v>3.8199999999999998E-2</v>
      </c>
      <c r="Q14" s="2684">
        <f t="shared" si="43"/>
        <v>1.6799999999999999E-2</v>
      </c>
      <c r="R14" s="2656"/>
      <c r="S14" s="2660"/>
      <c r="T14" s="2656"/>
      <c r="U14" s="2656"/>
      <c r="V14" s="2656"/>
      <c r="X14" s="3281">
        <f>ROUND(SUMPRODUCT(PRODUCT(1+N14:N$27)),4)</f>
        <v>1.4033</v>
      </c>
      <c r="Y14" s="3281">
        <f>ROUND(SUMPRODUCT(PRODUCT(1+O14:O$27)),4)</f>
        <v>1.2491000000000001</v>
      </c>
      <c r="Z14" s="3281">
        <f t="shared" si="16"/>
        <v>1.2491000000000001</v>
      </c>
      <c r="AA14" s="3281">
        <f>ROUND(SUMPRODUCT(PRODUCT(1+P14:P$27)),4)</f>
        <v>1.4581999999999999</v>
      </c>
      <c r="AB14" s="3281">
        <f>ROUND(SUMPRODUCT(PRODUCT(1+Q14:Q$27)),4)</f>
        <v>1.2093</v>
      </c>
      <c r="AD14" s="2676">
        <f>ROUND(AVERAGE(I14:I$27)/100,4)</f>
        <v>2.46E-2</v>
      </c>
      <c r="AE14" s="2676">
        <f>ROUND(AVERAGE(J14:J$27)/100,4)</f>
        <v>1.6E-2</v>
      </c>
      <c r="AF14" s="2676">
        <f t="shared" si="1"/>
        <v>1.6E-2</v>
      </c>
      <c r="AG14" s="2676">
        <f>ROUND(AVERAGE(K14:K$27)/100,4)</f>
        <v>2.75E-2</v>
      </c>
      <c r="AH14" s="2676">
        <f>ROUND(AVERAGE(L14:L$27)/100,4)</f>
        <v>1.37E-2</v>
      </c>
    </row>
    <row r="15" spans="1:34" s="2763" customFormat="1" ht="13.5" thickBot="1">
      <c r="A15" s="2657" t="s">
        <v>2578</v>
      </c>
      <c r="B15" s="2671">
        <f t="shared" si="39"/>
        <v>405.524</v>
      </c>
      <c r="C15" s="2671">
        <f t="shared" si="39"/>
        <v>307.79840000000002</v>
      </c>
      <c r="D15" s="2671">
        <f t="shared" si="28"/>
        <v>307.79840000000002</v>
      </c>
      <c r="E15" s="2671">
        <f t="shared" si="40"/>
        <v>574.67759999999998</v>
      </c>
      <c r="F15" s="2671">
        <f t="shared" si="40"/>
        <v>270.20280000000002</v>
      </c>
      <c r="G15" s="3126"/>
      <c r="H15" s="2661">
        <v>1</v>
      </c>
      <c r="I15" s="2661">
        <v>3.45</v>
      </c>
      <c r="J15" s="2661">
        <v>1.92</v>
      </c>
      <c r="K15" s="2661">
        <v>3.92</v>
      </c>
      <c r="L15" s="2672">
        <v>1.58</v>
      </c>
      <c r="M15" s="2665"/>
      <c r="N15" s="2674">
        <f t="shared" si="31"/>
        <v>3.4500000000000003E-2</v>
      </c>
      <c r="O15" s="2675">
        <f t="shared" ref="O15" si="44">J15/100</f>
        <v>1.9199999999999998E-2</v>
      </c>
      <c r="P15" s="2675">
        <f t="shared" ref="P15" si="45">K15/100</f>
        <v>3.9199999999999999E-2</v>
      </c>
      <c r="Q15" s="2675">
        <f t="shared" ref="Q15" si="46">L15/100</f>
        <v>1.5800000000000002E-2</v>
      </c>
      <c r="R15" s="2668"/>
      <c r="S15" s="2674">
        <f>B15/B16-1</f>
        <v>3.4499999999999975E-2</v>
      </c>
      <c r="T15" s="2675">
        <f>C15/C16-1</f>
        <v>1.9200000000000106E-2</v>
      </c>
      <c r="U15" s="2675">
        <f>E15/E16-1</f>
        <v>3.9199999999999902E-2</v>
      </c>
      <c r="V15" s="2675">
        <f>F15/F16-1</f>
        <v>1.5800000000000036E-2</v>
      </c>
      <c r="W15" s="2665"/>
      <c r="X15" s="3281">
        <f>ROUND(SUMPRODUCT(PRODUCT(1+N15:N$27)),4)</f>
        <v>1.3571</v>
      </c>
      <c r="Y15" s="3281">
        <f>ROUND(SUMPRODUCT(PRODUCT(1+O15:O$27)),4)</f>
        <v>1.2245999999999999</v>
      </c>
      <c r="Z15" s="3281">
        <f t="shared" si="16"/>
        <v>1.2245999999999999</v>
      </c>
      <c r="AA15" s="3281">
        <f>ROUND(SUMPRODUCT(PRODUCT(1+P15:P$27)),4)</f>
        <v>1.4046000000000001</v>
      </c>
      <c r="AB15" s="3281">
        <f>ROUND(SUMPRODUCT(PRODUCT(1+Q15:Q$27)),4)</f>
        <v>1.1893</v>
      </c>
      <c r="AC15" s="2665"/>
      <c r="AD15" s="2676">
        <f>ROUND(AVERAGE(I15:I$27)/100,4)</f>
        <v>2.3900000000000001E-2</v>
      </c>
      <c r="AE15" s="2676">
        <f>ROUND(AVERAGE(J15:J$27)/100,4)</f>
        <v>1.5699999999999999E-2</v>
      </c>
      <c r="AF15" s="2676">
        <f t="shared" si="1"/>
        <v>1.5699999999999999E-2</v>
      </c>
      <c r="AG15" s="2676">
        <f>ROUND(AVERAGE(K15:K$27)/100,4)</f>
        <v>2.6599999999999999E-2</v>
      </c>
      <c r="AH15" s="2676">
        <f>ROUND(AVERAGE(L15:L$27)/100,4)</f>
        <v>1.34E-2</v>
      </c>
    </row>
    <row r="16" spans="1:34">
      <c r="A16" s="2657" t="s">
        <v>968</v>
      </c>
      <c r="B16" s="2663">
        <v>392</v>
      </c>
      <c r="C16" s="2663">
        <v>302</v>
      </c>
      <c r="D16" s="2663">
        <f t="shared" si="28"/>
        <v>302</v>
      </c>
      <c r="E16" s="2663">
        <v>553</v>
      </c>
      <c r="F16" s="2664">
        <v>266</v>
      </c>
      <c r="G16" s="3585">
        <v>2016</v>
      </c>
      <c r="H16" s="2658">
        <v>4</v>
      </c>
      <c r="I16" s="2658">
        <v>4.5599999999999996</v>
      </c>
      <c r="J16" s="2658">
        <v>2.15</v>
      </c>
      <c r="K16" s="2658">
        <v>5.32</v>
      </c>
      <c r="L16" s="2659">
        <v>1.57</v>
      </c>
      <c r="N16" s="2666">
        <f t="shared" si="31"/>
        <v>4.5599999999999995E-2</v>
      </c>
      <c r="O16" s="2667">
        <f t="shared" ref="O16:Q31" si="47">J16/100</f>
        <v>2.1499999999999998E-2</v>
      </c>
      <c r="P16" s="2667">
        <f t="shared" si="47"/>
        <v>5.3200000000000004E-2</v>
      </c>
      <c r="Q16" s="2667">
        <f t="shared" si="47"/>
        <v>1.5700000000000002E-2</v>
      </c>
      <c r="R16" s="2668"/>
      <c r="S16" s="2669"/>
      <c r="T16" s="2670"/>
      <c r="U16" s="2670"/>
      <c r="V16" s="2670"/>
      <c r="X16" s="3281">
        <f>ROUND(SUMPRODUCT(PRODUCT(1+N16:N$27)),4)</f>
        <v>1.3119000000000001</v>
      </c>
      <c r="Y16" s="3281">
        <f>ROUND(SUMPRODUCT(PRODUCT(1+O16:O$27)),4)</f>
        <v>1.2016</v>
      </c>
      <c r="Z16" s="3281">
        <f t="shared" si="16"/>
        <v>1.2016</v>
      </c>
      <c r="AA16" s="3281">
        <f>ROUND(SUMPRODUCT(PRODUCT(1+P16:P$27)),4)</f>
        <v>1.3515999999999999</v>
      </c>
      <c r="AB16" s="3281">
        <f>ROUND(SUMPRODUCT(PRODUCT(1+Q16:Q$27)),4)</f>
        <v>1.1708000000000001</v>
      </c>
      <c r="AD16" s="2676">
        <f>ROUND(AVERAGE(I16:I$27)/100,4)</f>
        <v>2.3E-2</v>
      </c>
      <c r="AE16" s="2676">
        <f>ROUND(AVERAGE(J16:J$27)/100,4)</f>
        <v>1.55E-2</v>
      </c>
      <c r="AF16" s="2676">
        <f t="shared" si="1"/>
        <v>1.55E-2</v>
      </c>
      <c r="AG16" s="2676">
        <f>ROUND(AVERAGE(K16:K$27)/100,4)</f>
        <v>2.5600000000000001E-2</v>
      </c>
      <c r="AH16" s="2676">
        <f>ROUND(AVERAGE(L16:L$27)/100,4)</f>
        <v>1.32E-2</v>
      </c>
    </row>
    <row r="17" spans="1:34">
      <c r="A17" s="2657" t="s">
        <v>967</v>
      </c>
      <c r="B17" s="2671">
        <f t="shared" ref="B17:C19" si="48">B16/(1+N16)</f>
        <v>374.90436113236416</v>
      </c>
      <c r="C17" s="2671">
        <f t="shared" si="48"/>
        <v>295.64366128242779</v>
      </c>
      <c r="D17" s="2671">
        <f t="shared" ref="D17:D76" si="49">C17</f>
        <v>295.64366128242779</v>
      </c>
      <c r="E17" s="2671">
        <f t="shared" ref="E17:F19" si="50">E16/(1+P16)</f>
        <v>525.06646410938095</v>
      </c>
      <c r="F17" s="2671">
        <f t="shared" si="50"/>
        <v>261.88835286009646</v>
      </c>
      <c r="G17" s="3583"/>
      <c r="H17" s="2661">
        <v>3</v>
      </c>
      <c r="I17" s="2661">
        <v>4.12</v>
      </c>
      <c r="J17" s="2661">
        <v>2</v>
      </c>
      <c r="K17" s="2661">
        <v>4.79</v>
      </c>
      <c r="L17" s="2672">
        <v>1.97</v>
      </c>
      <c r="N17" s="2666">
        <f t="shared" ref="N17:Q51" si="51">I17/100</f>
        <v>4.1200000000000001E-2</v>
      </c>
      <c r="O17" s="2667">
        <f t="shared" si="47"/>
        <v>0.02</v>
      </c>
      <c r="P17" s="2667">
        <f t="shared" si="47"/>
        <v>4.7899999999999998E-2</v>
      </c>
      <c r="Q17" s="2667">
        <f t="shared" si="47"/>
        <v>1.9699999999999999E-2</v>
      </c>
      <c r="R17" s="2668"/>
      <c r="S17" s="2666"/>
      <c r="T17" s="2667"/>
      <c r="U17" s="2667"/>
      <c r="V17" s="2667"/>
      <c r="X17" s="3281">
        <f>ROUND(SUMPRODUCT(PRODUCT(1+N17:N$27)),4)</f>
        <v>1.2546999999999999</v>
      </c>
      <c r="Y17" s="3281">
        <f>ROUND(SUMPRODUCT(PRODUCT(1+O17:O$27)),4)</f>
        <v>1.1762999999999999</v>
      </c>
      <c r="Z17" s="3281">
        <f t="shared" si="16"/>
        <v>1.1762999999999999</v>
      </c>
      <c r="AA17" s="3281">
        <f>ROUND(SUMPRODUCT(PRODUCT(1+P17:P$27)),4)</f>
        <v>1.2833000000000001</v>
      </c>
      <c r="AB17" s="3281">
        <f>ROUND(SUMPRODUCT(PRODUCT(1+Q17:Q$27)),4)</f>
        <v>1.1527000000000001</v>
      </c>
      <c r="AD17" s="2676">
        <f>ROUND(AVERAGE(I17:I$27)/100,4)</f>
        <v>2.0899999999999998E-2</v>
      </c>
      <c r="AE17" s="2676">
        <f>ROUND(AVERAGE(J17:J$27)/100,4)</f>
        <v>1.49E-2</v>
      </c>
      <c r="AF17" s="2676">
        <f t="shared" si="1"/>
        <v>1.49E-2</v>
      </c>
      <c r="AG17" s="2676">
        <f>ROUND(AVERAGE(K17:K$27)/100,4)</f>
        <v>2.3099999999999999E-2</v>
      </c>
      <c r="AH17" s="2676">
        <f>ROUND(AVERAGE(L17:L$27)/100,4)</f>
        <v>1.2999999999999999E-2</v>
      </c>
    </row>
    <row r="18" spans="1:34">
      <c r="A18" s="2657" t="s">
        <v>957</v>
      </c>
      <c r="B18" s="2671">
        <f t="shared" si="48"/>
        <v>360.06949782209392</v>
      </c>
      <c r="C18" s="2671">
        <f t="shared" si="48"/>
        <v>289.84672674747821</v>
      </c>
      <c r="D18" s="2671">
        <f t="shared" si="49"/>
        <v>289.84672674747821</v>
      </c>
      <c r="E18" s="2671">
        <f t="shared" si="50"/>
        <v>501.06543001181495</v>
      </c>
      <c r="F18" s="2671">
        <f t="shared" si="50"/>
        <v>256.82882500744967</v>
      </c>
      <c r="G18" s="3583"/>
      <c r="H18" s="2662">
        <v>2</v>
      </c>
      <c r="I18" s="2662">
        <v>3.85</v>
      </c>
      <c r="J18" s="2662">
        <v>1.95</v>
      </c>
      <c r="K18" s="2662">
        <v>4.4800000000000004</v>
      </c>
      <c r="L18" s="2673">
        <v>1.41</v>
      </c>
      <c r="N18" s="2666">
        <f t="shared" si="51"/>
        <v>3.85E-2</v>
      </c>
      <c r="O18" s="2667">
        <f t="shared" si="47"/>
        <v>1.95E-2</v>
      </c>
      <c r="P18" s="2667">
        <f t="shared" si="47"/>
        <v>4.4800000000000006E-2</v>
      </c>
      <c r="Q18" s="2667">
        <f t="shared" si="47"/>
        <v>1.41E-2</v>
      </c>
      <c r="R18" s="2668"/>
      <c r="S18" s="2666"/>
      <c r="T18" s="2667"/>
      <c r="U18" s="2667"/>
      <c r="V18" s="2667"/>
      <c r="X18" s="3281">
        <f>ROUND(SUMPRODUCT(PRODUCT(1+N18:N$27)),4)</f>
        <v>1.2050000000000001</v>
      </c>
      <c r="Y18" s="3281">
        <f>ROUND(SUMPRODUCT(PRODUCT(1+O18:O$27)),4)</f>
        <v>1.1532</v>
      </c>
      <c r="Z18" s="3281">
        <f t="shared" si="16"/>
        <v>1.1532</v>
      </c>
      <c r="AA18" s="3281">
        <f>ROUND(SUMPRODUCT(PRODUCT(1+P18:P$27)),4)</f>
        <v>1.2246999999999999</v>
      </c>
      <c r="AB18" s="3281">
        <f>ROUND(SUMPRODUCT(PRODUCT(1+Q18:Q$27)),4)</f>
        <v>1.1304000000000001</v>
      </c>
      <c r="AD18" s="2676">
        <f>ROUND(AVERAGE(I18:I$27)/100,4)</f>
        <v>1.89E-2</v>
      </c>
      <c r="AE18" s="2676">
        <f>ROUND(AVERAGE(J18:J$27)/100,4)</f>
        <v>1.44E-2</v>
      </c>
      <c r="AF18" s="2676">
        <f t="shared" si="1"/>
        <v>1.44E-2</v>
      </c>
      <c r="AG18" s="2676">
        <f>ROUND(AVERAGE(K18:K$27)/100,4)</f>
        <v>2.06E-2</v>
      </c>
      <c r="AH18" s="2676">
        <f>ROUND(AVERAGE(L18:L$27)/100,4)</f>
        <v>1.23E-2</v>
      </c>
    </row>
    <row r="19" spans="1:34" ht="13.5" thickBot="1">
      <c r="A19" s="2657" t="s">
        <v>966</v>
      </c>
      <c r="B19" s="2671">
        <f t="shared" si="48"/>
        <v>346.720748986128</v>
      </c>
      <c r="C19" s="2671">
        <f t="shared" si="48"/>
        <v>284.30282172386285</v>
      </c>
      <c r="D19" s="2671">
        <f t="shared" si="49"/>
        <v>284.30282172386285</v>
      </c>
      <c r="E19" s="2671">
        <f t="shared" si="50"/>
        <v>479.58023546306947</v>
      </c>
      <c r="F19" s="2671">
        <f t="shared" si="50"/>
        <v>253.25788877571213</v>
      </c>
      <c r="G19" s="3584"/>
      <c r="H19" s="2661">
        <v>1</v>
      </c>
      <c r="I19" s="2661">
        <v>4.09</v>
      </c>
      <c r="J19" s="2661">
        <v>2.93</v>
      </c>
      <c r="K19" s="2661">
        <v>4.54</v>
      </c>
      <c r="L19" s="2672">
        <v>1.48</v>
      </c>
      <c r="N19" s="2666">
        <f t="shared" si="51"/>
        <v>4.0899999999999999E-2</v>
      </c>
      <c r="O19" s="2667">
        <f t="shared" si="47"/>
        <v>2.9300000000000003E-2</v>
      </c>
      <c r="P19" s="2667">
        <f t="shared" si="47"/>
        <v>4.5400000000000003E-2</v>
      </c>
      <c r="Q19" s="2667">
        <f t="shared" si="47"/>
        <v>1.4800000000000001E-2</v>
      </c>
      <c r="R19" s="2668"/>
      <c r="S19" s="2674">
        <f>B19/B20-1</f>
        <v>4.1203450408792808E-2</v>
      </c>
      <c r="T19" s="2675">
        <f>C19/C20-1</f>
        <v>2.6363977342465095E-2</v>
      </c>
      <c r="U19" s="2675">
        <f>E19/E20-1</f>
        <v>4.4837114298626357E-2</v>
      </c>
      <c r="V19" s="2675">
        <f>F19/F20-1</f>
        <v>1.7099954922538574E-2</v>
      </c>
      <c r="X19" s="3281">
        <f>ROUND(SUMPRODUCT(PRODUCT(1+N19:N$27)),4)</f>
        <v>1.1604000000000001</v>
      </c>
      <c r="Y19" s="3281">
        <f>ROUND(SUMPRODUCT(PRODUCT(1+O19:O$27)),4)</f>
        <v>1.1312</v>
      </c>
      <c r="Z19" s="3281">
        <f t="shared" si="16"/>
        <v>1.1312</v>
      </c>
      <c r="AA19" s="3281">
        <f>ROUND(SUMPRODUCT(PRODUCT(1+P19:P$27)),4)</f>
        <v>1.1721999999999999</v>
      </c>
      <c r="AB19" s="3281">
        <f>ROUND(SUMPRODUCT(PRODUCT(1+Q19:Q$27)),4)</f>
        <v>1.1147</v>
      </c>
      <c r="AD19" s="2676">
        <f>ROUND(AVERAGE(I19:I$27)/100,4)</f>
        <v>1.67E-2</v>
      </c>
      <c r="AE19" s="2676">
        <f>ROUND(AVERAGE(J19:J$27)/100,4)</f>
        <v>1.38E-2</v>
      </c>
      <c r="AF19" s="2676">
        <f t="shared" si="1"/>
        <v>1.38E-2</v>
      </c>
      <c r="AG19" s="2676">
        <f>ROUND(AVERAGE(K19:K$27)/100,4)</f>
        <v>1.7899999999999999E-2</v>
      </c>
      <c r="AH19" s="2676">
        <f>ROUND(AVERAGE(L19:L$27)/100,4)</f>
        <v>1.21E-2</v>
      </c>
    </row>
    <row r="20" spans="1:34" ht="13.5" thickBot="1">
      <c r="A20" s="2657" t="s">
        <v>965</v>
      </c>
      <c r="B20" s="2663">
        <v>333</v>
      </c>
      <c r="C20" s="2663">
        <v>277</v>
      </c>
      <c r="D20" s="2663">
        <f t="shared" si="49"/>
        <v>277</v>
      </c>
      <c r="E20" s="2663">
        <v>459</v>
      </c>
      <c r="F20" s="2664">
        <v>249</v>
      </c>
      <c r="G20" s="3582">
        <v>2015</v>
      </c>
      <c r="H20" s="2677">
        <v>4</v>
      </c>
      <c r="I20" s="2677">
        <v>1.63</v>
      </c>
      <c r="J20" s="2677">
        <v>1.1100000000000001</v>
      </c>
      <c r="K20" s="2677">
        <v>1.77</v>
      </c>
      <c r="L20" s="2678">
        <v>1.89</v>
      </c>
      <c r="N20" s="2679">
        <f t="shared" si="51"/>
        <v>1.6299999999999999E-2</v>
      </c>
      <c r="O20" s="2680">
        <f t="shared" si="47"/>
        <v>1.11E-2</v>
      </c>
      <c r="P20" s="2680">
        <f t="shared" si="47"/>
        <v>1.77E-2</v>
      </c>
      <c r="Q20" s="2680">
        <f t="shared" si="47"/>
        <v>1.89E-2</v>
      </c>
      <c r="R20" s="2668"/>
      <c r="X20" s="3281">
        <f>ROUND(SUMPRODUCT(PRODUCT(1+N20:N$27)),4)</f>
        <v>1.1148</v>
      </c>
      <c r="Y20" s="3281">
        <f>ROUND(SUMPRODUCT(PRODUCT(1+O20:O$27)),4)</f>
        <v>1.099</v>
      </c>
      <c r="Z20" s="3281">
        <f t="shared" si="16"/>
        <v>1.099</v>
      </c>
      <c r="AA20" s="3281">
        <f>ROUND(SUMPRODUCT(PRODUCT(1+P20:P$27)),4)</f>
        <v>1.1213</v>
      </c>
      <c r="AB20" s="3281">
        <f>ROUND(SUMPRODUCT(PRODUCT(1+Q20:Q$27)),4)</f>
        <v>1.0984</v>
      </c>
      <c r="AD20" s="2676">
        <f>ROUND(AVERAGE(I20:I$27)/100,4)</f>
        <v>1.37E-2</v>
      </c>
      <c r="AE20" s="2676">
        <f>ROUND(AVERAGE(J20:J$27)/100,4)</f>
        <v>1.1900000000000001E-2</v>
      </c>
      <c r="AF20" s="2676">
        <f t="shared" si="1"/>
        <v>1.1900000000000001E-2</v>
      </c>
      <c r="AG20" s="2676">
        <f>ROUND(AVERAGE(K20:K$27)/100,4)</f>
        <v>1.4500000000000001E-2</v>
      </c>
      <c r="AH20" s="2676">
        <f>ROUND(AVERAGE(L20:L$27)/100,4)</f>
        <v>1.18E-2</v>
      </c>
    </row>
    <row r="21" spans="1:34">
      <c r="A21" s="2657" t="s">
        <v>964</v>
      </c>
      <c r="B21" s="2671">
        <f t="shared" ref="B21:C23" si="52">B20/(1+N20)</f>
        <v>327.65915576109415</v>
      </c>
      <c r="C21" s="2671">
        <f t="shared" si="52"/>
        <v>273.95905449510434</v>
      </c>
      <c r="D21" s="2671">
        <f t="shared" si="49"/>
        <v>273.95905449510434</v>
      </c>
      <c r="E21" s="2671">
        <f t="shared" ref="E21:F23" si="53">E20/(1+P20)</f>
        <v>451.01699911565294</v>
      </c>
      <c r="F21" s="2671">
        <f t="shared" si="53"/>
        <v>244.38119540681129</v>
      </c>
      <c r="G21" s="3583"/>
      <c r="H21" s="2682">
        <v>3</v>
      </c>
      <c r="I21" s="2682">
        <v>1.65</v>
      </c>
      <c r="J21" s="2682">
        <v>0.92</v>
      </c>
      <c r="K21" s="2682">
        <v>1.88</v>
      </c>
      <c r="L21" s="2683">
        <v>1.26</v>
      </c>
      <c r="N21" s="2666">
        <f t="shared" si="51"/>
        <v>1.6500000000000001E-2</v>
      </c>
      <c r="O21" s="2684">
        <f t="shared" si="47"/>
        <v>9.1999999999999998E-3</v>
      </c>
      <c r="P21" s="2684">
        <f t="shared" si="47"/>
        <v>1.8799999999999997E-2</v>
      </c>
      <c r="Q21" s="2684">
        <f t="shared" si="47"/>
        <v>1.26E-2</v>
      </c>
      <c r="R21" s="2668"/>
      <c r="S21" s="2666"/>
      <c r="T21" s="2667"/>
      <c r="U21" s="2667"/>
      <c r="V21" s="2667"/>
      <c r="X21" s="3281">
        <f>ROUND(SUMPRODUCT(PRODUCT(1+N21:N$27)),4)</f>
        <v>1.0969</v>
      </c>
      <c r="Y21" s="3281">
        <f>ROUND(SUMPRODUCT(PRODUCT(1+O21:O$27)),4)</f>
        <v>1.0869</v>
      </c>
      <c r="Z21" s="3281">
        <f t="shared" si="16"/>
        <v>1.0869</v>
      </c>
      <c r="AA21" s="3281">
        <f>ROUND(SUMPRODUCT(PRODUCT(1+P21:P$27)),4)</f>
        <v>1.1017999999999999</v>
      </c>
      <c r="AB21" s="3281">
        <f>ROUND(SUMPRODUCT(PRODUCT(1+Q21:Q$27)),4)</f>
        <v>1.0781000000000001</v>
      </c>
      <c r="AD21" s="2676">
        <f>ROUND(AVERAGE(I21:I$27)/100,4)</f>
        <v>1.3299999999999999E-2</v>
      </c>
      <c r="AE21" s="2676">
        <f>ROUND(AVERAGE(J21:J$27)/100,4)</f>
        <v>1.2E-2</v>
      </c>
      <c r="AF21" s="2676">
        <f t="shared" si="1"/>
        <v>1.2E-2</v>
      </c>
      <c r="AG21" s="2676">
        <f>ROUND(AVERAGE(K21:K$27)/100,4)</f>
        <v>1.4E-2</v>
      </c>
      <c r="AH21" s="2676">
        <f>ROUND(AVERAGE(L21:L$27)/100,4)</f>
        <v>1.0800000000000001E-2</v>
      </c>
    </row>
    <row r="22" spans="1:34">
      <c r="A22" s="2657" t="s">
        <v>963</v>
      </c>
      <c r="B22" s="2671">
        <f t="shared" si="52"/>
        <v>322.34053690220776</v>
      </c>
      <c r="C22" s="2671">
        <f t="shared" si="52"/>
        <v>271.46160770422546</v>
      </c>
      <c r="D22" s="2671">
        <f t="shared" si="49"/>
        <v>271.46160770422546</v>
      </c>
      <c r="E22" s="2671">
        <f t="shared" si="53"/>
        <v>442.69434542172456</v>
      </c>
      <c r="F22" s="2671">
        <f t="shared" si="53"/>
        <v>241.34030753190925</v>
      </c>
      <c r="G22" s="3583"/>
      <c r="H22" s="2662">
        <v>2</v>
      </c>
      <c r="I22" s="2662">
        <v>0.77</v>
      </c>
      <c r="J22" s="2662">
        <v>0.69</v>
      </c>
      <c r="K22" s="2662">
        <v>0.8</v>
      </c>
      <c r="L22" s="2673">
        <v>0.88</v>
      </c>
      <c r="N22" s="2666">
        <f t="shared" si="51"/>
        <v>7.7000000000000002E-3</v>
      </c>
      <c r="O22" s="2684">
        <f t="shared" si="47"/>
        <v>6.8999999999999999E-3</v>
      </c>
      <c r="P22" s="2684">
        <f t="shared" si="47"/>
        <v>8.0000000000000002E-3</v>
      </c>
      <c r="Q22" s="2684">
        <f t="shared" si="47"/>
        <v>8.8000000000000005E-3</v>
      </c>
      <c r="R22" s="2668"/>
      <c r="S22" s="2666"/>
      <c r="T22" s="2667"/>
      <c r="U22" s="2667"/>
      <c r="V22" s="2667"/>
      <c r="X22" s="3281">
        <f>ROUND(SUMPRODUCT(PRODUCT(1+N22:N$27)),4)</f>
        <v>1.0790999999999999</v>
      </c>
      <c r="Y22" s="3281">
        <f>ROUND(SUMPRODUCT(PRODUCT(1+O22:O$27)),4)</f>
        <v>1.077</v>
      </c>
      <c r="Z22" s="3281">
        <f t="shared" si="16"/>
        <v>1.077</v>
      </c>
      <c r="AA22" s="3281">
        <f>ROUND(SUMPRODUCT(PRODUCT(1+P22:P$27)),4)</f>
        <v>1.0813999999999999</v>
      </c>
      <c r="AB22" s="3281">
        <f>ROUND(SUMPRODUCT(PRODUCT(1+Q22:Q$27)),4)</f>
        <v>1.0647</v>
      </c>
      <c r="AD22" s="2676">
        <f>ROUND(AVERAGE(I22:I$27)/100,4)</f>
        <v>1.2800000000000001E-2</v>
      </c>
      <c r="AE22" s="2676">
        <f>ROUND(AVERAGE(J22:J$27)/100,4)</f>
        <v>1.2500000000000001E-2</v>
      </c>
      <c r="AF22" s="2676">
        <f t="shared" si="1"/>
        <v>1.2500000000000001E-2</v>
      </c>
      <c r="AG22" s="2676">
        <f>ROUND(AVERAGE(K22:K$27)/100,4)</f>
        <v>1.32E-2</v>
      </c>
      <c r="AH22" s="2676">
        <f>ROUND(AVERAGE(L22:L$27)/100,4)</f>
        <v>1.0500000000000001E-2</v>
      </c>
    </row>
    <row r="23" spans="1:34">
      <c r="A23" s="2657" t="s">
        <v>962</v>
      </c>
      <c r="B23" s="2671">
        <f t="shared" si="52"/>
        <v>319.87748030386797</v>
      </c>
      <c r="C23" s="2671">
        <f t="shared" si="52"/>
        <v>269.60135833173649</v>
      </c>
      <c r="D23" s="2671">
        <f t="shared" si="49"/>
        <v>269.60135833173649</v>
      </c>
      <c r="E23" s="2671">
        <f t="shared" si="53"/>
        <v>439.18089823583784</v>
      </c>
      <c r="F23" s="2671">
        <f t="shared" si="53"/>
        <v>239.23503918706311</v>
      </c>
      <c r="G23" s="3584"/>
      <c r="H23" s="2661">
        <v>1</v>
      </c>
      <c r="I23" s="2661">
        <v>0.51</v>
      </c>
      <c r="J23" s="2661">
        <v>0.54</v>
      </c>
      <c r="K23" s="2661">
        <v>0.48</v>
      </c>
      <c r="L23" s="2672">
        <v>0.93</v>
      </c>
      <c r="N23" s="2674">
        <f t="shared" si="51"/>
        <v>5.1000000000000004E-3</v>
      </c>
      <c r="O23" s="2675">
        <f t="shared" si="47"/>
        <v>5.4000000000000003E-3</v>
      </c>
      <c r="P23" s="2675">
        <f t="shared" si="47"/>
        <v>4.7999999999999996E-3</v>
      </c>
      <c r="Q23" s="2675">
        <f t="shared" si="47"/>
        <v>9.300000000000001E-3</v>
      </c>
      <c r="R23" s="2668"/>
      <c r="S23" s="2674">
        <f>B23/B24-1</f>
        <v>5.9040261127922822E-3</v>
      </c>
      <c r="T23" s="2675">
        <f>C23/C24-1</f>
        <v>5.9752176557332781E-3</v>
      </c>
      <c r="U23" s="2675">
        <f>E23/E24-1</f>
        <v>4.9906138119859556E-3</v>
      </c>
      <c r="V23" s="2675">
        <f>F23/F24-1</f>
        <v>9.4305450930933787E-3</v>
      </c>
      <c r="X23" s="3281">
        <f>ROUND(SUMPRODUCT(PRODUCT(1+N23:N$27)),4)</f>
        <v>1.0708</v>
      </c>
      <c r="Y23" s="3281">
        <f>ROUND(SUMPRODUCT(PRODUCT(1+O23:O$27)),4)</f>
        <v>1.0696000000000001</v>
      </c>
      <c r="Z23" s="3281">
        <f t="shared" si="16"/>
        <v>1.0696000000000001</v>
      </c>
      <c r="AA23" s="3281">
        <f>ROUND(SUMPRODUCT(PRODUCT(1+P23:P$27)),4)</f>
        <v>1.0728</v>
      </c>
      <c r="AB23" s="3281">
        <f>ROUND(SUMPRODUCT(PRODUCT(1+Q23:Q$27)),4)</f>
        <v>1.0553999999999999</v>
      </c>
      <c r="AD23" s="2676">
        <f>ROUND(AVERAGE(I23:I$27)/100,4)</f>
        <v>1.38E-2</v>
      </c>
      <c r="AE23" s="2676">
        <f>ROUND(AVERAGE(J23:J$27)/100,4)</f>
        <v>1.3599999999999999E-2</v>
      </c>
      <c r="AF23" s="2676">
        <f t="shared" si="1"/>
        <v>1.3599999999999999E-2</v>
      </c>
      <c r="AG23" s="2676">
        <f>ROUND(AVERAGE(K23:K$27)/100,4)</f>
        <v>1.4200000000000001E-2</v>
      </c>
      <c r="AH23" s="2676">
        <f>ROUND(AVERAGE(L23:L$27)/100,4)</f>
        <v>1.0800000000000001E-2</v>
      </c>
    </row>
    <row r="24" spans="1:34" ht="13.5" thickBot="1">
      <c r="A24" s="2657" t="s">
        <v>961</v>
      </c>
      <c r="B24" s="2685">
        <v>318</v>
      </c>
      <c r="C24" s="2685">
        <v>268</v>
      </c>
      <c r="D24" s="2685">
        <f t="shared" si="49"/>
        <v>268</v>
      </c>
      <c r="E24" s="2685">
        <v>437</v>
      </c>
      <c r="F24" s="2686">
        <v>237</v>
      </c>
      <c r="G24" s="3582">
        <v>2014</v>
      </c>
      <c r="H24" s="2677">
        <v>4</v>
      </c>
      <c r="I24" s="2677">
        <v>0.21</v>
      </c>
      <c r="J24" s="2677">
        <v>0.41</v>
      </c>
      <c r="K24" s="2677">
        <v>0.12</v>
      </c>
      <c r="L24" s="2678">
        <v>0.89</v>
      </c>
      <c r="N24" s="2666">
        <f t="shared" si="51"/>
        <v>2.0999999999999999E-3</v>
      </c>
      <c r="O24" s="2667">
        <f t="shared" si="47"/>
        <v>4.0999999999999995E-3</v>
      </c>
      <c r="P24" s="2667">
        <f t="shared" si="47"/>
        <v>1.1999999999999999E-3</v>
      </c>
      <c r="Q24" s="2667">
        <f t="shared" si="47"/>
        <v>8.8999999999999999E-3</v>
      </c>
      <c r="R24" s="2668"/>
      <c r="S24" s="2669"/>
      <c r="T24" s="2670"/>
      <c r="U24" s="2670"/>
      <c r="V24" s="2670"/>
      <c r="X24" s="3281">
        <f>ROUND(SUMPRODUCT(PRODUCT(1+N24:N$27)),4)</f>
        <v>1.0653999999999999</v>
      </c>
      <c r="Y24" s="3281">
        <f>ROUND(SUMPRODUCT(PRODUCT(1+O24:O$27)),4)</f>
        <v>1.0639000000000001</v>
      </c>
      <c r="Z24" s="3281">
        <f t="shared" si="16"/>
        <v>1.0639000000000001</v>
      </c>
      <c r="AA24" s="3281">
        <f>ROUND(SUMPRODUCT(PRODUCT(1+P24:P$27)),4)</f>
        <v>1.0677000000000001</v>
      </c>
      <c r="AB24" s="3281">
        <f>ROUND(SUMPRODUCT(PRODUCT(1+Q24:Q$27)),4)</f>
        <v>1.0456000000000001</v>
      </c>
      <c r="AD24" s="2676">
        <f>ROUND(AVERAGE(I24:I$27)/100,4)</f>
        <v>1.6E-2</v>
      </c>
      <c r="AE24" s="2676">
        <f>ROUND(AVERAGE(J24:J$27)/100,4)</f>
        <v>1.5599999999999999E-2</v>
      </c>
      <c r="AF24" s="2676">
        <f t="shared" si="1"/>
        <v>1.5599999999999999E-2</v>
      </c>
      <c r="AG24" s="2676">
        <f>ROUND(AVERAGE(K24:K$27)/100,4)</f>
        <v>1.66E-2</v>
      </c>
      <c r="AH24" s="2676">
        <f>ROUND(AVERAGE(L24:L$27)/100,4)</f>
        <v>1.12E-2</v>
      </c>
    </row>
    <row r="25" spans="1:34">
      <c r="A25" s="2657" t="s">
        <v>960</v>
      </c>
      <c r="B25" s="2671">
        <f t="shared" ref="B25:C27" si="54">B24/(1+N24)</f>
        <v>317.33359944117353</v>
      </c>
      <c r="C25" s="2671">
        <f t="shared" si="54"/>
        <v>266.90568668459315</v>
      </c>
      <c r="D25" s="2671">
        <f t="shared" si="49"/>
        <v>266.90568668459315</v>
      </c>
      <c r="E25" s="2671">
        <f t="shared" ref="E25:F27" si="55">E24/(1+P24)</f>
        <v>436.47622852576905</v>
      </c>
      <c r="F25" s="2671">
        <f t="shared" si="55"/>
        <v>234.90930716622066</v>
      </c>
      <c r="G25" s="3583"/>
      <c r="H25" s="2687">
        <v>3</v>
      </c>
      <c r="I25" s="2687">
        <v>0.83</v>
      </c>
      <c r="J25" s="2687">
        <v>1.47</v>
      </c>
      <c r="K25" s="2687">
        <v>0.65</v>
      </c>
      <c r="L25" s="2688">
        <v>0.72</v>
      </c>
      <c r="N25" s="2666">
        <f t="shared" si="51"/>
        <v>8.3000000000000001E-3</v>
      </c>
      <c r="O25" s="2667">
        <f t="shared" si="47"/>
        <v>1.47E-2</v>
      </c>
      <c r="P25" s="2667">
        <f t="shared" si="47"/>
        <v>6.5000000000000006E-3</v>
      </c>
      <c r="Q25" s="2667">
        <f t="shared" si="47"/>
        <v>7.1999999999999998E-3</v>
      </c>
      <c r="R25" s="2668"/>
      <c r="S25" s="2666"/>
      <c r="T25" s="2667"/>
      <c r="U25" s="2667"/>
      <c r="V25" s="2667"/>
      <c r="X25" s="3281">
        <f>ROUND(SUMPRODUCT(PRODUCT(1+N25:N$27)),4)</f>
        <v>1.0631999999999999</v>
      </c>
      <c r="Y25" s="3281">
        <f>ROUND(SUMPRODUCT(PRODUCT(1+O25:O$27)),4)</f>
        <v>1.0595000000000001</v>
      </c>
      <c r="Z25" s="3281">
        <f t="shared" si="16"/>
        <v>1.0595000000000001</v>
      </c>
      <c r="AA25" s="3281">
        <f>ROUND(SUMPRODUCT(PRODUCT(1+P25:P$27)),4)</f>
        <v>1.0664</v>
      </c>
      <c r="AB25" s="3281">
        <f>ROUND(SUMPRODUCT(PRODUCT(1+Q25:Q$27)),4)</f>
        <v>1.0364</v>
      </c>
      <c r="AD25" s="2676">
        <f>ROUND(AVERAGE(I25:I$27)/100,4)</f>
        <v>2.07E-2</v>
      </c>
      <c r="AE25" s="2676">
        <f>ROUND(AVERAGE(J25:J$27)/100,4)</f>
        <v>1.95E-2</v>
      </c>
      <c r="AF25" s="2676">
        <f t="shared" si="1"/>
        <v>1.95E-2</v>
      </c>
      <c r="AG25" s="2676">
        <f>ROUND(AVERAGE(K25:K$27)/100,4)</f>
        <v>2.1700000000000001E-2</v>
      </c>
      <c r="AH25" s="2676">
        <f>ROUND(AVERAGE(L25:L$27)/100,4)</f>
        <v>1.2E-2</v>
      </c>
    </row>
    <row r="26" spans="1:34" ht="13.5" thickBot="1">
      <c r="A26" s="2657" t="s">
        <v>959</v>
      </c>
      <c r="B26" s="2671">
        <f t="shared" si="54"/>
        <v>314.72141172386546</v>
      </c>
      <c r="C26" s="2671">
        <f t="shared" si="54"/>
        <v>263.03901319069001</v>
      </c>
      <c r="D26" s="2671">
        <f t="shared" si="49"/>
        <v>263.03901319069001</v>
      </c>
      <c r="E26" s="2671">
        <f t="shared" si="55"/>
        <v>433.65745506782821</v>
      </c>
      <c r="F26" s="2671">
        <f t="shared" si="55"/>
        <v>233.23005080045735</v>
      </c>
      <c r="G26" s="3583"/>
      <c r="H26" s="2677">
        <v>2</v>
      </c>
      <c r="I26" s="2677">
        <v>2.4</v>
      </c>
      <c r="J26" s="2677">
        <v>2.0299999999999998</v>
      </c>
      <c r="K26" s="2677">
        <v>2.59</v>
      </c>
      <c r="L26" s="2678">
        <v>1.52</v>
      </c>
      <c r="N26" s="2666">
        <f t="shared" si="51"/>
        <v>2.4E-2</v>
      </c>
      <c r="O26" s="2667">
        <f t="shared" si="47"/>
        <v>2.0299999999999999E-2</v>
      </c>
      <c r="P26" s="2667">
        <f t="shared" si="47"/>
        <v>2.5899999999999999E-2</v>
      </c>
      <c r="Q26" s="2667">
        <f t="shared" si="47"/>
        <v>1.52E-2</v>
      </c>
      <c r="R26" s="2668"/>
      <c r="S26" s="2666"/>
      <c r="T26" s="2667"/>
      <c r="U26" s="2667"/>
      <c r="V26" s="2667"/>
      <c r="X26" s="3281">
        <f>ROUND(SUMPRODUCT(PRODUCT(1+N26:N$27)),4)</f>
        <v>1.0544</v>
      </c>
      <c r="Y26" s="3281">
        <f>ROUND(SUMPRODUCT(PRODUCT(1+O26:O$27)),4)</f>
        <v>1.0442</v>
      </c>
      <c r="Z26" s="3281">
        <f t="shared" ref="Z26" si="56">Y26</f>
        <v>1.0442</v>
      </c>
      <c r="AA26" s="3281">
        <f>ROUND(SUMPRODUCT(PRODUCT(1+P26:P$27)),4)</f>
        <v>1.0595000000000001</v>
      </c>
      <c r="AB26" s="3281">
        <f>ROUND(SUMPRODUCT(PRODUCT(1+Q26:Q$27)),4)</f>
        <v>1.0289999999999999</v>
      </c>
      <c r="AD26" s="2676">
        <f>ROUND(AVERAGE(I26:I$27)/100,4)</f>
        <v>2.69E-2</v>
      </c>
      <c r="AE26" s="2676">
        <f>ROUND(AVERAGE(J26:J$27)/100,4)</f>
        <v>2.1899999999999999E-2</v>
      </c>
      <c r="AF26" s="2676">
        <f t="shared" ref="AF26" si="57">AE26</f>
        <v>2.1899999999999999E-2</v>
      </c>
      <c r="AG26" s="2676">
        <f>ROUND(AVERAGE(K26:K$27)/100,4)</f>
        <v>2.9399999999999999E-2</v>
      </c>
      <c r="AH26" s="2676">
        <f>ROUND(AVERAGE(L26:L$27)/100,4)</f>
        <v>1.44E-2</v>
      </c>
    </row>
    <row r="27" spans="1:34" s="2693" customFormat="1" ht="13.5" thickBot="1">
      <c r="A27" s="2689" t="s">
        <v>958</v>
      </c>
      <c r="B27" s="2690">
        <f t="shared" si="54"/>
        <v>307.34512863658733</v>
      </c>
      <c r="C27" s="2690">
        <f t="shared" si="54"/>
        <v>257.80556031626975</v>
      </c>
      <c r="D27" s="2690">
        <f t="shared" si="49"/>
        <v>257.80556031626975</v>
      </c>
      <c r="E27" s="2690">
        <f t="shared" si="55"/>
        <v>422.70928459677179</v>
      </c>
      <c r="F27" s="2690">
        <f t="shared" si="55"/>
        <v>229.73803270336617</v>
      </c>
      <c r="G27" s="3584"/>
      <c r="H27" s="2691">
        <v>1</v>
      </c>
      <c r="I27" s="2691">
        <v>2.97</v>
      </c>
      <c r="J27" s="2691">
        <v>2.34</v>
      </c>
      <c r="K27" s="2691">
        <v>3.28</v>
      </c>
      <c r="L27" s="2692">
        <v>1.36</v>
      </c>
      <c r="N27" s="2694">
        <f t="shared" si="51"/>
        <v>2.9700000000000001E-2</v>
      </c>
      <c r="O27" s="2695">
        <f t="shared" si="47"/>
        <v>2.3399999999999997E-2</v>
      </c>
      <c r="P27" s="2695">
        <f t="shared" si="47"/>
        <v>3.2799999999999996E-2</v>
      </c>
      <c r="Q27" s="2695">
        <f t="shared" si="47"/>
        <v>1.3600000000000001E-2</v>
      </c>
      <c r="R27" s="2696"/>
      <c r="S27" s="2697">
        <f>B27/B28-1</f>
        <v>2.7910129219355539E-2</v>
      </c>
      <c r="T27" s="2698">
        <f>C27/C28-1</f>
        <v>2.3037937762975247E-2</v>
      </c>
      <c r="U27" s="2698">
        <f>E27/E28-1</f>
        <v>3.3519033243940788E-2</v>
      </c>
      <c r="V27" s="2698">
        <f>F27/F28-1</f>
        <v>1.2061818076502862E-2</v>
      </c>
      <c r="W27" s="2764" t="s">
        <v>2636</v>
      </c>
      <c r="X27" s="2766">
        <v>1</v>
      </c>
      <c r="Y27" s="2766">
        <v>1</v>
      </c>
      <c r="Z27" s="2766">
        <v>1</v>
      </c>
      <c r="AA27" s="2766">
        <v>1</v>
      </c>
      <c r="AB27" s="2766">
        <v>1</v>
      </c>
      <c r="AD27" s="3009">
        <f>I27/100</f>
        <v>2.9700000000000001E-2</v>
      </c>
      <c r="AE27" s="3009">
        <f>J27/100</f>
        <v>2.3399999999999997E-2</v>
      </c>
      <c r="AF27" s="3009">
        <f>AE27</f>
        <v>2.3399999999999997E-2</v>
      </c>
      <c r="AG27" s="3009">
        <f>K27/100</f>
        <v>3.2799999999999996E-2</v>
      </c>
      <c r="AH27" s="3009">
        <f>L27/100</f>
        <v>1.3600000000000001E-2</v>
      </c>
    </row>
    <row r="28" spans="1:34" ht="13.5" thickBot="1">
      <c r="A28" s="2657" t="s">
        <v>2579</v>
      </c>
      <c r="B28" s="2663">
        <v>299</v>
      </c>
      <c r="C28" s="2663">
        <v>252</v>
      </c>
      <c r="D28" s="2663">
        <f t="shared" si="49"/>
        <v>252</v>
      </c>
      <c r="E28" s="2663">
        <v>409</v>
      </c>
      <c r="F28" s="2664">
        <v>227</v>
      </c>
      <c r="G28" s="3589">
        <v>2013</v>
      </c>
      <c r="H28" s="2699">
        <v>4</v>
      </c>
      <c r="I28" s="2699">
        <v>1.83</v>
      </c>
      <c r="J28" s="2699">
        <v>1.68</v>
      </c>
      <c r="K28" s="2699">
        <v>1.97</v>
      </c>
      <c r="L28" s="2700">
        <v>0.87</v>
      </c>
      <c r="N28" s="2679">
        <f t="shared" si="51"/>
        <v>1.83E-2</v>
      </c>
      <c r="O28" s="2680">
        <f t="shared" si="47"/>
        <v>1.6799999999999999E-2</v>
      </c>
      <c r="P28" s="2680">
        <f t="shared" si="47"/>
        <v>1.9699999999999999E-2</v>
      </c>
      <c r="Q28" s="2680">
        <f t="shared" si="47"/>
        <v>8.6999999999999994E-3</v>
      </c>
      <c r="R28" s="2668"/>
      <c r="S28" s="2669"/>
      <c r="T28" s="2670"/>
      <c r="U28" s="2670"/>
      <c r="V28" s="2670"/>
      <c r="X28" s="2670"/>
      <c r="Y28" s="2670"/>
      <c r="Z28" s="2670"/>
    </row>
    <row r="29" spans="1:34">
      <c r="A29" s="2657" t="s">
        <v>2580</v>
      </c>
      <c r="B29" s="2671">
        <f t="shared" ref="B29:C31" si="58">B28/(1+N28)</f>
        <v>293.62663262299913</v>
      </c>
      <c r="C29" s="2671">
        <f t="shared" si="58"/>
        <v>247.83634933123525</v>
      </c>
      <c r="D29" s="2671">
        <f t="shared" si="49"/>
        <v>247.83634933123525</v>
      </c>
      <c r="E29" s="2671">
        <f t="shared" ref="E29:F31" si="59">E28/(1+P28)</f>
        <v>401.09836226341076</v>
      </c>
      <c r="F29" s="2671">
        <f t="shared" si="59"/>
        <v>225.04213343908003</v>
      </c>
      <c r="G29" s="3590"/>
      <c r="H29" s="2682">
        <v>3</v>
      </c>
      <c r="I29" s="2682">
        <v>1.86</v>
      </c>
      <c r="J29" s="2682">
        <v>1.72</v>
      </c>
      <c r="K29" s="2682">
        <v>1.98</v>
      </c>
      <c r="L29" s="2683">
        <v>0.88</v>
      </c>
      <c r="N29" s="2666">
        <f t="shared" si="51"/>
        <v>1.8600000000000002E-2</v>
      </c>
      <c r="O29" s="2684">
        <f t="shared" si="47"/>
        <v>1.72E-2</v>
      </c>
      <c r="P29" s="2684">
        <f t="shared" si="47"/>
        <v>1.9799999999999998E-2</v>
      </c>
      <c r="Q29" s="2684">
        <f t="shared" si="47"/>
        <v>8.8000000000000005E-3</v>
      </c>
      <c r="R29" s="2668"/>
      <c r="S29" s="2666"/>
      <c r="T29" s="2667"/>
      <c r="U29" s="2667"/>
      <c r="V29" s="2667"/>
    </row>
    <row r="30" spans="1:34">
      <c r="A30" s="2657" t="s">
        <v>2581</v>
      </c>
      <c r="B30" s="2671">
        <f t="shared" si="58"/>
        <v>288.2649053828776</v>
      </c>
      <c r="C30" s="2671">
        <f t="shared" si="58"/>
        <v>243.64564425013293</v>
      </c>
      <c r="D30" s="2671">
        <f t="shared" si="49"/>
        <v>243.64564425013293</v>
      </c>
      <c r="E30" s="2671">
        <f t="shared" si="59"/>
        <v>393.31080825986544</v>
      </c>
      <c r="F30" s="2671">
        <f t="shared" si="59"/>
        <v>223.07903790551154</v>
      </c>
      <c r="G30" s="3590"/>
      <c r="H30" s="2662">
        <v>2</v>
      </c>
      <c r="I30" s="2662">
        <v>2.04</v>
      </c>
      <c r="J30" s="2662">
        <v>2.33</v>
      </c>
      <c r="K30" s="2662">
        <v>2.0699999999999998</v>
      </c>
      <c r="L30" s="2673">
        <v>0.69</v>
      </c>
      <c r="N30" s="2666">
        <f t="shared" si="51"/>
        <v>2.0400000000000001E-2</v>
      </c>
      <c r="O30" s="2684">
        <f t="shared" si="47"/>
        <v>2.3300000000000001E-2</v>
      </c>
      <c r="P30" s="2684">
        <f t="shared" si="47"/>
        <v>2.07E-2</v>
      </c>
      <c r="Q30" s="2684">
        <f t="shared" si="47"/>
        <v>6.8999999999999999E-3</v>
      </c>
      <c r="R30" s="2668"/>
      <c r="S30" s="2666"/>
      <c r="T30" s="2667"/>
      <c r="U30" s="2667"/>
      <c r="V30" s="2667"/>
      <c r="X30" s="2767"/>
      <c r="Y30" s="2769"/>
    </row>
    <row r="31" spans="1:34">
      <c r="A31" s="2657" t="s">
        <v>2582</v>
      </c>
      <c r="B31" s="2671">
        <f t="shared" si="58"/>
        <v>282.50186729015837</v>
      </c>
      <c r="C31" s="2671">
        <f t="shared" si="58"/>
        <v>238.09796174155468</v>
      </c>
      <c r="D31" s="2671">
        <f t="shared" si="49"/>
        <v>238.09796174155468</v>
      </c>
      <c r="E31" s="2671">
        <f t="shared" si="59"/>
        <v>385.33438646014054</v>
      </c>
      <c r="F31" s="2671">
        <f t="shared" si="59"/>
        <v>221.55034055567739</v>
      </c>
      <c r="G31" s="3591"/>
      <c r="H31" s="2661">
        <v>1</v>
      </c>
      <c r="I31" s="2661">
        <v>1.67</v>
      </c>
      <c r="J31" s="2661">
        <v>1.31</v>
      </c>
      <c r="K31" s="2661">
        <v>1.85</v>
      </c>
      <c r="L31" s="2672">
        <v>0.96</v>
      </c>
      <c r="N31" s="2674">
        <f t="shared" si="51"/>
        <v>1.67E-2</v>
      </c>
      <c r="O31" s="2675">
        <f t="shared" si="47"/>
        <v>1.3100000000000001E-2</v>
      </c>
      <c r="P31" s="2675">
        <f t="shared" si="47"/>
        <v>1.8500000000000003E-2</v>
      </c>
      <c r="Q31" s="2675">
        <f t="shared" si="47"/>
        <v>9.5999999999999992E-3</v>
      </c>
      <c r="R31" s="2668"/>
      <c r="S31" s="2674">
        <f>B31/B32-1</f>
        <v>1.6193767230785472E-2</v>
      </c>
      <c r="T31" s="2675">
        <f>C31/C32-1</f>
        <v>1.7512657015190891E-2</v>
      </c>
      <c r="U31" s="2675">
        <f>E31/E32-1</f>
        <v>1.6713420739157048E-2</v>
      </c>
      <c r="V31" s="2675">
        <f>F31/F32-1</f>
        <v>7.0470025258062563E-3</v>
      </c>
      <c r="X31" s="2768"/>
      <c r="Y31" s="2676"/>
      <c r="Z31" s="2676"/>
    </row>
    <row r="32" spans="1:34" ht="13.5" thickBot="1">
      <c r="A32" s="2657" t="s">
        <v>2583</v>
      </c>
      <c r="B32" s="2701">
        <v>278</v>
      </c>
      <c r="C32" s="2701">
        <v>234</v>
      </c>
      <c r="D32" s="2701">
        <f t="shared" si="49"/>
        <v>234</v>
      </c>
      <c r="E32" s="2701">
        <v>379</v>
      </c>
      <c r="F32" s="2702">
        <v>220</v>
      </c>
      <c r="G32" s="3582">
        <v>2012</v>
      </c>
      <c r="H32" s="2677">
        <v>4</v>
      </c>
      <c r="I32" s="2677">
        <v>0.91</v>
      </c>
      <c r="J32" s="2677">
        <v>0.68</v>
      </c>
      <c r="K32" s="2677">
        <v>0.98</v>
      </c>
      <c r="L32" s="2678">
        <v>0.9</v>
      </c>
      <c r="N32" s="2666">
        <f t="shared" si="51"/>
        <v>9.1000000000000004E-3</v>
      </c>
      <c r="O32" s="2667">
        <f t="shared" si="51"/>
        <v>6.8000000000000005E-3</v>
      </c>
      <c r="P32" s="2667">
        <f t="shared" si="51"/>
        <v>9.7999999999999997E-3</v>
      </c>
      <c r="Q32" s="2667">
        <f t="shared" si="51"/>
        <v>9.0000000000000011E-3</v>
      </c>
      <c r="R32" s="2668"/>
      <c r="S32" s="2669"/>
      <c r="T32" s="2670"/>
      <c r="U32" s="2670"/>
      <c r="V32" s="2670"/>
      <c r="X32" s="2670"/>
      <c r="Y32" s="2670"/>
      <c r="Z32" s="2670"/>
    </row>
    <row r="33" spans="1:26">
      <c r="A33" s="2657" t="s">
        <v>2584</v>
      </c>
      <c r="B33" s="2671">
        <f>B32/(1+N32)</f>
        <v>275.49301357645425</v>
      </c>
      <c r="C33" s="2671">
        <f>C32/(1+O32)</f>
        <v>232.41954707985698</v>
      </c>
      <c r="D33" s="2671">
        <f t="shared" si="49"/>
        <v>232.41954707985698</v>
      </c>
      <c r="E33" s="2671">
        <f t="shared" ref="E33:F35" si="60">E32/(1+P32)</f>
        <v>375.32184591008121</v>
      </c>
      <c r="F33" s="2671">
        <f t="shared" si="60"/>
        <v>218.03766105054513</v>
      </c>
      <c r="G33" s="3583"/>
      <c r="H33" s="2682">
        <v>3</v>
      </c>
      <c r="I33" s="2682">
        <v>0.09</v>
      </c>
      <c r="J33" s="2682">
        <v>0.28999999999999998</v>
      </c>
      <c r="K33" s="2682">
        <v>-0.01</v>
      </c>
      <c r="L33" s="2683">
        <v>0.57999999999999996</v>
      </c>
      <c r="N33" s="2666">
        <f t="shared" si="51"/>
        <v>8.9999999999999998E-4</v>
      </c>
      <c r="O33" s="2667">
        <f t="shared" si="51"/>
        <v>2.8999999999999998E-3</v>
      </c>
      <c r="P33" s="2667">
        <f t="shared" si="51"/>
        <v>-1E-4</v>
      </c>
      <c r="Q33" s="2667">
        <f t="shared" si="51"/>
        <v>5.7999999999999996E-3</v>
      </c>
      <c r="R33" s="2668"/>
      <c r="S33" s="2666"/>
      <c r="T33" s="2667"/>
      <c r="U33" s="2667"/>
      <c r="V33" s="2667"/>
    </row>
    <row r="34" spans="1:26">
      <c r="A34" s="2657" t="s">
        <v>2585</v>
      </c>
      <c r="B34" s="2671">
        <f>B33/(1+N33)</f>
        <v>275.24529281292263</v>
      </c>
      <c r="C34" s="2671">
        <f>C33/(1+O33)</f>
        <v>231.74747938962707</v>
      </c>
      <c r="D34" s="2671">
        <f t="shared" si="49"/>
        <v>231.74747938962707</v>
      </c>
      <c r="E34" s="2671">
        <f t="shared" si="60"/>
        <v>375.35938184826603</v>
      </c>
      <c r="F34" s="2671">
        <f t="shared" si="60"/>
        <v>216.78033510692495</v>
      </c>
      <c r="G34" s="3583"/>
      <c r="H34" s="2662">
        <v>2</v>
      </c>
      <c r="I34" s="2662">
        <v>0.02</v>
      </c>
      <c r="J34" s="2662">
        <v>0.12</v>
      </c>
      <c r="K34" s="2662">
        <v>-0.08</v>
      </c>
      <c r="L34" s="2673">
        <v>1.24</v>
      </c>
      <c r="N34" s="2666">
        <f t="shared" si="51"/>
        <v>2.0000000000000001E-4</v>
      </c>
      <c r="O34" s="2667">
        <f t="shared" si="51"/>
        <v>1.1999999999999999E-3</v>
      </c>
      <c r="P34" s="2667">
        <f t="shared" si="51"/>
        <v>-8.0000000000000004E-4</v>
      </c>
      <c r="Q34" s="2667">
        <f t="shared" si="51"/>
        <v>1.24E-2</v>
      </c>
      <c r="R34" s="2668"/>
      <c r="S34" s="2666"/>
      <c r="T34" s="2667"/>
      <c r="U34" s="2667"/>
      <c r="V34" s="2667"/>
    </row>
    <row r="35" spans="1:26" ht="13.5" thickBot="1">
      <c r="A35" s="2657" t="s">
        <v>2586</v>
      </c>
      <c r="B35" s="2671">
        <f>B34/(1+N34)</f>
        <v>275.19025476197027</v>
      </c>
      <c r="C35" s="2703">
        <v>232</v>
      </c>
      <c r="D35" s="2703">
        <f t="shared" si="49"/>
        <v>232</v>
      </c>
      <c r="E35" s="2671">
        <f t="shared" si="60"/>
        <v>375.65990977608692</v>
      </c>
      <c r="F35" s="2671">
        <f t="shared" si="60"/>
        <v>214.12518283971252</v>
      </c>
      <c r="G35" s="3584"/>
      <c r="H35" s="2661">
        <v>1</v>
      </c>
      <c r="I35" s="2661">
        <v>0.02</v>
      </c>
      <c r="J35" s="2661">
        <v>0.13</v>
      </c>
      <c r="K35" s="2661">
        <v>-0.04</v>
      </c>
      <c r="L35" s="2672">
        <v>0.46</v>
      </c>
      <c r="N35" s="2666">
        <f t="shared" si="51"/>
        <v>2.0000000000000001E-4</v>
      </c>
      <c r="O35" s="2667">
        <f t="shared" si="51"/>
        <v>1.2999999999999999E-3</v>
      </c>
      <c r="P35" s="2667">
        <f t="shared" si="51"/>
        <v>-4.0000000000000002E-4</v>
      </c>
      <c r="Q35" s="2667">
        <f t="shared" si="51"/>
        <v>4.5999999999999999E-3</v>
      </c>
      <c r="R35" s="2668"/>
      <c r="S35" s="2674">
        <f>B35/B36-1</f>
        <v>6.9183549807361189E-4</v>
      </c>
      <c r="T35" s="2675">
        <f>C35/C36-1</f>
        <v>0</v>
      </c>
      <c r="U35" s="2675">
        <f>E35/E36-1</f>
        <v>-9.0449527636460303E-4</v>
      </c>
      <c r="V35" s="2675">
        <f>F35/F36-1</f>
        <v>5.2825485432512753E-3</v>
      </c>
      <c r="X35" s="2676"/>
      <c r="Y35" s="2676"/>
      <c r="Z35" s="2676"/>
    </row>
    <row r="36" spans="1:26" ht="13.5" thickBot="1">
      <c r="A36" s="2657" t="s">
        <v>2587</v>
      </c>
      <c r="B36" s="2663">
        <v>275</v>
      </c>
      <c r="C36" s="2663">
        <v>232</v>
      </c>
      <c r="D36" s="2663">
        <f t="shared" si="49"/>
        <v>232</v>
      </c>
      <c r="E36" s="2663">
        <v>376</v>
      </c>
      <c r="F36" s="2664">
        <v>213</v>
      </c>
      <c r="G36" s="3582">
        <v>2011</v>
      </c>
      <c r="H36" s="2677">
        <v>4</v>
      </c>
      <c r="I36" s="2677">
        <v>-0.2</v>
      </c>
      <c r="J36" s="2677">
        <v>0.04</v>
      </c>
      <c r="K36" s="2677">
        <v>-0.34</v>
      </c>
      <c r="L36" s="2678">
        <v>0.46</v>
      </c>
      <c r="N36" s="2679">
        <f t="shared" si="51"/>
        <v>-2E-3</v>
      </c>
      <c r="O36" s="2680">
        <f t="shared" si="51"/>
        <v>4.0000000000000002E-4</v>
      </c>
      <c r="P36" s="2680">
        <f t="shared" si="51"/>
        <v>-3.4000000000000002E-3</v>
      </c>
      <c r="Q36" s="2680">
        <f t="shared" si="51"/>
        <v>4.5999999999999999E-3</v>
      </c>
      <c r="R36" s="2668"/>
      <c r="S36" s="2669"/>
      <c r="T36" s="2670"/>
      <c r="U36" s="2670"/>
      <c r="V36" s="2670"/>
      <c r="X36" s="2670"/>
      <c r="Y36" s="2670"/>
      <c r="Z36" s="2670"/>
    </row>
    <row r="37" spans="1:26">
      <c r="A37" s="2657" t="s">
        <v>2588</v>
      </c>
      <c r="B37" s="2671">
        <f t="shared" ref="B37:C39" si="61">B36/(1+N36)</f>
        <v>275.55110220440883</v>
      </c>
      <c r="C37" s="2671">
        <f t="shared" si="61"/>
        <v>231.90723710515795</v>
      </c>
      <c r="D37" s="2671">
        <f t="shared" si="49"/>
        <v>231.90723710515795</v>
      </c>
      <c r="E37" s="2671">
        <f t="shared" ref="E37:F39" si="62">E36/(1+P36)</f>
        <v>377.28276138872161</v>
      </c>
      <c r="F37" s="2671">
        <f t="shared" si="62"/>
        <v>212.02468644236512</v>
      </c>
      <c r="G37" s="3583">
        <v>2011</v>
      </c>
      <c r="H37" s="2682">
        <v>3</v>
      </c>
      <c r="I37" s="2682">
        <v>0.13</v>
      </c>
      <c r="J37" s="2682">
        <v>0.75</v>
      </c>
      <c r="K37" s="2682">
        <v>-0.08</v>
      </c>
      <c r="L37" s="2683">
        <v>0.53</v>
      </c>
      <c r="N37" s="2666">
        <f t="shared" si="51"/>
        <v>1.2999999999999999E-3</v>
      </c>
      <c r="O37" s="2684">
        <f t="shared" si="51"/>
        <v>7.4999999999999997E-3</v>
      </c>
      <c r="P37" s="2684">
        <f t="shared" si="51"/>
        <v>-8.0000000000000004E-4</v>
      </c>
      <c r="Q37" s="2684">
        <f t="shared" si="51"/>
        <v>5.3E-3</v>
      </c>
      <c r="R37" s="2668"/>
      <c r="S37" s="2666"/>
      <c r="T37" s="2667"/>
      <c r="U37" s="2667"/>
      <c r="V37" s="2667"/>
    </row>
    <row r="38" spans="1:26">
      <c r="A38" s="2657" t="s">
        <v>2589</v>
      </c>
      <c r="B38" s="2671">
        <f t="shared" si="61"/>
        <v>275.19335084830601</v>
      </c>
      <c r="C38" s="2671">
        <f t="shared" si="61"/>
        <v>230.18088050139744</v>
      </c>
      <c r="D38" s="2671">
        <f t="shared" si="49"/>
        <v>230.18088050139744</v>
      </c>
      <c r="E38" s="2671">
        <f t="shared" si="62"/>
        <v>377.58482925212331</v>
      </c>
      <c r="F38" s="2671">
        <f t="shared" si="62"/>
        <v>210.90687997847917</v>
      </c>
      <c r="G38" s="3583">
        <v>2011</v>
      </c>
      <c r="H38" s="2662">
        <v>2</v>
      </c>
      <c r="I38" s="2662">
        <v>-0.4</v>
      </c>
      <c r="J38" s="2662">
        <v>0.17</v>
      </c>
      <c r="K38" s="2662">
        <v>-0.57999999999999996</v>
      </c>
      <c r="L38" s="2673">
        <v>-0.2</v>
      </c>
      <c r="N38" s="2666">
        <f t="shared" si="51"/>
        <v>-4.0000000000000001E-3</v>
      </c>
      <c r="O38" s="2684">
        <f t="shared" si="51"/>
        <v>1.7000000000000001E-3</v>
      </c>
      <c r="P38" s="2684">
        <f t="shared" si="51"/>
        <v>-5.7999999999999996E-3</v>
      </c>
      <c r="Q38" s="2684">
        <f t="shared" si="51"/>
        <v>-2E-3</v>
      </c>
      <c r="R38" s="2668"/>
      <c r="S38" s="2666"/>
      <c r="T38" s="2667"/>
      <c r="U38" s="2667"/>
      <c r="V38" s="2667"/>
    </row>
    <row r="39" spans="1:26" ht="13.5" thickBot="1">
      <c r="A39" s="2657" t="s">
        <v>2590</v>
      </c>
      <c r="B39" s="2671">
        <f t="shared" si="61"/>
        <v>276.29854502841971</v>
      </c>
      <c r="C39" s="2671">
        <f t="shared" si="61"/>
        <v>229.79023709833027</v>
      </c>
      <c r="D39" s="2671">
        <f t="shared" si="49"/>
        <v>229.79023709833027</v>
      </c>
      <c r="E39" s="2671">
        <f t="shared" si="62"/>
        <v>379.78759731655936</v>
      </c>
      <c r="F39" s="2671">
        <f t="shared" si="62"/>
        <v>211.32953905659235</v>
      </c>
      <c r="G39" s="3584">
        <v>2011</v>
      </c>
      <c r="H39" s="2661">
        <v>1</v>
      </c>
      <c r="I39" s="2661">
        <v>2.65</v>
      </c>
      <c r="J39" s="2661">
        <v>3.76</v>
      </c>
      <c r="K39" s="2661">
        <v>1.89</v>
      </c>
      <c r="L39" s="2672">
        <v>7.95</v>
      </c>
      <c r="N39" s="2674">
        <f t="shared" si="51"/>
        <v>2.6499999999999999E-2</v>
      </c>
      <c r="O39" s="2675">
        <f t="shared" si="51"/>
        <v>3.7599999999999995E-2</v>
      </c>
      <c r="P39" s="2675">
        <f t="shared" si="51"/>
        <v>1.89E-2</v>
      </c>
      <c r="Q39" s="2675">
        <f t="shared" si="51"/>
        <v>7.9500000000000001E-2</v>
      </c>
      <c r="R39" s="2668"/>
      <c r="S39" s="2674">
        <f>B39/B40-1</f>
        <v>2.713213765211786E-2</v>
      </c>
      <c r="T39" s="2675">
        <f>C39/C40-1</f>
        <v>3.9774828499231862E-2</v>
      </c>
      <c r="U39" s="2675">
        <f>E39/E40-1</f>
        <v>1.8197311840641772E-2</v>
      </c>
      <c r="V39" s="2675">
        <f>F39/F40-1</f>
        <v>7.8211933962205826E-2</v>
      </c>
      <c r="X39" s="2676"/>
      <c r="Y39" s="2676"/>
      <c r="Z39" s="2676"/>
    </row>
    <row r="40" spans="1:26" ht="13.5" thickBot="1">
      <c r="A40" s="2657" t="s">
        <v>2591</v>
      </c>
      <c r="B40" s="2663">
        <v>269</v>
      </c>
      <c r="C40" s="2663">
        <v>221</v>
      </c>
      <c r="D40" s="2663">
        <f t="shared" si="49"/>
        <v>221</v>
      </c>
      <c r="E40" s="2663">
        <v>373</v>
      </c>
      <c r="F40" s="2664">
        <v>196</v>
      </c>
      <c r="G40" s="3582">
        <v>2010</v>
      </c>
      <c r="H40" s="2677">
        <v>4</v>
      </c>
      <c r="I40" s="2677">
        <v>5.72</v>
      </c>
      <c r="J40" s="2677">
        <v>6.57</v>
      </c>
      <c r="K40" s="2677">
        <v>5.72</v>
      </c>
      <c r="L40" s="2678">
        <v>2.72</v>
      </c>
      <c r="N40" s="2666">
        <f t="shared" si="51"/>
        <v>5.7200000000000001E-2</v>
      </c>
      <c r="O40" s="2667">
        <f t="shared" si="51"/>
        <v>6.5700000000000008E-2</v>
      </c>
      <c r="P40" s="2667">
        <f t="shared" si="51"/>
        <v>5.7200000000000001E-2</v>
      </c>
      <c r="Q40" s="2667">
        <f t="shared" si="51"/>
        <v>2.7200000000000002E-2</v>
      </c>
      <c r="R40" s="2668"/>
      <c r="S40" s="2669"/>
      <c r="T40" s="2670"/>
      <c r="U40" s="2670"/>
      <c r="V40" s="2670"/>
      <c r="X40" s="2670"/>
      <c r="Y40" s="2670"/>
      <c r="Z40" s="2670"/>
    </row>
    <row r="41" spans="1:26">
      <c r="A41" s="2657" t="s">
        <v>2592</v>
      </c>
      <c r="B41" s="2671">
        <f t="shared" ref="B41:C43" si="63">B40/(1+N40)</f>
        <v>254.44570563753314</v>
      </c>
      <c r="C41" s="2671">
        <f t="shared" si="63"/>
        <v>207.37543398705074</v>
      </c>
      <c r="D41" s="2671">
        <f t="shared" si="49"/>
        <v>207.37543398705074</v>
      </c>
      <c r="E41" s="2671">
        <f t="shared" ref="E41:F43" si="64">E40/(1+P40)</f>
        <v>352.81876655315932</v>
      </c>
      <c r="F41" s="2671">
        <f t="shared" si="64"/>
        <v>190.809968847352</v>
      </c>
      <c r="G41" s="3583">
        <v>2010</v>
      </c>
      <c r="H41" s="2682">
        <v>3</v>
      </c>
      <c r="I41" s="2682">
        <v>4.7300000000000004</v>
      </c>
      <c r="J41" s="2682">
        <v>3.9</v>
      </c>
      <c r="K41" s="2682">
        <v>5.03</v>
      </c>
      <c r="L41" s="2683">
        <v>4.21</v>
      </c>
      <c r="N41" s="2666">
        <f t="shared" si="51"/>
        <v>4.7300000000000002E-2</v>
      </c>
      <c r="O41" s="2667">
        <f t="shared" si="51"/>
        <v>3.9E-2</v>
      </c>
      <c r="P41" s="2667">
        <f t="shared" si="51"/>
        <v>5.0300000000000004E-2</v>
      </c>
      <c r="Q41" s="2667">
        <f t="shared" si="51"/>
        <v>4.2099999999999999E-2</v>
      </c>
      <c r="R41" s="2668"/>
      <c r="S41" s="2666"/>
      <c r="T41" s="2667"/>
      <c r="U41" s="2667"/>
      <c r="V41" s="2667"/>
    </row>
    <row r="42" spans="1:26">
      <c r="A42" s="2657" t="s">
        <v>2593</v>
      </c>
      <c r="B42" s="2671">
        <f t="shared" si="63"/>
        <v>242.95398227588385</v>
      </c>
      <c r="C42" s="2671">
        <f t="shared" si="63"/>
        <v>199.59137053614126</v>
      </c>
      <c r="D42" s="2671">
        <f t="shared" si="49"/>
        <v>199.59137053614126</v>
      </c>
      <c r="E42" s="2671">
        <f t="shared" si="64"/>
        <v>335.92189522342125</v>
      </c>
      <c r="F42" s="2671">
        <f t="shared" si="64"/>
        <v>183.10139991109489</v>
      </c>
      <c r="G42" s="3583">
        <v>2010</v>
      </c>
      <c r="H42" s="2662">
        <v>2</v>
      </c>
      <c r="I42" s="2662">
        <v>4.6900000000000004</v>
      </c>
      <c r="J42" s="2662">
        <v>3.55</v>
      </c>
      <c r="K42" s="2662">
        <v>5.07</v>
      </c>
      <c r="L42" s="2673">
        <v>4.2300000000000004</v>
      </c>
      <c r="N42" s="2666">
        <f t="shared" si="51"/>
        <v>4.6900000000000004E-2</v>
      </c>
      <c r="O42" s="2667">
        <f t="shared" si="51"/>
        <v>3.5499999999999997E-2</v>
      </c>
      <c r="P42" s="2667">
        <f t="shared" si="51"/>
        <v>5.0700000000000002E-2</v>
      </c>
      <c r="Q42" s="2667">
        <f t="shared" si="51"/>
        <v>4.2300000000000004E-2</v>
      </c>
      <c r="R42" s="2668"/>
      <c r="S42" s="2666"/>
      <c r="T42" s="2667"/>
      <c r="U42" s="2667"/>
      <c r="V42" s="2667"/>
    </row>
    <row r="43" spans="1:26" ht="13.5" thickBot="1">
      <c r="A43" s="2657" t="s">
        <v>2594</v>
      </c>
      <c r="B43" s="2671">
        <f t="shared" si="63"/>
        <v>232.06990378821649</v>
      </c>
      <c r="C43" s="2671">
        <f t="shared" si="63"/>
        <v>192.74878854286936</v>
      </c>
      <c r="D43" s="2671">
        <f t="shared" si="49"/>
        <v>192.74878854286936</v>
      </c>
      <c r="E43" s="2671">
        <f t="shared" si="64"/>
        <v>319.71247284992984</v>
      </c>
      <c r="F43" s="2671">
        <f t="shared" si="64"/>
        <v>175.67053622862409</v>
      </c>
      <c r="G43" s="3584">
        <v>2010</v>
      </c>
      <c r="H43" s="2661">
        <v>1</v>
      </c>
      <c r="I43" s="2661">
        <v>5.4</v>
      </c>
      <c r="J43" s="2661">
        <v>3.2</v>
      </c>
      <c r="K43" s="2661">
        <v>6.16</v>
      </c>
      <c r="L43" s="2672">
        <v>4.51</v>
      </c>
      <c r="N43" s="2666">
        <f t="shared" si="51"/>
        <v>5.4000000000000006E-2</v>
      </c>
      <c r="O43" s="2667">
        <f t="shared" si="51"/>
        <v>3.2000000000000001E-2</v>
      </c>
      <c r="P43" s="2667">
        <f t="shared" si="51"/>
        <v>6.1600000000000002E-2</v>
      </c>
      <c r="Q43" s="2667">
        <f t="shared" si="51"/>
        <v>4.5100000000000001E-2</v>
      </c>
      <c r="R43" s="2668"/>
      <c r="S43" s="2674">
        <f>B43/B44-1</f>
        <v>5.4863199037347599E-2</v>
      </c>
      <c r="T43" s="2675">
        <f>C43/C44-1</f>
        <v>3.0742184721226584E-2</v>
      </c>
      <c r="U43" s="2675">
        <f>E43/E44-1</f>
        <v>6.2167683886810154E-2</v>
      </c>
      <c r="V43" s="2675">
        <f>F43/F44-1</f>
        <v>4.5657953741810031E-2</v>
      </c>
      <c r="X43" s="2676"/>
      <c r="Y43" s="2676"/>
      <c r="Z43" s="2676"/>
    </row>
    <row r="44" spans="1:26" ht="13.5" thickBot="1">
      <c r="A44" s="2657" t="s">
        <v>2595</v>
      </c>
      <c r="B44" s="2663">
        <v>220</v>
      </c>
      <c r="C44" s="2663">
        <v>187</v>
      </c>
      <c r="D44" s="2663">
        <f t="shared" si="49"/>
        <v>187</v>
      </c>
      <c r="E44" s="2663">
        <v>301</v>
      </c>
      <c r="F44" s="2664">
        <v>168</v>
      </c>
      <c r="G44" s="3582">
        <v>2009</v>
      </c>
      <c r="H44" s="2677">
        <v>4</v>
      </c>
      <c r="I44" s="2677">
        <v>2.2999999999999998</v>
      </c>
      <c r="J44" s="2677">
        <v>1.04</v>
      </c>
      <c r="K44" s="2677">
        <v>2.84</v>
      </c>
      <c r="L44" s="2678">
        <v>0.67</v>
      </c>
      <c r="N44" s="2679">
        <f t="shared" si="51"/>
        <v>2.3E-2</v>
      </c>
      <c r="O44" s="2680">
        <f t="shared" si="51"/>
        <v>1.04E-2</v>
      </c>
      <c r="P44" s="2680">
        <f t="shared" si="51"/>
        <v>2.8399999999999998E-2</v>
      </c>
      <c r="Q44" s="2680">
        <f t="shared" si="51"/>
        <v>6.7000000000000002E-3</v>
      </c>
      <c r="R44" s="2668"/>
      <c r="S44" s="2669"/>
      <c r="T44" s="2670"/>
      <c r="U44" s="2670"/>
      <c r="V44" s="2670"/>
      <c r="X44" s="2670"/>
      <c r="Y44" s="2670"/>
      <c r="Z44" s="2670"/>
    </row>
    <row r="45" spans="1:26">
      <c r="A45" s="2657" t="s">
        <v>2596</v>
      </c>
      <c r="B45" s="2671">
        <f t="shared" ref="B45:C47" si="65">B44/(1+N44)</f>
        <v>215.05376344086022</v>
      </c>
      <c r="C45" s="2671">
        <f t="shared" si="65"/>
        <v>185.0752177355503</v>
      </c>
      <c r="D45" s="2671">
        <f t="shared" si="49"/>
        <v>185.0752177355503</v>
      </c>
      <c r="E45" s="2671">
        <f t="shared" ref="E45:F47" si="66">E44/(1+P44)</f>
        <v>292.68767016725008</v>
      </c>
      <c r="F45" s="2671">
        <f t="shared" si="66"/>
        <v>166.88189132810174</v>
      </c>
      <c r="G45" s="3583">
        <v>2009</v>
      </c>
      <c r="H45" s="2682">
        <v>3</v>
      </c>
      <c r="I45" s="2682">
        <v>2.1</v>
      </c>
      <c r="J45" s="2682">
        <v>1.86</v>
      </c>
      <c r="K45" s="2682">
        <v>2.29</v>
      </c>
      <c r="L45" s="2683">
        <v>0.85</v>
      </c>
      <c r="N45" s="2666">
        <f t="shared" si="51"/>
        <v>2.1000000000000001E-2</v>
      </c>
      <c r="O45" s="2684">
        <f t="shared" si="51"/>
        <v>1.8600000000000002E-2</v>
      </c>
      <c r="P45" s="2684">
        <f t="shared" si="51"/>
        <v>2.29E-2</v>
      </c>
      <c r="Q45" s="2684">
        <f t="shared" si="51"/>
        <v>8.5000000000000006E-3</v>
      </c>
      <c r="R45" s="2668"/>
      <c r="S45" s="2666"/>
      <c r="T45" s="2667"/>
      <c r="U45" s="2667"/>
      <c r="V45" s="2667"/>
    </row>
    <row r="46" spans="1:26">
      <c r="A46" s="2657" t="s">
        <v>2597</v>
      </c>
      <c r="B46" s="2671">
        <f t="shared" si="65"/>
        <v>210.630522469011</v>
      </c>
      <c r="C46" s="2671">
        <f t="shared" si="65"/>
        <v>181.69567812247232</v>
      </c>
      <c r="D46" s="2671">
        <f t="shared" si="49"/>
        <v>181.69567812247232</v>
      </c>
      <c r="E46" s="2671">
        <f t="shared" si="66"/>
        <v>286.13517466736738</v>
      </c>
      <c r="F46" s="2671">
        <f t="shared" si="66"/>
        <v>165.47535084591149</v>
      </c>
      <c r="G46" s="3583">
        <v>2009</v>
      </c>
      <c r="H46" s="2662">
        <v>2</v>
      </c>
      <c r="I46" s="2662">
        <v>0.86</v>
      </c>
      <c r="J46" s="2662">
        <v>-1.1299999999999999</v>
      </c>
      <c r="K46" s="2662">
        <v>1.79</v>
      </c>
      <c r="L46" s="2673">
        <v>-2.0699999999999998</v>
      </c>
      <c r="N46" s="2666">
        <f t="shared" si="51"/>
        <v>8.6E-3</v>
      </c>
      <c r="O46" s="2684">
        <f t="shared" si="51"/>
        <v>-1.1299999999999999E-2</v>
      </c>
      <c r="P46" s="2684">
        <f t="shared" si="51"/>
        <v>1.7899999999999999E-2</v>
      </c>
      <c r="Q46" s="2684">
        <f t="shared" si="51"/>
        <v>-2.07E-2</v>
      </c>
      <c r="R46" s="2668"/>
      <c r="S46" s="2666"/>
      <c r="T46" s="2667"/>
      <c r="U46" s="2667"/>
      <c r="V46" s="2667"/>
    </row>
    <row r="47" spans="1:26">
      <c r="A47" s="2657" t="s">
        <v>2598</v>
      </c>
      <c r="B47" s="2671">
        <f t="shared" si="65"/>
        <v>208.83454537875372</v>
      </c>
      <c r="C47" s="2671">
        <f t="shared" si="65"/>
        <v>183.77230517090351</v>
      </c>
      <c r="D47" s="2671">
        <f t="shared" si="49"/>
        <v>183.77230517090351</v>
      </c>
      <c r="E47" s="2671">
        <f t="shared" si="66"/>
        <v>281.10342338870947</v>
      </c>
      <c r="F47" s="2671">
        <f t="shared" si="66"/>
        <v>168.97309388942256</v>
      </c>
      <c r="G47" s="3584">
        <v>2009</v>
      </c>
      <c r="H47" s="2661">
        <v>1</v>
      </c>
      <c r="I47" s="2661">
        <v>-2.64</v>
      </c>
      <c r="J47" s="2661">
        <v>-2.5299999999999998</v>
      </c>
      <c r="K47" s="2661">
        <v>-3.02</v>
      </c>
      <c r="L47" s="2672">
        <v>1.52</v>
      </c>
      <c r="N47" s="2674">
        <f t="shared" si="51"/>
        <v>-2.64E-2</v>
      </c>
      <c r="O47" s="2675">
        <f t="shared" si="51"/>
        <v>-2.53E-2</v>
      </c>
      <c r="P47" s="2675">
        <f t="shared" si="51"/>
        <v>-3.0200000000000001E-2</v>
      </c>
      <c r="Q47" s="2675">
        <f t="shared" si="51"/>
        <v>1.52E-2</v>
      </c>
      <c r="R47" s="2668"/>
      <c r="S47" s="2674">
        <f>B47/B48-1</f>
        <v>-2.4137638417038754E-2</v>
      </c>
      <c r="T47" s="2675">
        <f>C47/C48-1</f>
        <v>-2.248773845264096E-2</v>
      </c>
      <c r="U47" s="2675">
        <f>E47/E48-1</f>
        <v>-2.7323794502735366E-2</v>
      </c>
      <c r="V47" s="2675">
        <f>F47/F48-1</f>
        <v>1.7910204153148035E-2</v>
      </c>
      <c r="X47" s="2676"/>
      <c r="Y47" s="2676"/>
      <c r="Z47" s="2676"/>
    </row>
    <row r="48" spans="1:26" ht="13.5" thickBot="1">
      <c r="A48" s="2657" t="s">
        <v>2599</v>
      </c>
      <c r="B48" s="2701">
        <v>214</v>
      </c>
      <c r="C48" s="2701">
        <v>188</v>
      </c>
      <c r="D48" s="2701">
        <f t="shared" si="49"/>
        <v>188</v>
      </c>
      <c r="E48" s="2701">
        <v>289</v>
      </c>
      <c r="F48" s="2702">
        <v>166</v>
      </c>
      <c r="G48" s="3582">
        <v>2008</v>
      </c>
      <c r="H48" s="2677">
        <v>4</v>
      </c>
      <c r="I48" s="2677">
        <v>1.73</v>
      </c>
      <c r="J48" s="2677">
        <v>0.03</v>
      </c>
      <c r="K48" s="2677">
        <v>2.59</v>
      </c>
      <c r="L48" s="2678">
        <v>-1.66</v>
      </c>
      <c r="N48" s="2666">
        <f t="shared" si="51"/>
        <v>1.7299999999999999E-2</v>
      </c>
      <c r="O48" s="2667">
        <f t="shared" si="51"/>
        <v>2.9999999999999997E-4</v>
      </c>
      <c r="P48" s="2667">
        <f t="shared" si="51"/>
        <v>2.5899999999999999E-2</v>
      </c>
      <c r="Q48" s="2667">
        <f t="shared" si="51"/>
        <v>-1.66E-2</v>
      </c>
      <c r="R48" s="2668"/>
      <c r="S48" s="2669"/>
      <c r="T48" s="2670"/>
      <c r="U48" s="2670"/>
      <c r="V48" s="2670"/>
      <c r="X48" s="2670"/>
      <c r="Y48" s="2670"/>
      <c r="Z48" s="2670"/>
    </row>
    <row r="49" spans="1:26">
      <c r="A49" s="2657" t="s">
        <v>2600</v>
      </c>
      <c r="B49" s="2671">
        <f t="shared" ref="B49:C51" si="67">B48/(1+N48)</f>
        <v>210.36075887152265</v>
      </c>
      <c r="C49" s="2671">
        <f t="shared" si="67"/>
        <v>187.94361691492554</v>
      </c>
      <c r="D49" s="2671">
        <f t="shared" si="49"/>
        <v>187.94361691492554</v>
      </c>
      <c r="E49" s="2671">
        <f t="shared" ref="E49:F51" si="68">E48/(1+P48)</f>
        <v>281.70386977288234</v>
      </c>
      <c r="F49" s="2671">
        <f t="shared" si="68"/>
        <v>168.80211511083994</v>
      </c>
      <c r="G49" s="3583">
        <v>2008</v>
      </c>
      <c r="H49" s="2682">
        <v>3</v>
      </c>
      <c r="I49" s="2682">
        <v>1.96</v>
      </c>
      <c r="J49" s="2682">
        <v>2.36</v>
      </c>
      <c r="K49" s="2682">
        <v>1.82</v>
      </c>
      <c r="L49" s="2683">
        <v>2.2200000000000002</v>
      </c>
      <c r="N49" s="2666">
        <f t="shared" si="51"/>
        <v>1.9599999999999999E-2</v>
      </c>
      <c r="O49" s="2667">
        <f t="shared" si="51"/>
        <v>2.3599999999999999E-2</v>
      </c>
      <c r="P49" s="2667">
        <f t="shared" si="51"/>
        <v>1.8200000000000001E-2</v>
      </c>
      <c r="Q49" s="2667">
        <f t="shared" si="51"/>
        <v>2.2200000000000001E-2</v>
      </c>
      <c r="R49" s="2668"/>
      <c r="S49" s="2666"/>
      <c r="T49" s="2667"/>
      <c r="U49" s="2667"/>
      <c r="V49" s="2667"/>
    </row>
    <row r="50" spans="1:26">
      <c r="A50" s="2657" t="s">
        <v>2601</v>
      </c>
      <c r="B50" s="2671">
        <f t="shared" si="67"/>
        <v>206.31694671589116</v>
      </c>
      <c r="C50" s="2671">
        <f t="shared" si="67"/>
        <v>183.61041121036101</v>
      </c>
      <c r="D50" s="2671">
        <f t="shared" si="49"/>
        <v>183.61041121036101</v>
      </c>
      <c r="E50" s="2671">
        <f t="shared" si="68"/>
        <v>276.66850301795557</v>
      </c>
      <c r="F50" s="2671">
        <f t="shared" si="68"/>
        <v>165.1360938278614</v>
      </c>
      <c r="G50" s="3583">
        <v>2008</v>
      </c>
      <c r="H50" s="2662">
        <v>2</v>
      </c>
      <c r="I50" s="2662">
        <v>4.93</v>
      </c>
      <c r="J50" s="2662">
        <v>7.38</v>
      </c>
      <c r="K50" s="2662">
        <v>3.98</v>
      </c>
      <c r="L50" s="2673">
        <v>6.86</v>
      </c>
      <c r="N50" s="2666">
        <f t="shared" si="51"/>
        <v>4.9299999999999997E-2</v>
      </c>
      <c r="O50" s="2667">
        <f t="shared" si="51"/>
        <v>7.3800000000000004E-2</v>
      </c>
      <c r="P50" s="2667">
        <f t="shared" si="51"/>
        <v>3.9800000000000002E-2</v>
      </c>
      <c r="Q50" s="2667">
        <f t="shared" si="51"/>
        <v>6.8600000000000008E-2</v>
      </c>
      <c r="R50" s="2668"/>
      <c r="S50" s="2666"/>
      <c r="T50" s="2667"/>
      <c r="U50" s="2667"/>
      <c r="V50" s="2667"/>
    </row>
    <row r="51" spans="1:26" s="2707" customFormat="1" ht="13.5" thickBot="1">
      <c r="A51" s="2657" t="s">
        <v>2602</v>
      </c>
      <c r="B51" s="2704">
        <f t="shared" si="67"/>
        <v>196.62341248059772</v>
      </c>
      <c r="C51" s="2704">
        <f t="shared" si="67"/>
        <v>170.99125648199012</v>
      </c>
      <c r="D51" s="2704">
        <f t="shared" si="49"/>
        <v>170.99125648199012</v>
      </c>
      <c r="E51" s="2704">
        <f t="shared" si="68"/>
        <v>266.07857570490052</v>
      </c>
      <c r="F51" s="2704">
        <f t="shared" si="68"/>
        <v>154.53499328828505</v>
      </c>
      <c r="G51" s="3584">
        <v>2008</v>
      </c>
      <c r="H51" s="2705">
        <v>1</v>
      </c>
      <c r="I51" s="2705">
        <v>4.1399999999999997</v>
      </c>
      <c r="J51" s="2705">
        <v>3.45</v>
      </c>
      <c r="K51" s="2705">
        <v>4.95</v>
      </c>
      <c r="L51" s="2706">
        <v>4.82</v>
      </c>
      <c r="N51" s="2708">
        <f t="shared" si="51"/>
        <v>4.1399999999999999E-2</v>
      </c>
      <c r="O51" s="2709">
        <f t="shared" si="51"/>
        <v>3.4500000000000003E-2</v>
      </c>
      <c r="P51" s="2709">
        <f t="shared" si="51"/>
        <v>4.9500000000000002E-2</v>
      </c>
      <c r="Q51" s="2709">
        <f t="shared" si="51"/>
        <v>4.82E-2</v>
      </c>
      <c r="R51" s="2710"/>
      <c r="S51" s="2708">
        <f>B51/B52-1</f>
        <v>4.5869215322328349E-2</v>
      </c>
      <c r="T51" s="2709">
        <f>C51/C52-1</f>
        <v>3.6310645345394743E-2</v>
      </c>
      <c r="U51" s="2709">
        <f>E51/E52-1</f>
        <v>4.7553447657088688E-2</v>
      </c>
      <c r="V51" s="2709">
        <f>F51/F52-1</f>
        <v>4.4155360055980086E-2</v>
      </c>
      <c r="X51" s="2711"/>
      <c r="Y51" s="2711"/>
      <c r="Z51" s="2711"/>
    </row>
    <row r="52" spans="1:26" ht="13.5" thickBot="1">
      <c r="A52" s="2657" t="s">
        <v>2603</v>
      </c>
      <c r="B52" s="2663">
        <v>188</v>
      </c>
      <c r="C52" s="2663">
        <v>165</v>
      </c>
      <c r="D52" s="2663">
        <f t="shared" si="49"/>
        <v>165</v>
      </c>
      <c r="E52" s="2663">
        <v>254</v>
      </c>
      <c r="F52" s="2664">
        <v>148</v>
      </c>
      <c r="G52" s="3582">
        <v>2007</v>
      </c>
      <c r="H52" s="2712">
        <v>4</v>
      </c>
      <c r="I52" s="2712">
        <v>5.51</v>
      </c>
      <c r="J52" s="2712">
        <v>4.8899999999999997</v>
      </c>
      <c r="K52" s="2712">
        <v>6.43</v>
      </c>
      <c r="L52" s="2713">
        <v>5.36</v>
      </c>
      <c r="N52" s="2714">
        <f t="shared" ref="N52:O55" si="69">B52/B53-1</f>
        <v>4.1339718365245526E-2</v>
      </c>
      <c r="O52" s="2715">
        <f t="shared" si="69"/>
        <v>4.0324492593776018E-2</v>
      </c>
      <c r="P52" s="2715">
        <f t="shared" ref="P52:Q55" si="70">E52/E53-1</f>
        <v>6.1625555347990968E-2</v>
      </c>
      <c r="Q52" s="2715">
        <f t="shared" si="70"/>
        <v>4.6757569250590603E-2</v>
      </c>
      <c r="R52" s="2668"/>
      <c r="S52" s="2669"/>
      <c r="T52" s="2670"/>
      <c r="U52" s="2670"/>
      <c r="V52" s="2670"/>
      <c r="X52" s="2670"/>
      <c r="Y52" s="2670"/>
      <c r="Z52" s="2670"/>
    </row>
    <row r="53" spans="1:26">
      <c r="A53" s="2657" t="s">
        <v>2604</v>
      </c>
      <c r="B53" s="2671">
        <f t="shared" ref="B53:C55" si="71">B54+(B$52-B$56)*I53/SUM(I$52:I$55)</f>
        <v>180.5366651097618</v>
      </c>
      <c r="C53" s="2671">
        <f t="shared" si="71"/>
        <v>158.60435967302453</v>
      </c>
      <c r="D53" s="2671">
        <f t="shared" si="49"/>
        <v>158.60435967302453</v>
      </c>
      <c r="E53" s="2671">
        <f t="shared" ref="E53:F55" si="72">E54+(E$52-E$56)*K53/SUM(K$52:K$55)</f>
        <v>239.25573260785075</v>
      </c>
      <c r="F53" s="2671">
        <f t="shared" si="72"/>
        <v>141.38899430740037</v>
      </c>
      <c r="G53" s="3583">
        <v>2007</v>
      </c>
      <c r="H53" s="2682">
        <v>3</v>
      </c>
      <c r="I53" s="2682">
        <v>8.65</v>
      </c>
      <c r="J53" s="2682">
        <v>8.06</v>
      </c>
      <c r="K53" s="2682">
        <v>9.94</v>
      </c>
      <c r="L53" s="2683">
        <v>5.8</v>
      </c>
      <c r="N53" s="2714">
        <f t="shared" si="69"/>
        <v>6.940217571740015E-2</v>
      </c>
      <c r="O53" s="2715">
        <f t="shared" si="69"/>
        <v>7.1197482471153428E-2</v>
      </c>
      <c r="P53" s="2715">
        <f t="shared" si="70"/>
        <v>0.10529679922579582</v>
      </c>
      <c r="Q53" s="2715">
        <f t="shared" si="70"/>
        <v>5.3292245059512133E-2</v>
      </c>
      <c r="R53" s="2668"/>
      <c r="S53" s="2666"/>
      <c r="T53" s="2667"/>
      <c r="U53" s="2667"/>
      <c r="V53" s="2667"/>
      <c r="X53" s="2716"/>
      <c r="Y53" s="2716"/>
      <c r="Z53" s="2716"/>
    </row>
    <row r="54" spans="1:26">
      <c r="A54" s="2657" t="s">
        <v>2605</v>
      </c>
      <c r="B54" s="2671">
        <f t="shared" si="71"/>
        <v>168.82017748715555</v>
      </c>
      <c r="C54" s="2671">
        <f t="shared" si="71"/>
        <v>148.06267029972753</v>
      </c>
      <c r="D54" s="2671">
        <f t="shared" si="49"/>
        <v>148.06267029972753</v>
      </c>
      <c r="E54" s="2671">
        <f t="shared" si="72"/>
        <v>216.46288379323747</v>
      </c>
      <c r="F54" s="2671">
        <f t="shared" si="72"/>
        <v>134.23529411764704</v>
      </c>
      <c r="G54" s="3583">
        <v>2007</v>
      </c>
      <c r="H54" s="2662">
        <v>2</v>
      </c>
      <c r="I54" s="2662">
        <v>3.67</v>
      </c>
      <c r="J54" s="2662">
        <v>2.3199999999999998</v>
      </c>
      <c r="K54" s="2662">
        <v>5.0199999999999996</v>
      </c>
      <c r="L54" s="2673">
        <v>6.71</v>
      </c>
      <c r="N54" s="2714">
        <f t="shared" si="69"/>
        <v>3.0339138143848032E-2</v>
      </c>
      <c r="O54" s="2715">
        <f t="shared" si="69"/>
        <v>2.0922341588790472E-2</v>
      </c>
      <c r="P54" s="2715">
        <f t="shared" si="70"/>
        <v>5.6164796592717003E-2</v>
      </c>
      <c r="Q54" s="2715">
        <f t="shared" si="70"/>
        <v>6.5704536723887319E-2</v>
      </c>
      <c r="R54" s="2668"/>
      <c r="S54" s="2666"/>
      <c r="T54" s="2667"/>
      <c r="U54" s="2667"/>
      <c r="V54" s="2667"/>
      <c r="X54" s="2716"/>
      <c r="Y54" s="2716"/>
      <c r="Z54" s="2716"/>
    </row>
    <row r="55" spans="1:26">
      <c r="A55" s="2657" t="s">
        <v>2606</v>
      </c>
      <c r="B55" s="2671">
        <f t="shared" si="71"/>
        <v>163.84913591779542</v>
      </c>
      <c r="C55" s="2671">
        <f t="shared" si="71"/>
        <v>145.0283378746594</v>
      </c>
      <c r="D55" s="2671">
        <f t="shared" si="49"/>
        <v>145.0283378746594</v>
      </c>
      <c r="E55" s="2671">
        <f t="shared" si="72"/>
        <v>204.95180722891567</v>
      </c>
      <c r="F55" s="2671">
        <f t="shared" si="72"/>
        <v>125.95920303605313</v>
      </c>
      <c r="G55" s="3584">
        <v>2007</v>
      </c>
      <c r="H55" s="2661">
        <v>1</v>
      </c>
      <c r="I55" s="2661">
        <v>3.58</v>
      </c>
      <c r="J55" s="2661">
        <v>3.08</v>
      </c>
      <c r="K55" s="2661">
        <v>4.34</v>
      </c>
      <c r="L55" s="2672">
        <v>3.21</v>
      </c>
      <c r="N55" s="2717">
        <f t="shared" si="69"/>
        <v>3.0497710174814063E-2</v>
      </c>
      <c r="O55" s="2718">
        <f t="shared" si="69"/>
        <v>2.8569772160704998E-2</v>
      </c>
      <c r="P55" s="2718">
        <f t="shared" si="70"/>
        <v>5.1034908866234296E-2</v>
      </c>
      <c r="Q55" s="2718">
        <f t="shared" si="70"/>
        <v>3.245248390207478E-2</v>
      </c>
      <c r="R55" s="2668"/>
      <c r="S55" s="2674">
        <f>B55/B56-1</f>
        <v>3.0497710174814063E-2</v>
      </c>
      <c r="T55" s="2675">
        <f>C55/C56-1</f>
        <v>2.8569772160704998E-2</v>
      </c>
      <c r="U55" s="2675">
        <f>E55/E56-1</f>
        <v>5.1034908866234296E-2</v>
      </c>
      <c r="V55" s="2675">
        <f>F55/F56-1</f>
        <v>3.245248390207478E-2</v>
      </c>
      <c r="X55" s="2716"/>
      <c r="Y55" s="2716"/>
      <c r="Z55" s="2716"/>
    </row>
    <row r="56" spans="1:26" ht="13.5" thickBot="1">
      <c r="A56" s="2657" t="s">
        <v>2607</v>
      </c>
      <c r="B56" s="2685">
        <v>159</v>
      </c>
      <c r="C56" s="2685">
        <v>141</v>
      </c>
      <c r="D56" s="2685">
        <f t="shared" si="49"/>
        <v>141</v>
      </c>
      <c r="E56" s="2685">
        <v>195</v>
      </c>
      <c r="F56" s="2686">
        <v>122</v>
      </c>
      <c r="G56" s="3582">
        <v>2006</v>
      </c>
      <c r="H56" s="2677">
        <v>4</v>
      </c>
      <c r="I56" s="2677">
        <v>3.79</v>
      </c>
      <c r="J56" s="2677">
        <v>2.21</v>
      </c>
      <c r="K56" s="2677">
        <v>5.65</v>
      </c>
      <c r="L56" s="2678">
        <v>5.41</v>
      </c>
      <c r="N56" s="2714">
        <f t="shared" ref="N56:O59" si="73">I56/SUM(I$56:I$59)*(B$56/B$60-1)</f>
        <v>7.245466462748526E-2</v>
      </c>
      <c r="O56" s="2715">
        <f t="shared" si="73"/>
        <v>2.3237230038062766E-2</v>
      </c>
      <c r="P56" s="2715">
        <f t="shared" ref="P56:Q59" si="74">K56/SUM(K$56:K$59)*(E$56/E$60-1)</f>
        <v>0.16146893866323722</v>
      </c>
      <c r="Q56" s="2715">
        <f t="shared" si="74"/>
        <v>5.0755230321793784E-2</v>
      </c>
      <c r="R56" s="2668"/>
      <c r="S56" s="2669"/>
      <c r="T56" s="2670"/>
      <c r="U56" s="2670"/>
      <c r="V56" s="2670"/>
      <c r="X56" s="2716"/>
      <c r="Y56" s="2716"/>
      <c r="Z56" s="2716"/>
    </row>
    <row r="57" spans="1:26">
      <c r="A57" s="2657" t="s">
        <v>2608</v>
      </c>
      <c r="B57" s="2671">
        <f t="shared" ref="B57:C59" si="75">B58+(B$56-B$60)*I57/SUM(I$56:I$59)</f>
        <v>149.00125628140702</v>
      </c>
      <c r="C57" s="2671">
        <f t="shared" si="75"/>
        <v>137.95592286501378</v>
      </c>
      <c r="D57" s="2671">
        <f t="shared" si="49"/>
        <v>137.95592286501378</v>
      </c>
      <c r="E57" s="2671">
        <f t="shared" ref="E57:F59" si="76">E58+(E$56-E$60)*K57/SUM(K$56:K$59)</f>
        <v>169.97231450719823</v>
      </c>
      <c r="F57" s="2671">
        <f t="shared" si="76"/>
        <v>116.21390374331551</v>
      </c>
      <c r="G57" s="3583">
        <v>2006</v>
      </c>
      <c r="H57" s="2682">
        <v>3</v>
      </c>
      <c r="I57" s="2682">
        <v>0.92</v>
      </c>
      <c r="J57" s="2682">
        <v>1.08</v>
      </c>
      <c r="K57" s="2682">
        <v>0.73</v>
      </c>
      <c r="L57" s="2683">
        <v>1.08</v>
      </c>
      <c r="N57" s="2714">
        <f t="shared" si="73"/>
        <v>1.7587939698492462E-2</v>
      </c>
      <c r="O57" s="2715">
        <f t="shared" si="73"/>
        <v>1.1355750425840628E-2</v>
      </c>
      <c r="P57" s="2715">
        <f t="shared" si="74"/>
        <v>2.0862358446754544E-2</v>
      </c>
      <c r="Q57" s="2715">
        <f t="shared" si="74"/>
        <v>1.0132282578103011E-2</v>
      </c>
      <c r="R57" s="2668"/>
      <c r="S57" s="2666"/>
      <c r="T57" s="2667"/>
      <c r="U57" s="2667"/>
      <c r="V57" s="2667"/>
      <c r="X57" s="2716"/>
      <c r="Y57" s="2716"/>
      <c r="Z57" s="2716"/>
    </row>
    <row r="58" spans="1:26">
      <c r="A58" s="2657" t="s">
        <v>2609</v>
      </c>
      <c r="B58" s="2671">
        <f t="shared" si="75"/>
        <v>146.57412060301507</v>
      </c>
      <c r="C58" s="2671">
        <f t="shared" si="75"/>
        <v>136.46831955922866</v>
      </c>
      <c r="D58" s="2671">
        <f t="shared" si="49"/>
        <v>136.46831955922866</v>
      </c>
      <c r="E58" s="2671">
        <f t="shared" si="76"/>
        <v>166.73864894795128</v>
      </c>
      <c r="F58" s="2671">
        <f t="shared" si="76"/>
        <v>115.05882352941177</v>
      </c>
      <c r="G58" s="3583">
        <v>2006</v>
      </c>
      <c r="H58" s="2662">
        <v>2</v>
      </c>
      <c r="I58" s="2662">
        <v>0.96</v>
      </c>
      <c r="J58" s="2662">
        <v>0.25</v>
      </c>
      <c r="K58" s="2662">
        <v>1.9</v>
      </c>
      <c r="L58" s="2673">
        <v>0.95</v>
      </c>
      <c r="N58" s="2714">
        <f t="shared" si="73"/>
        <v>1.8352632728861701E-2</v>
      </c>
      <c r="O58" s="2715">
        <f t="shared" si="73"/>
        <v>2.6286459319075526E-3</v>
      </c>
      <c r="P58" s="2715">
        <f t="shared" si="74"/>
        <v>5.4299289107991269E-2</v>
      </c>
      <c r="Q58" s="2715">
        <f t="shared" si="74"/>
        <v>8.9126559714794995E-3</v>
      </c>
      <c r="R58" s="2668"/>
      <c r="S58" s="2666"/>
      <c r="T58" s="2667"/>
      <c r="U58" s="2667"/>
      <c r="V58" s="2667"/>
      <c r="X58" s="2716"/>
      <c r="Y58" s="2716"/>
      <c r="Z58" s="2716"/>
    </row>
    <row r="59" spans="1:26">
      <c r="A59" s="2657" t="s">
        <v>2610</v>
      </c>
      <c r="B59" s="2671">
        <f t="shared" si="75"/>
        <v>144.04145728643215</v>
      </c>
      <c r="C59" s="2671">
        <f t="shared" si="75"/>
        <v>136.12396694214877</v>
      </c>
      <c r="D59" s="2671">
        <f t="shared" si="49"/>
        <v>136.12396694214877</v>
      </c>
      <c r="E59" s="2671">
        <f t="shared" si="76"/>
        <v>158.32225913621264</v>
      </c>
      <c r="F59" s="2671">
        <f t="shared" si="76"/>
        <v>114.04278074866311</v>
      </c>
      <c r="G59" s="3584">
        <v>2006</v>
      </c>
      <c r="H59" s="2661">
        <v>1</v>
      </c>
      <c r="I59" s="2661">
        <v>2.29</v>
      </c>
      <c r="J59" s="2661">
        <v>3.72</v>
      </c>
      <c r="K59" s="2661">
        <v>0.75</v>
      </c>
      <c r="L59" s="2672">
        <v>0.04</v>
      </c>
      <c r="N59" s="2717">
        <f t="shared" si="73"/>
        <v>4.3778675988638847E-2</v>
      </c>
      <c r="O59" s="2718">
        <f t="shared" si="73"/>
        <v>3.9114251466784385E-2</v>
      </c>
      <c r="P59" s="2718">
        <f t="shared" si="74"/>
        <v>2.1433929911049188E-2</v>
      </c>
      <c r="Q59" s="2718">
        <f t="shared" si="74"/>
        <v>3.7526972511492629E-4</v>
      </c>
      <c r="R59" s="2668"/>
      <c r="S59" s="2674">
        <f>B59/B60-1</f>
        <v>4.3778675988638716E-2</v>
      </c>
      <c r="T59" s="2675">
        <f>C59/C60-1</f>
        <v>3.91142514667846E-2</v>
      </c>
      <c r="U59" s="2675">
        <f>E59/E60-1</f>
        <v>2.143392991104931E-2</v>
      </c>
      <c r="V59" s="2675">
        <f>F59/F60-1</f>
        <v>3.7526972511492396E-4</v>
      </c>
      <c r="X59" s="2716"/>
      <c r="Y59" s="2716"/>
      <c r="Z59" s="2716"/>
    </row>
    <row r="60" spans="1:26" ht="13.5" thickBot="1">
      <c r="A60" s="2657" t="s">
        <v>2611</v>
      </c>
      <c r="B60" s="2685">
        <v>138</v>
      </c>
      <c r="C60" s="2685">
        <v>131</v>
      </c>
      <c r="D60" s="2685">
        <f t="shared" si="49"/>
        <v>131</v>
      </c>
      <c r="E60" s="2685">
        <v>155</v>
      </c>
      <c r="F60" s="2686">
        <v>114</v>
      </c>
      <c r="G60" s="3582">
        <v>2005</v>
      </c>
      <c r="H60" s="2677">
        <v>4</v>
      </c>
      <c r="I60" s="2677">
        <v>3.29</v>
      </c>
      <c r="J60" s="2677">
        <v>1.44</v>
      </c>
      <c r="K60" s="2677">
        <v>0.66</v>
      </c>
      <c r="L60" s="2678">
        <v>7.78</v>
      </c>
      <c r="N60" s="2714">
        <f t="shared" ref="N60:O63" si="77">I60/SUM(I$60:I$63)*(B$60/B$64-1)</f>
        <v>9.9404603216919935E-2</v>
      </c>
      <c r="O60" s="2715">
        <f t="shared" si="77"/>
        <v>4.7636550760861554E-2</v>
      </c>
      <c r="P60" s="2715">
        <f t="shared" ref="P60:Q63" si="78">K60/SUM(K$60:K$63)*(E$60/E$64-1)</f>
        <v>8.3756345177664976E-2</v>
      </c>
      <c r="Q60" s="2715">
        <f t="shared" si="78"/>
        <v>5.2148766661559584E-2</v>
      </c>
      <c r="R60" s="2668"/>
      <c r="S60" s="2669"/>
      <c r="T60" s="2670"/>
      <c r="U60" s="2670"/>
      <c r="V60" s="2670"/>
      <c r="X60" s="2716"/>
      <c r="Y60" s="2716"/>
      <c r="Z60" s="2716"/>
    </row>
    <row r="61" spans="1:26">
      <c r="A61" s="2657" t="s">
        <v>2612</v>
      </c>
      <c r="B61" s="2671">
        <f t="shared" ref="B61:C63" si="79">B62+(B$60-B$64)*I61/SUM(I$60:I$63)</f>
        <v>125.9720430107527</v>
      </c>
      <c r="C61" s="2671">
        <f t="shared" si="79"/>
        <v>125.1883408071749</v>
      </c>
      <c r="D61" s="2671">
        <f t="shared" si="49"/>
        <v>125.1883408071749</v>
      </c>
      <c r="E61" s="2671">
        <f t="shared" ref="E61:F63" si="80">E62+(E$60-E$64)*K61/SUM(K$60:K$63)</f>
        <v>144.61421319796952</v>
      </c>
      <c r="F61" s="2671">
        <f t="shared" si="80"/>
        <v>108.42008196721311</v>
      </c>
      <c r="G61" s="3583">
        <v>2005</v>
      </c>
      <c r="H61" s="2682">
        <v>3</v>
      </c>
      <c r="I61" s="2682">
        <v>0.46</v>
      </c>
      <c r="J61" s="2682">
        <v>0.32</v>
      </c>
      <c r="K61" s="2682">
        <v>0.42</v>
      </c>
      <c r="L61" s="2683">
        <v>0.64</v>
      </c>
      <c r="N61" s="2714">
        <f t="shared" si="77"/>
        <v>1.3898515951301874E-2</v>
      </c>
      <c r="O61" s="2715">
        <f t="shared" si="77"/>
        <v>1.0585900169080346E-2</v>
      </c>
      <c r="P61" s="2715">
        <f t="shared" si="78"/>
        <v>5.3299492385786795E-2</v>
      </c>
      <c r="Q61" s="2715">
        <f t="shared" si="78"/>
        <v>4.2898728359123568E-3</v>
      </c>
      <c r="R61" s="2668"/>
      <c r="S61" s="2666"/>
      <c r="T61" s="2667"/>
      <c r="U61" s="2667"/>
      <c r="V61" s="2667"/>
      <c r="X61" s="2716"/>
      <c r="Y61" s="2716"/>
      <c r="Z61" s="2716"/>
    </row>
    <row r="62" spans="1:26">
      <c r="A62" s="2657" t="s">
        <v>2613</v>
      </c>
      <c r="B62" s="2671">
        <f t="shared" si="79"/>
        <v>124.29032258064517</v>
      </c>
      <c r="C62" s="2671">
        <f t="shared" si="79"/>
        <v>123.8968609865471</v>
      </c>
      <c r="D62" s="2671">
        <f t="shared" si="49"/>
        <v>123.8968609865471</v>
      </c>
      <c r="E62" s="2671">
        <f t="shared" si="80"/>
        <v>138.00507614213197</v>
      </c>
      <c r="F62" s="2671">
        <f t="shared" si="80"/>
        <v>107.96106557377048</v>
      </c>
      <c r="G62" s="3583">
        <v>2005</v>
      </c>
      <c r="H62" s="2662">
        <v>2</v>
      </c>
      <c r="I62" s="2662">
        <v>0.47</v>
      </c>
      <c r="J62" s="2662">
        <v>0.1</v>
      </c>
      <c r="K62" s="2662">
        <v>0.52</v>
      </c>
      <c r="L62" s="2673">
        <v>0.79</v>
      </c>
      <c r="N62" s="2714">
        <f t="shared" si="77"/>
        <v>1.420065760241713E-2</v>
      </c>
      <c r="O62" s="2715">
        <f t="shared" si="77"/>
        <v>3.3080938028376083E-3</v>
      </c>
      <c r="P62" s="2715">
        <f t="shared" si="78"/>
        <v>6.598984771573603E-2</v>
      </c>
      <c r="Q62" s="2715">
        <f t="shared" si="78"/>
        <v>5.2953117818293153E-3</v>
      </c>
      <c r="R62" s="2668"/>
      <c r="S62" s="2666"/>
      <c r="T62" s="2667"/>
      <c r="U62" s="2667"/>
      <c r="V62" s="2667"/>
      <c r="X62" s="2716"/>
      <c r="Y62" s="2716"/>
      <c r="Z62" s="2716"/>
    </row>
    <row r="63" spans="1:26">
      <c r="A63" s="2657" t="s">
        <v>2614</v>
      </c>
      <c r="B63" s="2671">
        <f t="shared" si="79"/>
        <v>122.57204301075269</v>
      </c>
      <c r="C63" s="2671">
        <f t="shared" si="79"/>
        <v>123.4932735426009</v>
      </c>
      <c r="D63" s="2671">
        <f t="shared" si="49"/>
        <v>123.4932735426009</v>
      </c>
      <c r="E63" s="2671">
        <f t="shared" si="80"/>
        <v>129.82233502538071</v>
      </c>
      <c r="F63" s="2671">
        <f t="shared" si="80"/>
        <v>107.39446721311475</v>
      </c>
      <c r="G63" s="3584">
        <v>2005</v>
      </c>
      <c r="H63" s="2661">
        <v>1</v>
      </c>
      <c r="I63" s="2661">
        <v>0.43</v>
      </c>
      <c r="J63" s="2661">
        <v>0.37</v>
      </c>
      <c r="K63" s="2661">
        <v>0.37</v>
      </c>
      <c r="L63" s="2672">
        <v>0.55000000000000004</v>
      </c>
      <c r="N63" s="2717">
        <f t="shared" si="77"/>
        <v>1.2992090997956099E-2</v>
      </c>
      <c r="O63" s="2718">
        <f t="shared" si="77"/>
        <v>1.2239947070499151E-2</v>
      </c>
      <c r="P63" s="2718">
        <f t="shared" si="78"/>
        <v>4.6954314720812178E-2</v>
      </c>
      <c r="Q63" s="2718">
        <f t="shared" si="78"/>
        <v>3.6866094683621815E-3</v>
      </c>
      <c r="R63" s="2668"/>
      <c r="S63" s="2674">
        <f>B63/B64-1</f>
        <v>1.2992090997956174E-2</v>
      </c>
      <c r="T63" s="2675">
        <f>C63/C64-1</f>
        <v>1.2239947070499246E-2</v>
      </c>
      <c r="U63" s="2675">
        <f>E63/E64-1</f>
        <v>4.695431472081224E-2</v>
      </c>
      <c r="V63" s="2675">
        <f>F63/F64-1</f>
        <v>3.6866094683620787E-3</v>
      </c>
      <c r="X63" s="2716"/>
      <c r="Y63" s="2716"/>
      <c r="Z63" s="2716"/>
    </row>
    <row r="64" spans="1:26" ht="13.5" thickBot="1">
      <c r="A64" s="2657" t="s">
        <v>2615</v>
      </c>
      <c r="B64" s="2701">
        <v>121</v>
      </c>
      <c r="C64" s="2701">
        <v>122</v>
      </c>
      <c r="D64" s="2701">
        <f t="shared" si="49"/>
        <v>122</v>
      </c>
      <c r="E64" s="2701">
        <v>124</v>
      </c>
      <c r="F64" s="2702">
        <v>107</v>
      </c>
      <c r="G64" s="3582">
        <v>2004</v>
      </c>
      <c r="H64" s="2677">
        <v>4</v>
      </c>
      <c r="I64" s="2677">
        <v>0.33</v>
      </c>
      <c r="J64" s="2677">
        <v>0.5</v>
      </c>
      <c r="K64" s="2677">
        <v>0.5</v>
      </c>
      <c r="L64" s="2678">
        <v>0</v>
      </c>
      <c r="N64" s="2714">
        <f t="shared" ref="N64:O67" si="81">I64/SUM(I$64:I$67)*(B$64/B$68-1)</f>
        <v>1.3391770148526898E-2</v>
      </c>
      <c r="O64" s="2715">
        <f t="shared" si="81"/>
        <v>1.063264221158958E-2</v>
      </c>
      <c r="P64" s="2715">
        <f t="shared" ref="P64:Q67" si="82">K64/SUM(K$64:K$67)*(E$64/E$68-1)</f>
        <v>2.2244466688911134E-2</v>
      </c>
      <c r="Q64" s="2715">
        <f t="shared" si="82"/>
        <v>0</v>
      </c>
      <c r="R64" s="2668"/>
      <c r="S64" s="2669"/>
      <c r="T64" s="2670"/>
      <c r="U64" s="2670"/>
      <c r="V64" s="2670"/>
      <c r="X64" s="2716"/>
      <c r="Y64" s="2716"/>
      <c r="Z64" s="2716"/>
    </row>
    <row r="65" spans="1:26">
      <c r="A65" s="2657" t="s">
        <v>2616</v>
      </c>
      <c r="B65" s="2671">
        <f t="shared" ref="B65:C67" si="83">B66+(B$64-B$68)*I65/SUM(I$64:I$67)</f>
        <v>119.51351351351352</v>
      </c>
      <c r="C65" s="2671">
        <f t="shared" si="83"/>
        <v>120.7878787878788</v>
      </c>
      <c r="D65" s="2671">
        <f t="shared" si="49"/>
        <v>120.7878787878788</v>
      </c>
      <c r="E65" s="2671">
        <f t="shared" ref="E65:F67" si="84">E66+(E$64-E$68)*K65/SUM(K$64:K$67)</f>
        <v>121.5975975975976</v>
      </c>
      <c r="F65" s="2671">
        <f t="shared" si="84"/>
        <v>107</v>
      </c>
      <c r="G65" s="3583">
        <v>2004</v>
      </c>
      <c r="H65" s="2682">
        <v>3</v>
      </c>
      <c r="I65" s="2682">
        <v>0.56000000000000005</v>
      </c>
      <c r="J65" s="2682">
        <v>0.8</v>
      </c>
      <c r="K65" s="2682">
        <v>0.83</v>
      </c>
      <c r="L65" s="2683">
        <v>0.06</v>
      </c>
      <c r="N65" s="2714">
        <f t="shared" si="81"/>
        <v>2.2725428130833527E-2</v>
      </c>
      <c r="O65" s="2715">
        <f t="shared" si="81"/>
        <v>1.7012227538543329E-2</v>
      </c>
      <c r="P65" s="2715">
        <f t="shared" si="82"/>
        <v>3.6925814703592477E-2</v>
      </c>
      <c r="Q65" s="2715">
        <f t="shared" si="82"/>
        <v>2.8846153846153744E-2</v>
      </c>
      <c r="R65" s="2668"/>
      <c r="S65" s="2666"/>
      <c r="T65" s="2667"/>
      <c r="U65" s="2667"/>
      <c r="V65" s="2667"/>
      <c r="X65" s="2716"/>
      <c r="Y65" s="2716"/>
      <c r="Z65" s="2716"/>
    </row>
    <row r="66" spans="1:26">
      <c r="A66" s="2657" t="s">
        <v>2617</v>
      </c>
      <c r="B66" s="2671">
        <f t="shared" si="83"/>
        <v>116.99099099099099</v>
      </c>
      <c r="C66" s="2671">
        <f t="shared" si="83"/>
        <v>118.84848484848486</v>
      </c>
      <c r="D66" s="2671">
        <f t="shared" si="49"/>
        <v>118.84848484848486</v>
      </c>
      <c r="E66" s="2671">
        <f t="shared" si="84"/>
        <v>117.60960960960961</v>
      </c>
      <c r="F66" s="2671">
        <f t="shared" si="84"/>
        <v>104</v>
      </c>
      <c r="G66" s="3583">
        <v>2004</v>
      </c>
      <c r="H66" s="2662">
        <v>2</v>
      </c>
      <c r="I66" s="2662">
        <v>1</v>
      </c>
      <c r="J66" s="2662">
        <v>1.5</v>
      </c>
      <c r="K66" s="2662">
        <v>1.5</v>
      </c>
      <c r="L66" s="2673">
        <v>0</v>
      </c>
      <c r="N66" s="2714">
        <f t="shared" si="81"/>
        <v>4.0581121662202721E-2</v>
      </c>
      <c r="O66" s="2715">
        <f t="shared" si="81"/>
        <v>3.1897926634768738E-2</v>
      </c>
      <c r="P66" s="2715">
        <f t="shared" si="82"/>
        <v>6.6733400066733395E-2</v>
      </c>
      <c r="Q66" s="2715">
        <f t="shared" si="82"/>
        <v>0</v>
      </c>
      <c r="R66" s="2668"/>
      <c r="S66" s="2666"/>
      <c r="T66" s="2667"/>
      <c r="U66" s="2667"/>
      <c r="V66" s="2667"/>
      <c r="X66" s="2716"/>
      <c r="Y66" s="2716"/>
      <c r="Z66" s="2716"/>
    </row>
    <row r="67" spans="1:26" s="2707" customFormat="1" ht="13.5" thickBot="1">
      <c r="A67" s="2657" t="s">
        <v>2618</v>
      </c>
      <c r="B67" s="2704">
        <f t="shared" si="83"/>
        <v>112.48648648648648</v>
      </c>
      <c r="C67" s="2704">
        <f t="shared" si="83"/>
        <v>115.21212121212122</v>
      </c>
      <c r="D67" s="2704">
        <f t="shared" si="49"/>
        <v>115.21212121212122</v>
      </c>
      <c r="E67" s="2704">
        <f t="shared" si="84"/>
        <v>110.4024024024024</v>
      </c>
      <c r="F67" s="2704">
        <f t="shared" si="84"/>
        <v>104</v>
      </c>
      <c r="G67" s="3584">
        <v>2004</v>
      </c>
      <c r="H67" s="2705">
        <v>1</v>
      </c>
      <c r="I67" s="2705">
        <v>0.33</v>
      </c>
      <c r="J67" s="2705">
        <v>0.5</v>
      </c>
      <c r="K67" s="2705">
        <v>0.5</v>
      </c>
      <c r="L67" s="2706">
        <v>0</v>
      </c>
      <c r="N67" s="2719">
        <f t="shared" si="81"/>
        <v>1.3391770148526898E-2</v>
      </c>
      <c r="O67" s="2720">
        <f t="shared" si="81"/>
        <v>1.063264221158958E-2</v>
      </c>
      <c r="P67" s="2720">
        <f t="shared" si="82"/>
        <v>2.2244466688911134E-2</v>
      </c>
      <c r="Q67" s="2720">
        <f t="shared" si="82"/>
        <v>0</v>
      </c>
      <c r="R67" s="2710"/>
      <c r="S67" s="2708">
        <f>B67/B68-1</f>
        <v>1.3391770148526883E-2</v>
      </c>
      <c r="T67" s="2709">
        <f>C67/C68-1</f>
        <v>1.063264221158966E-2</v>
      </c>
      <c r="U67" s="2709">
        <f>E67/E68-1</f>
        <v>2.2244466688911224E-2</v>
      </c>
      <c r="V67" s="2709">
        <f>F67/F68-1</f>
        <v>0</v>
      </c>
      <c r="X67" s="2721"/>
      <c r="Y67" s="2721"/>
      <c r="Z67" s="2721"/>
    </row>
    <row r="68" spans="1:26" ht="13.5" thickBot="1">
      <c r="A68" s="2657" t="s">
        <v>2619</v>
      </c>
      <c r="B68" s="2722">
        <v>111</v>
      </c>
      <c r="C68" s="2722">
        <v>114</v>
      </c>
      <c r="D68" s="2722">
        <f t="shared" si="49"/>
        <v>114</v>
      </c>
      <c r="E68" s="2722">
        <v>108</v>
      </c>
      <c r="F68" s="2723">
        <v>104</v>
      </c>
      <c r="G68" s="3582">
        <v>2003</v>
      </c>
      <c r="H68" s="2712">
        <v>4</v>
      </c>
      <c r="I68" s="2724"/>
      <c r="J68" s="2724"/>
      <c r="K68" s="2724"/>
      <c r="L68" s="2724"/>
      <c r="N68" s="2725"/>
      <c r="O68" s="2724"/>
      <c r="P68" s="2724"/>
      <c r="Q68" s="2724"/>
      <c r="S68" s="2725"/>
      <c r="T68" s="2724"/>
      <c r="U68" s="2724"/>
      <c r="V68" s="2724"/>
      <c r="X68" s="2716"/>
      <c r="Y68" s="2716"/>
      <c r="Z68" s="2716"/>
    </row>
    <row r="69" spans="1:26">
      <c r="A69" s="2657" t="s">
        <v>2620</v>
      </c>
      <c r="B69" s="2726">
        <f t="shared" ref="B69:C71" si="85">B70+(B$68-B$72)/4</f>
        <v>109.75</v>
      </c>
      <c r="C69" s="2726">
        <f t="shared" si="85"/>
        <v>112.25</v>
      </c>
      <c r="D69" s="2726">
        <f t="shared" si="49"/>
        <v>112.25</v>
      </c>
      <c r="E69" s="2726">
        <f t="shared" ref="E69:F71" si="86">E70+(E$68-E$72)/4</f>
        <v>107.25</v>
      </c>
      <c r="F69" s="2726">
        <f t="shared" si="86"/>
        <v>103.5</v>
      </c>
      <c r="G69" s="3583">
        <v>2003</v>
      </c>
      <c r="H69" s="2682">
        <v>3</v>
      </c>
      <c r="I69" s="2724"/>
      <c r="J69" s="2724"/>
      <c r="K69" s="2724"/>
      <c r="L69" s="2724"/>
      <c r="X69" s="2716"/>
      <c r="Y69" s="2716"/>
      <c r="Z69" s="2716"/>
    </row>
    <row r="70" spans="1:26">
      <c r="A70" s="2657" t="s">
        <v>2621</v>
      </c>
      <c r="B70" s="2726">
        <f t="shared" si="85"/>
        <v>108.5</v>
      </c>
      <c r="C70" s="2726">
        <f t="shared" si="85"/>
        <v>110.5</v>
      </c>
      <c r="D70" s="2726">
        <f t="shared" si="49"/>
        <v>110.5</v>
      </c>
      <c r="E70" s="2726">
        <f t="shared" si="86"/>
        <v>106.5</v>
      </c>
      <c r="F70" s="2726">
        <f t="shared" si="86"/>
        <v>103</v>
      </c>
      <c r="G70" s="3583">
        <v>2003</v>
      </c>
      <c r="H70" s="2662">
        <v>2</v>
      </c>
      <c r="I70" s="2724"/>
      <c r="J70" s="2724"/>
      <c r="K70" s="2724"/>
      <c r="L70" s="2724"/>
      <c r="X70" s="2716"/>
      <c r="Y70" s="2716"/>
      <c r="Z70" s="2716"/>
    </row>
    <row r="71" spans="1:26" ht="13.5" thickBot="1">
      <c r="A71" s="2657" t="s">
        <v>2622</v>
      </c>
      <c r="B71" s="2726">
        <f t="shared" si="85"/>
        <v>107.25</v>
      </c>
      <c r="C71" s="2726">
        <f t="shared" si="85"/>
        <v>108.75</v>
      </c>
      <c r="D71" s="2726">
        <f t="shared" si="49"/>
        <v>108.75</v>
      </c>
      <c r="E71" s="2726">
        <f t="shared" si="86"/>
        <v>105.75</v>
      </c>
      <c r="F71" s="2726">
        <f t="shared" si="86"/>
        <v>102.5</v>
      </c>
      <c r="G71" s="3584">
        <v>2003</v>
      </c>
      <c r="H71" s="2727">
        <v>1</v>
      </c>
      <c r="I71" s="2724"/>
      <c r="J71" s="2724"/>
      <c r="K71" s="2724"/>
      <c r="L71" s="2724"/>
      <c r="S71" s="2666"/>
      <c r="T71" s="2667"/>
      <c r="U71" s="2667"/>
      <c r="X71" s="2716"/>
      <c r="Y71" s="2716"/>
      <c r="Z71" s="2716"/>
    </row>
    <row r="72" spans="1:26" ht="13.5" thickBot="1">
      <c r="A72" s="2657" t="s">
        <v>2623</v>
      </c>
      <c r="B72" s="2728">
        <v>106</v>
      </c>
      <c r="C72" s="2728">
        <v>107</v>
      </c>
      <c r="D72" s="2728">
        <f t="shared" si="49"/>
        <v>107</v>
      </c>
      <c r="E72" s="2728">
        <v>105</v>
      </c>
      <c r="F72" s="2729">
        <v>102</v>
      </c>
      <c r="G72" s="3582">
        <v>2002</v>
      </c>
      <c r="H72" s="2677">
        <v>4</v>
      </c>
      <c r="I72" s="2724"/>
      <c r="J72" s="2724"/>
      <c r="K72" s="2724"/>
      <c r="L72" s="2724"/>
      <c r="N72" s="2725"/>
      <c r="O72" s="2724"/>
      <c r="P72" s="2724"/>
      <c r="Q72" s="2724"/>
      <c r="S72" s="2725"/>
      <c r="T72" s="2724"/>
      <c r="U72" s="2724"/>
      <c r="V72" s="2724"/>
      <c r="X72" s="2716"/>
      <c r="Y72" s="2716"/>
      <c r="Z72" s="2716"/>
    </row>
    <row r="73" spans="1:26">
      <c r="A73" s="2657" t="s">
        <v>2624</v>
      </c>
      <c r="B73" s="2726">
        <f t="shared" ref="B73:C75" si="87">B74+(B$72-B$76)/4</f>
        <v>105</v>
      </c>
      <c r="C73" s="2726">
        <f t="shared" si="87"/>
        <v>106</v>
      </c>
      <c r="D73" s="2726">
        <f t="shared" si="49"/>
        <v>106</v>
      </c>
      <c r="E73" s="2726">
        <f t="shared" ref="E73:F75" si="88">E74+(E$72-E$76)/4</f>
        <v>104.5</v>
      </c>
      <c r="F73" s="2726">
        <f t="shared" si="88"/>
        <v>101.5</v>
      </c>
      <c r="G73" s="3583">
        <v>2002</v>
      </c>
      <c r="H73" s="2682">
        <v>3</v>
      </c>
      <c r="I73" s="2724"/>
      <c r="J73" s="2724"/>
      <c r="K73" s="2724"/>
      <c r="L73" s="2724"/>
      <c r="X73" s="2716"/>
      <c r="Y73" s="2716"/>
      <c r="Z73" s="2716"/>
    </row>
    <row r="74" spans="1:26">
      <c r="A74" s="2657" t="s">
        <v>2625</v>
      </c>
      <c r="B74" s="2726">
        <f t="shared" si="87"/>
        <v>104</v>
      </c>
      <c r="C74" s="2726">
        <f t="shared" si="87"/>
        <v>105</v>
      </c>
      <c r="D74" s="2726">
        <f t="shared" si="49"/>
        <v>105</v>
      </c>
      <c r="E74" s="2726">
        <f t="shared" si="88"/>
        <v>104</v>
      </c>
      <c r="F74" s="2726">
        <f t="shared" si="88"/>
        <v>101</v>
      </c>
      <c r="G74" s="3583">
        <v>2002</v>
      </c>
      <c r="H74" s="2662">
        <v>2</v>
      </c>
      <c r="I74" s="2724"/>
      <c r="J74" s="2724"/>
      <c r="K74" s="2724"/>
      <c r="L74" s="2724"/>
      <c r="X74" s="2716"/>
      <c r="Y74" s="2716"/>
      <c r="Z74" s="2716"/>
    </row>
    <row r="75" spans="1:26" s="2693" customFormat="1" ht="13.5" thickBot="1">
      <c r="A75" s="2689" t="s">
        <v>2626</v>
      </c>
      <c r="B75" s="2730">
        <f t="shared" si="87"/>
        <v>103</v>
      </c>
      <c r="C75" s="2730">
        <f t="shared" si="87"/>
        <v>104</v>
      </c>
      <c r="D75" s="2730">
        <f t="shared" si="49"/>
        <v>104</v>
      </c>
      <c r="E75" s="2730">
        <f t="shared" si="88"/>
        <v>103.5</v>
      </c>
      <c r="F75" s="2730">
        <f t="shared" si="88"/>
        <v>100.5</v>
      </c>
      <c r="G75" s="3584">
        <v>2002</v>
      </c>
      <c r="H75" s="2731">
        <v>1</v>
      </c>
      <c r="I75" s="2732"/>
      <c r="J75" s="2732"/>
      <c r="K75" s="2732"/>
      <c r="L75" s="2732"/>
      <c r="N75" s="2733"/>
      <c r="S75" s="2733"/>
      <c r="X75" s="2734"/>
      <c r="Y75" s="2734"/>
      <c r="Z75" s="2734"/>
    </row>
    <row r="76" spans="1:26" ht="13.5" thickBot="1">
      <c r="B76" s="2735">
        <v>102</v>
      </c>
      <c r="C76" s="2736">
        <v>103</v>
      </c>
      <c r="D76" s="2736">
        <f t="shared" si="49"/>
        <v>103</v>
      </c>
      <c r="E76" s="2736">
        <v>103</v>
      </c>
      <c r="F76" s="2737">
        <v>100</v>
      </c>
      <c r="I76" s="2724"/>
      <c r="J76" s="2724"/>
      <c r="K76" s="2724"/>
      <c r="L76" s="2724"/>
      <c r="N76" s="2725"/>
      <c r="O76" s="2724"/>
      <c r="P76" s="2724"/>
      <c r="Q76" s="2724"/>
      <c r="S76" s="2725"/>
      <c r="T76" s="2724"/>
      <c r="U76" s="2724"/>
      <c r="V76" s="2724"/>
      <c r="X76" s="2670"/>
      <c r="Y76" s="2670"/>
      <c r="Z76" s="2670"/>
    </row>
    <row r="78" spans="1:26" s="2739" customFormat="1">
      <c r="A78" s="2738" t="s">
        <v>2627</v>
      </c>
      <c r="G78" s="2740"/>
      <c r="N78" s="2740"/>
      <c r="S78" s="2740"/>
    </row>
    <row r="79" spans="1:26" s="2739" customFormat="1">
      <c r="A79" s="2739" t="s">
        <v>2628</v>
      </c>
      <c r="G79" s="2740"/>
      <c r="N79" s="2740"/>
      <c r="S79" s="2740"/>
    </row>
    <row r="80" spans="1:26" s="2739" customFormat="1">
      <c r="A80" s="2739" t="s">
        <v>2629</v>
      </c>
      <c r="G80" s="2740"/>
      <c r="I80" s="2741"/>
      <c r="J80" s="2741"/>
      <c r="K80" s="2741"/>
      <c r="L80" s="2741"/>
      <c r="N80" s="2742"/>
      <c r="O80" s="2741"/>
      <c r="P80" s="2741"/>
      <c r="Q80" s="2741"/>
      <c r="S80" s="2742"/>
      <c r="T80" s="2741"/>
      <c r="U80" s="2741"/>
      <c r="V80" s="2741"/>
    </row>
    <row r="81" spans="1:22" s="2739" customFormat="1">
      <c r="A81" s="2739" t="s">
        <v>2630</v>
      </c>
      <c r="G81" s="2740"/>
      <c r="N81" s="2740"/>
      <c r="S81" s="2740"/>
    </row>
    <row r="88" spans="1:22" ht="13.5" thickBot="1"/>
    <row r="89" spans="1:22">
      <c r="G89" s="2665"/>
      <c r="S89" s="2743" t="s">
        <v>2631</v>
      </c>
      <c r="T89" s="2744" t="s">
        <v>2632</v>
      </c>
      <c r="U89" s="2744" t="s">
        <v>2633</v>
      </c>
      <c r="V89" s="2744" t="s">
        <v>2634</v>
      </c>
    </row>
    <row r="90" spans="1:22">
      <c r="G90" s="2665"/>
      <c r="N90" s="2669"/>
      <c r="O90" s="2670"/>
      <c r="P90" s="2670"/>
      <c r="Q90" s="2670"/>
      <c r="S90" s="2745">
        <v>2006</v>
      </c>
      <c r="T90" s="2746">
        <v>15.1</v>
      </c>
      <c r="U90" s="2746">
        <v>7.43</v>
      </c>
      <c r="V90" s="2746">
        <v>26.26</v>
      </c>
    </row>
    <row r="91" spans="1:22">
      <c r="G91" s="2665"/>
      <c r="N91" s="2669"/>
      <c r="O91" s="2670"/>
      <c r="P91" s="2670"/>
      <c r="Q91" s="2670"/>
      <c r="S91" s="2748">
        <v>2005</v>
      </c>
      <c r="T91" s="2747">
        <v>13.9</v>
      </c>
      <c r="U91" s="2747">
        <v>7.49</v>
      </c>
      <c r="V91" s="2747">
        <v>24.92</v>
      </c>
    </row>
    <row r="92" spans="1:22">
      <c r="G92" s="2665"/>
      <c r="N92" s="2669"/>
      <c r="O92" s="2670"/>
      <c r="P92" s="2670"/>
      <c r="Q92" s="2670"/>
      <c r="S92" s="2745">
        <v>2004</v>
      </c>
      <c r="T92" s="2746">
        <v>9.48</v>
      </c>
      <c r="U92" s="2746">
        <v>7.2</v>
      </c>
      <c r="V92" s="2746">
        <v>14.68</v>
      </c>
    </row>
    <row r="93" spans="1:22">
      <c r="G93" s="2665"/>
      <c r="N93" s="2669"/>
      <c r="O93" s="2670"/>
      <c r="P93" s="2670"/>
      <c r="Q93" s="2670"/>
      <c r="S93" s="2748">
        <v>2003</v>
      </c>
      <c r="T93" s="2747">
        <v>4.5</v>
      </c>
      <c r="U93" s="2747">
        <v>6.12</v>
      </c>
      <c r="V93" s="2747">
        <v>2.34</v>
      </c>
    </row>
    <row r="94" spans="1:22" ht="13.5" thickBot="1">
      <c r="G94" s="2665"/>
      <c r="N94" s="2669"/>
      <c r="O94" s="2670"/>
      <c r="P94" s="2670"/>
      <c r="Q94" s="2670"/>
      <c r="S94" s="2749">
        <v>2002</v>
      </c>
      <c r="T94" s="2750">
        <v>3.59</v>
      </c>
      <c r="U94" s="2750">
        <v>4.54</v>
      </c>
      <c r="V94" s="2750">
        <v>2.5499999999999998</v>
      </c>
    </row>
    <row r="95" spans="1:22">
      <c r="G95" s="2665"/>
      <c r="N95" s="2669"/>
      <c r="O95" s="2670"/>
      <c r="P95" s="2670"/>
      <c r="Q95" s="2670"/>
    </row>
    <row r="96" spans="1: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row>
    <row r="103" spans="7:19">
      <c r="G103" s="2665"/>
      <c r="N103" s="2669"/>
      <c r="O103" s="2670"/>
      <c r="P103" s="2670"/>
      <c r="Q103" s="2670"/>
    </row>
    <row r="104" spans="7:19">
      <c r="G104" s="2665"/>
      <c r="N104" s="2669"/>
      <c r="O104" s="2670"/>
      <c r="P104" s="2670"/>
      <c r="Q104" s="2670"/>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row r="108" spans="7:19">
      <c r="G108" s="2665"/>
      <c r="N108" s="2669"/>
      <c r="O108" s="2670"/>
      <c r="P108" s="2670"/>
      <c r="Q108" s="2670"/>
      <c r="S108" s="2665"/>
    </row>
    <row r="109" spans="7:19">
      <c r="G109" s="2665"/>
      <c r="N109" s="2669"/>
      <c r="O109" s="2670"/>
      <c r="P109" s="2670"/>
      <c r="Q109" s="2670"/>
      <c r="S109" s="2665"/>
    </row>
    <row r="110" spans="7:19">
      <c r="G110" s="2665"/>
      <c r="N110" s="2669"/>
      <c r="O110" s="2670"/>
      <c r="P110" s="2670"/>
      <c r="Q110" s="2670"/>
      <c r="S110" s="2665"/>
    </row>
  </sheetData>
  <mergeCells count="21">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36:G39"/>
    <mergeCell ref="G40:G43"/>
    <mergeCell ref="G44:G47"/>
    <mergeCell ref="G16:G19"/>
    <mergeCell ref="G20:G23"/>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592" t="s">
        <v>2467</v>
      </c>
      <c r="B1" s="3593"/>
      <c r="C1" s="3594"/>
      <c r="D1" s="3595">
        <f>SUM(I10,I15,I20,I21,I23)</f>
        <v>0</v>
      </c>
      <c r="E1" s="3595"/>
      <c r="F1" s="3595"/>
      <c r="G1" s="3595"/>
      <c r="H1" s="3595"/>
      <c r="I1" s="3596"/>
    </row>
    <row r="2" spans="1:9">
      <c r="A2" s="3597" t="s">
        <v>2468</v>
      </c>
      <c r="B2" s="3598" t="s">
        <v>2469</v>
      </c>
      <c r="C2" s="3598"/>
      <c r="D2" s="2509" t="s">
        <v>2470</v>
      </c>
      <c r="E2" s="2509" t="s">
        <v>2471</v>
      </c>
      <c r="F2" s="2509" t="s">
        <v>2472</v>
      </c>
      <c r="G2" s="2509" t="s">
        <v>2473</v>
      </c>
      <c r="H2" s="2509" t="s">
        <v>2474</v>
      </c>
      <c r="I2" s="2510" t="s">
        <v>2475</v>
      </c>
    </row>
    <row r="3" spans="1:9">
      <c r="A3" s="3597"/>
      <c r="B3" s="3598" t="s">
        <v>2476</v>
      </c>
      <c r="C3" s="3598"/>
      <c r="D3" s="2511"/>
      <c r="E3" s="2509"/>
      <c r="F3" s="2512"/>
      <c r="G3" s="2512"/>
      <c r="H3" s="2513"/>
      <c r="I3" s="2514">
        <f>ROUND(D3*E3*F3*G3*H3/10000,0)</f>
        <v>0</v>
      </c>
    </row>
    <row r="4" spans="1:9">
      <c r="A4" s="3597"/>
      <c r="B4" s="3598" t="s">
        <v>2477</v>
      </c>
      <c r="C4" s="3598"/>
      <c r="D4" s="2511"/>
      <c r="E4" s="2509"/>
      <c r="F4" s="2512"/>
      <c r="G4" s="2512"/>
      <c r="H4" s="2513"/>
      <c r="I4" s="2514">
        <f t="shared" ref="I4:I9" si="0">ROUND(D4*E4*F4*G4*H4/10000,0)</f>
        <v>0</v>
      </c>
    </row>
    <row r="5" spans="1:9">
      <c r="A5" s="3597"/>
      <c r="B5" s="3598" t="s">
        <v>2478</v>
      </c>
      <c r="C5" s="3598"/>
      <c r="D5" s="2511"/>
      <c r="E5" s="2509"/>
      <c r="F5" s="2512"/>
      <c r="G5" s="2512"/>
      <c r="H5" s="2513"/>
      <c r="I5" s="2514">
        <f t="shared" si="0"/>
        <v>0</v>
      </c>
    </row>
    <row r="6" spans="1:9">
      <c r="A6" s="3597"/>
      <c r="B6" s="3598" t="s">
        <v>2479</v>
      </c>
      <c r="C6" s="3598"/>
      <c r="D6" s="2511"/>
      <c r="E6" s="2509"/>
      <c r="F6" s="2512"/>
      <c r="G6" s="2512"/>
      <c r="H6" s="2513"/>
      <c r="I6" s="2514">
        <f t="shared" si="0"/>
        <v>0</v>
      </c>
    </row>
    <row r="7" spans="1:9">
      <c r="A7" s="3597"/>
      <c r="B7" s="3598" t="s">
        <v>2480</v>
      </c>
      <c r="C7" s="3598"/>
      <c r="D7" s="2511"/>
      <c r="E7" s="2509"/>
      <c r="F7" s="2512"/>
      <c r="G7" s="2512"/>
      <c r="H7" s="2513"/>
      <c r="I7" s="2514">
        <f t="shared" si="0"/>
        <v>0</v>
      </c>
    </row>
    <row r="8" spans="1:9">
      <c r="A8" s="3597"/>
      <c r="B8" s="3598" t="s">
        <v>2481</v>
      </c>
      <c r="C8" s="3598"/>
      <c r="D8" s="2511"/>
      <c r="E8" s="2509"/>
      <c r="F8" s="2512"/>
      <c r="G8" s="2512"/>
      <c r="H8" s="2513"/>
      <c r="I8" s="2514">
        <f t="shared" si="0"/>
        <v>0</v>
      </c>
    </row>
    <row r="9" spans="1:9">
      <c r="A9" s="3597"/>
      <c r="B9" s="3598" t="s">
        <v>2482</v>
      </c>
      <c r="C9" s="3598"/>
      <c r="D9" s="2511"/>
      <c r="E9" s="2509"/>
      <c r="F9" s="2512"/>
      <c r="G9" s="2512"/>
      <c r="H9" s="2513"/>
      <c r="I9" s="2514">
        <f t="shared" si="0"/>
        <v>0</v>
      </c>
    </row>
    <row r="10" spans="1:9">
      <c r="A10" s="3597"/>
      <c r="B10" s="3599" t="s">
        <v>2483</v>
      </c>
      <c r="C10" s="3599"/>
      <c r="D10" s="2515">
        <v>527</v>
      </c>
      <c r="E10" s="2515" t="e">
        <f>ROUND(D1*10000/D10/H9,0)</f>
        <v>#DIV/0!</v>
      </c>
      <c r="F10" s="2516"/>
      <c r="G10" s="2516"/>
      <c r="H10" s="2517"/>
      <c r="I10" s="2518">
        <f>SUM(I3:I9)</f>
        <v>0</v>
      </c>
    </row>
    <row r="11" spans="1:9" ht="14.25">
      <c r="A11" s="3597" t="s">
        <v>2484</v>
      </c>
      <c r="B11" s="3598" t="s">
        <v>2485</v>
      </c>
      <c r="C11" s="3598"/>
      <c r="D11" s="2511" t="s">
        <v>2486</v>
      </c>
      <c r="E11" s="2511" t="s">
        <v>2487</v>
      </c>
      <c r="F11" s="2512" t="s">
        <v>2488</v>
      </c>
      <c r="G11" s="2512" t="s">
        <v>2489</v>
      </c>
      <c r="H11" s="2519" t="s">
        <v>2490</v>
      </c>
      <c r="I11" s="2510" t="s">
        <v>2491</v>
      </c>
    </row>
    <row r="12" spans="1:9">
      <c r="A12" s="3597"/>
      <c r="B12" s="3598" t="s">
        <v>2492</v>
      </c>
      <c r="C12" s="3598"/>
      <c r="D12" s="2511"/>
      <c r="E12" s="2511"/>
      <c r="F12" s="2512"/>
      <c r="G12" s="2513"/>
      <c r="H12" s="2520"/>
      <c r="I12" s="2510">
        <f>ROUND(D12*E12*F12*G12/10000,0)</f>
        <v>0</v>
      </c>
    </row>
    <row r="13" spans="1:9">
      <c r="A13" s="3597"/>
      <c r="B13" s="3598" t="s">
        <v>2493</v>
      </c>
      <c r="C13" s="3598"/>
      <c r="D13" s="2511"/>
      <c r="E13" s="2511"/>
      <c r="F13" s="2512"/>
      <c r="G13" s="2513"/>
      <c r="H13" s="2520"/>
      <c r="I13" s="2510">
        <f>ROUND(D13*E13*F13*G13/10000,0)</f>
        <v>0</v>
      </c>
    </row>
    <row r="14" spans="1:9">
      <c r="A14" s="3597"/>
      <c r="B14" s="3598" t="s">
        <v>2494</v>
      </c>
      <c r="C14" s="3598"/>
      <c r="D14" s="2511"/>
      <c r="E14" s="2511"/>
      <c r="F14" s="2512"/>
      <c r="G14" s="2513"/>
      <c r="H14" s="2520"/>
      <c r="I14" s="2510">
        <f>ROUND(D14*E14*F14*G14/10000,0)</f>
        <v>0</v>
      </c>
    </row>
    <row r="15" spans="1:9">
      <c r="A15" s="3597"/>
      <c r="B15" s="3599" t="s">
        <v>2483</v>
      </c>
      <c r="C15" s="3599"/>
      <c r="D15" s="2515"/>
      <c r="E15" s="2515">
        <f>SUM(E12:E14)</f>
        <v>0</v>
      </c>
      <c r="F15" s="2516"/>
      <c r="G15" s="2513"/>
      <c r="H15" s="2520"/>
      <c r="I15" s="2521">
        <f>SUM(I12:I14)</f>
        <v>0</v>
      </c>
    </row>
    <row r="16" spans="1:9" ht="24">
      <c r="A16" s="3597" t="s">
        <v>2495</v>
      </c>
      <c r="B16" s="3598" t="s">
        <v>2496</v>
      </c>
      <c r="C16" s="3598"/>
      <c r="D16" s="2511" t="s">
        <v>2497</v>
      </c>
      <c r="E16" s="2522" t="s">
        <v>2498</v>
      </c>
      <c r="F16" s="2512" t="s">
        <v>2499</v>
      </c>
      <c r="G16" s="2513" t="s">
        <v>2489</v>
      </c>
      <c r="H16" s="2519" t="s">
        <v>2490</v>
      </c>
      <c r="I16" s="2510" t="s">
        <v>2491</v>
      </c>
    </row>
    <row r="17" spans="1:9" ht="14.25">
      <c r="A17" s="3597"/>
      <c r="B17" s="3598" t="s">
        <v>2500</v>
      </c>
      <c r="C17" s="3598"/>
      <c r="D17" s="2511"/>
      <c r="E17" s="2511"/>
      <c r="F17" s="2512"/>
      <c r="G17" s="2513"/>
      <c r="H17" s="2523"/>
      <c r="I17" s="2524">
        <f>ROUND(D17*E17*F17*G17/10000,0)</f>
        <v>0</v>
      </c>
    </row>
    <row r="18" spans="1:9" ht="14.25">
      <c r="A18" s="3597"/>
      <c r="B18" s="3598" t="s">
        <v>2501</v>
      </c>
      <c r="C18" s="3598"/>
      <c r="D18" s="2511"/>
      <c r="E18" s="2511"/>
      <c r="F18" s="2512"/>
      <c r="G18" s="2513"/>
      <c r="H18" s="2523"/>
      <c r="I18" s="2524">
        <f>ROUND(D18*E18*F18*G18/10000,0)</f>
        <v>0</v>
      </c>
    </row>
    <row r="19" spans="1:9" ht="14.25">
      <c r="A19" s="3597"/>
      <c r="B19" s="3598" t="s">
        <v>2502</v>
      </c>
      <c r="C19" s="3598"/>
      <c r="D19" s="2511"/>
      <c r="E19" s="2511"/>
      <c r="F19" s="2512"/>
      <c r="G19" s="2513"/>
      <c r="H19" s="2523"/>
      <c r="I19" s="2524">
        <f>ROUND(D19*E19*F19*G19/10000,0)</f>
        <v>0</v>
      </c>
    </row>
    <row r="20" spans="1:9">
      <c r="A20" s="3597"/>
      <c r="B20" s="3599" t="s">
        <v>2483</v>
      </c>
      <c r="C20" s="3599"/>
      <c r="D20" s="2515">
        <f>SUM(D17:D19)</f>
        <v>0</v>
      </c>
      <c r="E20" s="2515"/>
      <c r="F20" s="2516"/>
      <c r="G20" s="2513"/>
      <c r="H20" s="2520"/>
      <c r="I20" s="2521">
        <f>SUM(I17:I19)</f>
        <v>0</v>
      </c>
    </row>
    <row r="21" spans="1:9">
      <c r="A21" s="3597" t="s">
        <v>2503</v>
      </c>
      <c r="B21" s="3601"/>
      <c r="C21" s="3601"/>
      <c r="D21" s="3601"/>
      <c r="E21" s="3601"/>
      <c r="F21" s="3601"/>
      <c r="G21" s="3601"/>
      <c r="H21" s="2525">
        <v>0.1</v>
      </c>
      <c r="I21" s="2518">
        <f>ROUND(I10*H21,0)</f>
        <v>0</v>
      </c>
    </row>
    <row r="22" spans="1:9" ht="14.25">
      <c r="A22" s="3602" t="s">
        <v>2504</v>
      </c>
      <c r="B22" s="3603"/>
      <c r="C22" s="3604"/>
      <c r="D22" s="2526" t="s">
        <v>2505</v>
      </c>
      <c r="E22" s="2526" t="s">
        <v>2506</v>
      </c>
      <c r="F22" s="2527" t="s">
        <v>2507</v>
      </c>
      <c r="G22" s="2527" t="s">
        <v>2508</v>
      </c>
      <c r="H22" s="2519" t="s">
        <v>2509</v>
      </c>
      <c r="I22" s="2510" t="s">
        <v>2510</v>
      </c>
    </row>
    <row r="23" spans="1:9" ht="14.25" thickBot="1">
      <c r="A23" s="3605"/>
      <c r="B23" s="3606"/>
      <c r="C23" s="3607"/>
      <c r="D23" s="2528"/>
      <c r="E23" s="2528"/>
      <c r="F23" s="2528"/>
      <c r="G23" s="2529"/>
      <c r="H23" s="2530"/>
      <c r="I23" s="2531">
        <f>ROUND(E23*D23*F23*(1-G23)/10000,0)</f>
        <v>0</v>
      </c>
    </row>
    <row r="26" spans="1:9">
      <c r="A26" s="2532" t="s">
        <v>2511</v>
      </c>
      <c r="B26" s="2532"/>
      <c r="C26" s="2532"/>
      <c r="D26" s="2532"/>
      <c r="E26" s="3608">
        <f>C27-C30-C31-C32</f>
        <v>0</v>
      </c>
      <c r="F26" s="3608"/>
      <c r="G26" s="3608"/>
      <c r="H26" s="3044" t="s">
        <v>2838</v>
      </c>
    </row>
    <row r="27" spans="1:9">
      <c r="A27" s="2533">
        <v>1</v>
      </c>
      <c r="B27" s="2534" t="s">
        <v>2512</v>
      </c>
      <c r="C27" s="2534"/>
      <c r="D27" s="2534"/>
      <c r="E27" s="3609"/>
      <c r="F27" s="3609"/>
      <c r="G27" s="3609"/>
    </row>
    <row r="28" spans="1:9">
      <c r="A28" s="2535" t="s">
        <v>2513</v>
      </c>
      <c r="B28" s="2534" t="s">
        <v>2514</v>
      </c>
      <c r="C28" s="2534"/>
      <c r="D28" s="2534"/>
      <c r="E28" s="3609"/>
      <c r="F28" s="3609"/>
      <c r="G28" s="3609"/>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600"/>
      <c r="F32" s="3600"/>
      <c r="G32" s="3600"/>
    </row>
    <row r="33" spans="1:7" hidden="1">
      <c r="A33" s="3610" t="s">
        <v>2522</v>
      </c>
      <c r="B33" s="3611"/>
      <c r="C33" s="3611"/>
      <c r="D33" s="3612"/>
      <c r="E33" s="3608"/>
      <c r="F33" s="3608"/>
      <c r="G33" s="3608"/>
    </row>
    <row r="34" spans="1:7" hidden="1">
      <c r="A34" s="2537">
        <v>1</v>
      </c>
      <c r="B34" s="2534" t="s">
        <v>2523</v>
      </c>
      <c r="C34" s="2534"/>
      <c r="D34" s="2534"/>
      <c r="E34" s="3609"/>
      <c r="F34" s="3609"/>
      <c r="G34" s="3609"/>
    </row>
    <row r="35" spans="1:7" hidden="1">
      <c r="A35" s="2537">
        <v>2</v>
      </c>
      <c r="B35" s="2534" t="s">
        <v>2524</v>
      </c>
      <c r="C35" s="2534"/>
      <c r="D35" s="2534"/>
      <c r="E35" s="3609"/>
      <c r="F35" s="3609"/>
      <c r="G35" s="3609"/>
    </row>
    <row r="36" spans="1:7" hidden="1">
      <c r="A36" s="2537">
        <v>3</v>
      </c>
      <c r="B36" s="2534" t="s">
        <v>2525</v>
      </c>
      <c r="C36" s="2534"/>
      <c r="D36" s="2534"/>
      <c r="E36" s="3609"/>
      <c r="F36" s="3609"/>
      <c r="G36" s="3609"/>
    </row>
    <row r="37" spans="1:7" hidden="1">
      <c r="A37" s="2537">
        <v>4</v>
      </c>
      <c r="B37" s="2534" t="s">
        <v>2526</v>
      </c>
      <c r="C37" s="2534"/>
      <c r="D37" s="2534"/>
      <c r="E37" s="3609"/>
      <c r="F37" s="3609"/>
      <c r="G37" s="3609"/>
    </row>
    <row r="38" spans="1:7" hidden="1">
      <c r="A38" s="3610" t="s">
        <v>2527</v>
      </c>
      <c r="B38" s="3611"/>
      <c r="C38" s="3611"/>
      <c r="D38" s="3612"/>
      <c r="E38" s="3608"/>
      <c r="F38" s="3608"/>
      <c r="G38" s="36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7" spans="1:4" ht="93.75">
      <c r="A7" s="2873"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2019年9月3日（评估专业人员勘察现场之日）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根据《国有土地使用证》[]，估价对象（分摊）出让国有建设用地使用权面积为145654.58平方米。根据《建设工程规划许可证》[]、《出让合同》[]，估价对象规划建筑面积为334812平方米。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5"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334812</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5357</v>
      </c>
      <c r="D12" s="758">
        <f>'数据-汇总表'!E5</f>
        <v>334812</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500" t="s">
        <v>519</v>
      </c>
      <c r="D4" s="3501"/>
      <c r="E4" s="3534" t="s">
        <v>520</v>
      </c>
      <c r="F4" s="3535"/>
      <c r="G4" s="3500" t="s">
        <v>521</v>
      </c>
      <c r="H4" s="3501"/>
      <c r="I4" s="3500" t="s">
        <v>522</v>
      </c>
      <c r="J4" s="3501"/>
      <c r="K4" s="853" t="s">
        <v>523</v>
      </c>
      <c r="L4" s="2135"/>
      <c r="M4" s="2136"/>
      <c r="N4" s="2136"/>
      <c r="O4" s="2136"/>
      <c r="P4" s="3502" t="s">
        <v>524</v>
      </c>
      <c r="Q4" s="3503"/>
      <c r="R4" s="3508" t="s">
        <v>520</v>
      </c>
      <c r="S4" s="3509"/>
      <c r="T4" s="3508" t="s">
        <v>521</v>
      </c>
      <c r="U4" s="3509"/>
      <c r="V4" s="3495" t="s">
        <v>522</v>
      </c>
      <c r="W4" s="3495"/>
      <c r="X4" s="1568"/>
      <c r="Y4" s="3508" t="s">
        <v>524</v>
      </c>
      <c r="Z4" s="3509"/>
      <c r="AA4" s="3497" t="s">
        <v>520</v>
      </c>
      <c r="AB4" s="3497" t="s">
        <v>521</v>
      </c>
      <c r="AC4" s="3497" t="s">
        <v>522</v>
      </c>
    </row>
    <row r="5" spans="1:29" ht="15">
      <c r="A5" s="515"/>
      <c r="B5" s="516"/>
      <c r="C5" s="3516" t="s">
        <v>2925</v>
      </c>
      <c r="D5" s="3517"/>
      <c r="E5" s="3536" t="s">
        <v>2926</v>
      </c>
      <c r="F5" s="3537"/>
      <c r="G5" s="3516" t="s">
        <v>2927</v>
      </c>
      <c r="H5" s="3517"/>
      <c r="I5" s="3516" t="s">
        <v>2928</v>
      </c>
      <c r="J5" s="3517"/>
      <c r="K5" s="854"/>
      <c r="L5" s="2135"/>
      <c r="M5" s="2136"/>
      <c r="N5" s="2136"/>
      <c r="O5" s="2136"/>
      <c r="P5" s="3504"/>
      <c r="Q5" s="3505"/>
      <c r="R5" s="3510"/>
      <c r="S5" s="3511"/>
      <c r="T5" s="3510"/>
      <c r="U5" s="3511"/>
      <c r="V5" s="3495"/>
      <c r="W5" s="3495"/>
      <c r="X5" s="1568"/>
      <c r="Y5" s="3510"/>
      <c r="Z5" s="3511"/>
      <c r="AA5" s="3498"/>
      <c r="AB5" s="3498"/>
      <c r="AC5" s="3498"/>
    </row>
    <row r="6" spans="1:29" ht="15.75" thickBot="1">
      <c r="A6" s="517"/>
      <c r="B6" s="518"/>
      <c r="C6" s="3514" t="s">
        <v>2929</v>
      </c>
      <c r="D6" s="3515"/>
      <c r="E6" s="3532" t="s">
        <v>2929</v>
      </c>
      <c r="F6" s="3533"/>
      <c r="G6" s="3514" t="s">
        <v>2929</v>
      </c>
      <c r="H6" s="3515"/>
      <c r="I6" s="3514" t="s">
        <v>2929</v>
      </c>
      <c r="J6" s="3515"/>
      <c r="K6" s="854" t="s">
        <v>525</v>
      </c>
      <c r="L6" s="2135"/>
      <c r="M6" s="2136"/>
      <c r="N6" s="2136"/>
      <c r="O6" s="2136"/>
      <c r="P6" s="3506"/>
      <c r="Q6" s="3507"/>
      <c r="R6" s="3510"/>
      <c r="S6" s="3511"/>
      <c r="T6" s="3512"/>
      <c r="U6" s="3513"/>
      <c r="V6" s="3495"/>
      <c r="W6" s="3495"/>
      <c r="X6" s="1568"/>
      <c r="Y6" s="3512"/>
      <c r="Z6" s="3513"/>
      <c r="AA6" s="3499"/>
      <c r="AB6" s="3499"/>
      <c r="AC6" s="3499"/>
    </row>
    <row r="7" spans="1:29" s="1220" customFormat="1" ht="15.75" thickBot="1">
      <c r="A7" s="2912"/>
      <c r="B7" s="2919" t="s">
        <v>526</v>
      </c>
      <c r="C7" s="519">
        <f>'数据-取费表'!B2</f>
        <v>43711</v>
      </c>
      <c r="D7" s="520">
        <v>100</v>
      </c>
      <c r="E7" s="521"/>
      <c r="F7" s="522">
        <f>SUMIF(58:58,YEAR(E7)&amp;"-"&amp;MONTH(E7),59:59)</f>
        <v>0</v>
      </c>
      <c r="G7" s="523"/>
      <c r="H7" s="520">
        <f>SUMIF(58:58,YEAR(G7)&amp;"-"&amp;MONTH(G7),59:59)</f>
        <v>0</v>
      </c>
      <c r="I7" s="523"/>
      <c r="J7" s="520">
        <f>SUMIF(58:58,YEAR(I7)&amp;"-"&amp;MONTH(I7),59:59)</f>
        <v>0</v>
      </c>
      <c r="K7" s="855"/>
      <c r="L7" s="2137"/>
      <c r="M7" s="2138"/>
      <c r="N7" s="2138"/>
      <c r="O7" s="2138"/>
      <c r="P7" s="3525" t="s">
        <v>527</v>
      </c>
      <c r="Q7" s="3527"/>
      <c r="R7" s="1569" t="s">
        <v>13</v>
      </c>
      <c r="S7" s="1570">
        <f t="shared" ref="S7:S15" si="0">F7</f>
        <v>0</v>
      </c>
      <c r="T7" s="1569" t="s">
        <v>13</v>
      </c>
      <c r="U7" s="1570">
        <f t="shared" ref="U7:U15" si="1">H7</f>
        <v>0</v>
      </c>
      <c r="V7" s="1569" t="s">
        <v>13</v>
      </c>
      <c r="W7" s="1570">
        <f t="shared" ref="W7:W15" si="2">J7</f>
        <v>0</v>
      </c>
      <c r="X7" s="1571"/>
      <c r="Y7" s="3525" t="s">
        <v>527</v>
      </c>
      <c r="Z7" s="3526"/>
      <c r="AA7" s="1572" t="e">
        <f>D7/F7</f>
        <v>#DIV/0!</v>
      </c>
      <c r="AB7" s="1572" t="e">
        <f>D7/H7</f>
        <v>#DIV/0!</v>
      </c>
      <c r="AC7" s="1572" t="e">
        <f>D7/J7</f>
        <v>#DIV/0!</v>
      </c>
    </row>
    <row r="8" spans="1:29" s="1220" customFormat="1" ht="15.75" thickBot="1">
      <c r="A8" s="2913"/>
      <c r="B8" s="2920"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525" t="s">
        <v>530</v>
      </c>
      <c r="Q8" s="3526"/>
      <c r="R8" s="1569" t="s">
        <v>13</v>
      </c>
      <c r="S8" s="1570">
        <f t="shared" si="0"/>
        <v>0</v>
      </c>
      <c r="T8" s="1569" t="s">
        <v>13</v>
      </c>
      <c r="U8" s="1570">
        <f t="shared" si="1"/>
        <v>0</v>
      </c>
      <c r="V8" s="1569" t="s">
        <v>13</v>
      </c>
      <c r="W8" s="1570">
        <f t="shared" si="2"/>
        <v>0</v>
      </c>
      <c r="X8" s="1571"/>
      <c r="Y8" s="3525" t="s">
        <v>530</v>
      </c>
      <c r="Z8" s="3526"/>
      <c r="AA8" s="1572" t="e">
        <f t="shared" ref="AA8:AA46" si="3">D8/F8</f>
        <v>#DIV/0!</v>
      </c>
      <c r="AB8" s="1572" t="e">
        <f t="shared" ref="AB8:AB46" si="4">D8/H8</f>
        <v>#DIV/0!</v>
      </c>
      <c r="AC8" s="1572" t="e">
        <f t="shared" ref="AC8:AC46" si="5">D8/J8</f>
        <v>#DIV/0!</v>
      </c>
    </row>
    <row r="9" spans="1:29" s="1220" customFormat="1" ht="15">
      <c r="A9" s="2914"/>
      <c r="B9" s="2921"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94" t="s">
        <v>532</v>
      </c>
      <c r="Q9" s="1151" t="str">
        <f t="shared" ref="Q9:Q15" si="6">B9</f>
        <v>用途</v>
      </c>
      <c r="R9" s="1569" t="s">
        <v>8</v>
      </c>
      <c r="S9" s="1570">
        <f t="shared" si="0"/>
        <v>100</v>
      </c>
      <c r="T9" s="1569" t="s">
        <v>8</v>
      </c>
      <c r="U9" s="1570">
        <f t="shared" si="1"/>
        <v>100</v>
      </c>
      <c r="V9" s="1569" t="s">
        <v>8</v>
      </c>
      <c r="W9" s="1570">
        <f t="shared" si="2"/>
        <v>100</v>
      </c>
      <c r="X9" s="1571"/>
      <c r="Y9" s="3431"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94"/>
      <c r="Q10" s="1151" t="str">
        <f t="shared" si="6"/>
        <v>土地使用年限（年）</v>
      </c>
      <c r="R10" s="1569" t="s">
        <v>8</v>
      </c>
      <c r="S10" s="1570">
        <f t="shared" si="0"/>
        <v>100</v>
      </c>
      <c r="T10" s="1569" t="s">
        <v>8</v>
      </c>
      <c r="U10" s="1570">
        <f t="shared" si="1"/>
        <v>100</v>
      </c>
      <c r="V10" s="1569" t="s">
        <v>8</v>
      </c>
      <c r="W10" s="1570">
        <f t="shared" si="2"/>
        <v>100</v>
      </c>
      <c r="X10" s="1571"/>
      <c r="Y10" s="3431"/>
      <c r="Z10" s="1150" t="str">
        <f t="shared" si="7"/>
        <v>土地使用年限（年）</v>
      </c>
      <c r="AA10" s="1572">
        <f t="shared" si="3"/>
        <v>1</v>
      </c>
      <c r="AB10" s="1572">
        <f t="shared" si="4"/>
        <v>1</v>
      </c>
      <c r="AC10" s="1572">
        <f t="shared" si="5"/>
        <v>1</v>
      </c>
    </row>
    <row r="11" spans="1:29" ht="15">
      <c r="A11" s="2916"/>
      <c r="B11" s="2920"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94"/>
      <c r="Q11" s="1151" t="str">
        <f t="shared" si="6"/>
        <v>容积率</v>
      </c>
      <c r="R11" s="1569" t="s">
        <v>11</v>
      </c>
      <c r="S11" s="1570" t="e">
        <f t="shared" si="0"/>
        <v>#N/A</v>
      </c>
      <c r="T11" s="1569" t="s">
        <v>11</v>
      </c>
      <c r="U11" s="1570" t="e">
        <f t="shared" si="1"/>
        <v>#N/A</v>
      </c>
      <c r="V11" s="1569" t="s">
        <v>11</v>
      </c>
      <c r="W11" s="1570" t="e">
        <f t="shared" si="2"/>
        <v>#N/A</v>
      </c>
      <c r="X11" s="1571"/>
      <c r="Y11" s="343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94"/>
      <c r="Q12" s="1151">
        <f t="shared" si="6"/>
        <v>111</v>
      </c>
      <c r="R12" s="1569" t="s">
        <v>11</v>
      </c>
      <c r="S12" s="1570">
        <f t="shared" si="0"/>
        <v>100</v>
      </c>
      <c r="T12" s="1569" t="s">
        <v>11</v>
      </c>
      <c r="U12" s="1570">
        <f t="shared" si="1"/>
        <v>100</v>
      </c>
      <c r="V12" s="1569" t="s">
        <v>11</v>
      </c>
      <c r="W12" s="1570">
        <f t="shared" si="2"/>
        <v>100</v>
      </c>
      <c r="X12" s="1571"/>
      <c r="Y12" s="3431"/>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94"/>
      <c r="Q13" s="1151">
        <f t="shared" si="6"/>
        <v>111</v>
      </c>
      <c r="R13" s="1569" t="s">
        <v>11</v>
      </c>
      <c r="S13" s="1570">
        <f t="shared" si="0"/>
        <v>100</v>
      </c>
      <c r="T13" s="1569" t="s">
        <v>11</v>
      </c>
      <c r="U13" s="1570">
        <f t="shared" si="1"/>
        <v>100</v>
      </c>
      <c r="V13" s="1569" t="s">
        <v>11</v>
      </c>
      <c r="W13" s="1570">
        <f t="shared" si="2"/>
        <v>100</v>
      </c>
      <c r="X13" s="1571"/>
      <c r="Y13" s="3431"/>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94"/>
      <c r="Q14" s="1151">
        <f t="shared" si="6"/>
        <v>111</v>
      </c>
      <c r="R14" s="1569" t="s">
        <v>11</v>
      </c>
      <c r="S14" s="1570">
        <f t="shared" si="0"/>
        <v>100</v>
      </c>
      <c r="T14" s="1569" t="s">
        <v>11</v>
      </c>
      <c r="U14" s="1570">
        <f t="shared" si="1"/>
        <v>100</v>
      </c>
      <c r="V14" s="1569" t="s">
        <v>11</v>
      </c>
      <c r="W14" s="1570">
        <f t="shared" si="2"/>
        <v>100</v>
      </c>
      <c r="X14" s="1571"/>
      <c r="Y14" s="3431"/>
      <c r="Z14" s="1150">
        <f t="shared" si="7"/>
        <v>111</v>
      </c>
      <c r="AA14" s="1572">
        <f t="shared" si="3"/>
        <v>1</v>
      </c>
      <c r="AB14" s="1572">
        <f t="shared" si="4"/>
        <v>1</v>
      </c>
      <c r="AC14" s="1572">
        <f t="shared" si="5"/>
        <v>1</v>
      </c>
    </row>
    <row r="15" spans="1:29" ht="99.75">
      <c r="A15" s="2910"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528" t="s">
        <v>537</v>
      </c>
      <c r="Q15" s="1573" t="str">
        <f t="shared" si="6"/>
        <v>居住社区成熟度</v>
      </c>
      <c r="R15" s="1574" t="s">
        <v>11</v>
      </c>
      <c r="S15" s="1575">
        <f t="shared" si="0"/>
        <v>100</v>
      </c>
      <c r="T15" s="1574" t="s">
        <v>11</v>
      </c>
      <c r="U15" s="1575">
        <f t="shared" si="1"/>
        <v>100</v>
      </c>
      <c r="V15" s="1574" t="s">
        <v>11</v>
      </c>
      <c r="W15" s="1575">
        <f t="shared" si="2"/>
        <v>100</v>
      </c>
      <c r="X15" s="1568"/>
      <c r="Y15" s="3528"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529"/>
      <c r="Q16" s="1573"/>
      <c r="R16" s="1574"/>
      <c r="S16" s="1575"/>
      <c r="T16" s="1574"/>
      <c r="U16" s="1575"/>
      <c r="V16" s="1574"/>
      <c r="W16" s="1575"/>
      <c r="X16" s="1568"/>
      <c r="Y16" s="3529"/>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529"/>
      <c r="Q17" s="1573" t="str">
        <f>B17</f>
        <v>交通便捷度</v>
      </c>
      <c r="R17" s="1574" t="s">
        <v>11</v>
      </c>
      <c r="S17" s="1575">
        <f>F17</f>
        <v>100</v>
      </c>
      <c r="T17" s="1574" t="s">
        <v>11</v>
      </c>
      <c r="U17" s="1575">
        <f>H17</f>
        <v>100</v>
      </c>
      <c r="V17" s="1574" t="s">
        <v>11</v>
      </c>
      <c r="W17" s="1575">
        <f>J17</f>
        <v>100</v>
      </c>
      <c r="X17" s="1568"/>
      <c r="Y17" s="352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529"/>
      <c r="Q18" s="1573"/>
      <c r="R18" s="1574"/>
      <c r="S18" s="1575"/>
      <c r="T18" s="1574"/>
      <c r="U18" s="1575"/>
      <c r="V18" s="1574"/>
      <c r="W18" s="1575"/>
      <c r="X18" s="1568"/>
      <c r="Y18" s="3529"/>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529"/>
      <c r="Q19" s="1573" t="str">
        <f>B19</f>
        <v>公共配套设施</v>
      </c>
      <c r="R19" s="1574" t="s">
        <v>11</v>
      </c>
      <c r="S19" s="1575">
        <f>F19</f>
        <v>100</v>
      </c>
      <c r="T19" s="1574" t="s">
        <v>11</v>
      </c>
      <c r="U19" s="1575">
        <f>H19</f>
        <v>100</v>
      </c>
      <c r="V19" s="1574" t="s">
        <v>11</v>
      </c>
      <c r="W19" s="1575">
        <f>J19</f>
        <v>100</v>
      </c>
      <c r="X19" s="1568"/>
      <c r="Y19" s="352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529"/>
      <c r="Q20" s="1573"/>
      <c r="R20" s="1574"/>
      <c r="S20" s="1575"/>
      <c r="T20" s="1574"/>
      <c r="U20" s="1575"/>
      <c r="V20" s="1574"/>
      <c r="W20" s="1575"/>
      <c r="X20" s="1568"/>
      <c r="Y20" s="3529"/>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529"/>
      <c r="Q21" s="2581" t="str">
        <f>B21</f>
        <v>基础设施水平</v>
      </c>
      <c r="R21" s="1574" t="s">
        <v>11</v>
      </c>
      <c r="S21" s="1575">
        <f>F21</f>
        <v>100</v>
      </c>
      <c r="T21" s="1574" t="s">
        <v>11</v>
      </c>
      <c r="U21" s="1575">
        <f>H21</f>
        <v>100</v>
      </c>
      <c r="V21" s="1574" t="s">
        <v>11</v>
      </c>
      <c r="W21" s="1575">
        <f>J21</f>
        <v>100</v>
      </c>
      <c r="X21" s="2583"/>
      <c r="Y21" s="352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529"/>
      <c r="Q22" s="2581"/>
      <c r="R22" s="1574"/>
      <c r="S22" s="1575"/>
      <c r="T22" s="1574"/>
      <c r="U22" s="1575"/>
      <c r="V22" s="1574"/>
      <c r="W22" s="1575"/>
      <c r="X22" s="2583"/>
      <c r="Y22" s="3529"/>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529"/>
      <c r="Q23" s="1573" t="str">
        <f>B23</f>
        <v>自然及人文环境</v>
      </c>
      <c r="R23" s="1574" t="s">
        <v>11</v>
      </c>
      <c r="S23" s="1575">
        <f>F23</f>
        <v>100</v>
      </c>
      <c r="T23" s="1574" t="s">
        <v>11</v>
      </c>
      <c r="U23" s="1575">
        <f>H23</f>
        <v>100</v>
      </c>
      <c r="V23" s="1574" t="s">
        <v>11</v>
      </c>
      <c r="W23" s="1575">
        <f>J23</f>
        <v>100</v>
      </c>
      <c r="X23" s="1568"/>
      <c r="Y23" s="352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529"/>
      <c r="Q24" s="1573"/>
      <c r="R24" s="1574"/>
      <c r="S24" s="1575"/>
      <c r="T24" s="1574"/>
      <c r="U24" s="1575"/>
      <c r="V24" s="1574"/>
      <c r="W24" s="1575"/>
      <c r="X24" s="1568"/>
      <c r="Y24" s="3529"/>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529"/>
      <c r="Q25" s="1573" t="str">
        <f t="shared" ref="Q25:Q46" si="11">B25</f>
        <v>楼层-1</v>
      </c>
      <c r="R25" s="1574" t="s">
        <v>11</v>
      </c>
      <c r="S25" s="1575">
        <f>F25</f>
        <v>100</v>
      </c>
      <c r="T25" s="1574" t="s">
        <v>11</v>
      </c>
      <c r="U25" s="1575">
        <f>H25</f>
        <v>100</v>
      </c>
      <c r="V25" s="1574" t="s">
        <v>11</v>
      </c>
      <c r="W25" s="1575">
        <f>J25</f>
        <v>100</v>
      </c>
      <c r="X25" s="1568"/>
      <c r="Y25" s="3529"/>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529"/>
      <c r="Q26" s="1573" t="str">
        <f t="shared" si="11"/>
        <v>朝向</v>
      </c>
      <c r="R26" s="1574" t="s">
        <v>11</v>
      </c>
      <c r="S26" s="1575">
        <f>F26</f>
        <v>100</v>
      </c>
      <c r="T26" s="1574" t="s">
        <v>11</v>
      </c>
      <c r="U26" s="1575">
        <f>H26</f>
        <v>100</v>
      </c>
      <c r="V26" s="1574" t="s">
        <v>11</v>
      </c>
      <c r="W26" s="1575">
        <f>J26</f>
        <v>100</v>
      </c>
      <c r="X26" s="1568"/>
      <c r="Y26" s="3529"/>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529"/>
      <c r="Q27" s="1151" t="str">
        <f t="shared" si="11"/>
        <v>道路级别</v>
      </c>
      <c r="R27" s="1569" t="s">
        <v>11</v>
      </c>
      <c r="S27" s="1570">
        <f>F27</f>
        <v>100</v>
      </c>
      <c r="T27" s="1569" t="s">
        <v>11</v>
      </c>
      <c r="U27" s="1570">
        <f>H27</f>
        <v>100</v>
      </c>
      <c r="V27" s="1569" t="s">
        <v>11</v>
      </c>
      <c r="W27" s="1570">
        <f>J27</f>
        <v>100</v>
      </c>
      <c r="X27" s="1571"/>
      <c r="Y27" s="352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529"/>
      <c r="Q28" s="1573">
        <f t="shared" si="11"/>
        <v>111</v>
      </c>
      <c r="R28" s="1574" t="s">
        <v>11</v>
      </c>
      <c r="S28" s="1575">
        <f t="shared" ref="S28:S46" si="12">F28</f>
        <v>100</v>
      </c>
      <c r="T28" s="1574" t="s">
        <v>11</v>
      </c>
      <c r="U28" s="1575">
        <f t="shared" ref="U28:U46" si="13">H28</f>
        <v>100</v>
      </c>
      <c r="V28" s="1574" t="s">
        <v>11</v>
      </c>
      <c r="W28" s="1575">
        <f t="shared" ref="W28:W46" si="14">J28</f>
        <v>100</v>
      </c>
      <c r="X28" s="1568"/>
      <c r="Y28" s="352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529"/>
      <c r="Q29" s="1573">
        <f t="shared" si="11"/>
        <v>111</v>
      </c>
      <c r="R29" s="1574" t="s">
        <v>11</v>
      </c>
      <c r="S29" s="1575">
        <f t="shared" si="12"/>
        <v>100</v>
      </c>
      <c r="T29" s="1574" t="s">
        <v>11</v>
      </c>
      <c r="U29" s="1575">
        <f t="shared" si="13"/>
        <v>100</v>
      </c>
      <c r="V29" s="1574" t="s">
        <v>11</v>
      </c>
      <c r="W29" s="1575">
        <f t="shared" si="14"/>
        <v>100</v>
      </c>
      <c r="X29" s="1568"/>
      <c r="Y29" s="352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529"/>
      <c r="Q30" s="1573">
        <f t="shared" si="11"/>
        <v>111</v>
      </c>
      <c r="R30" s="1574" t="s">
        <v>11</v>
      </c>
      <c r="S30" s="1575">
        <f t="shared" si="12"/>
        <v>100</v>
      </c>
      <c r="T30" s="1574" t="s">
        <v>11</v>
      </c>
      <c r="U30" s="1575">
        <f t="shared" si="13"/>
        <v>100</v>
      </c>
      <c r="V30" s="1574" t="s">
        <v>11</v>
      </c>
      <c r="W30" s="1575">
        <f t="shared" si="14"/>
        <v>100</v>
      </c>
      <c r="X30" s="1568"/>
      <c r="Y30" s="352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529"/>
      <c r="Q31" s="1573">
        <f t="shared" si="11"/>
        <v>111</v>
      </c>
      <c r="R31" s="1574" t="s">
        <v>11</v>
      </c>
      <c r="S31" s="1575">
        <f t="shared" si="12"/>
        <v>100</v>
      </c>
      <c r="T31" s="1574" t="s">
        <v>11</v>
      </c>
      <c r="U31" s="1575">
        <f t="shared" si="13"/>
        <v>100</v>
      </c>
      <c r="V31" s="1574" t="s">
        <v>11</v>
      </c>
      <c r="W31" s="1575">
        <f t="shared" si="14"/>
        <v>100</v>
      </c>
      <c r="X31" s="1568"/>
      <c r="Y31" s="3529"/>
      <c r="Z31" s="1576">
        <f t="shared" si="15"/>
        <v>111</v>
      </c>
      <c r="AA31" s="1577">
        <f t="shared" si="3"/>
        <v>1</v>
      </c>
      <c r="AB31" s="1577">
        <f t="shared" si="4"/>
        <v>1</v>
      </c>
      <c r="AC31" s="1577">
        <f t="shared" si="5"/>
        <v>1</v>
      </c>
    </row>
    <row r="32" spans="1:29" ht="15">
      <c r="A32" s="2907"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530" t="s">
        <v>547</v>
      </c>
      <c r="Q32" s="1573" t="str">
        <f t="shared" si="11"/>
        <v>建筑类型</v>
      </c>
      <c r="R32" s="1574" t="s">
        <v>11</v>
      </c>
      <c r="S32" s="1575">
        <f t="shared" si="12"/>
        <v>100</v>
      </c>
      <c r="T32" s="1574" t="s">
        <v>11</v>
      </c>
      <c r="U32" s="1575">
        <f t="shared" si="13"/>
        <v>100</v>
      </c>
      <c r="V32" s="1574" t="s">
        <v>11</v>
      </c>
      <c r="W32" s="1575">
        <f t="shared" si="14"/>
        <v>100</v>
      </c>
      <c r="X32" s="1568"/>
      <c r="Y32" s="3531"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531"/>
      <c r="Q33" s="1606" t="str">
        <f t="shared" si="11"/>
        <v>项目建筑规模</v>
      </c>
      <c r="R33" s="1578" t="s">
        <v>11</v>
      </c>
      <c r="S33" s="1579" t="e">
        <f t="shared" si="12"/>
        <v>#N/A</v>
      </c>
      <c r="T33" s="1578" t="s">
        <v>11</v>
      </c>
      <c r="U33" s="1579" t="e">
        <f t="shared" si="13"/>
        <v>#N/A</v>
      </c>
      <c r="V33" s="1578" t="s">
        <v>11</v>
      </c>
      <c r="W33" s="1579" t="e">
        <f t="shared" si="14"/>
        <v>#N/A</v>
      </c>
      <c r="X33" s="1580"/>
      <c r="Y33" s="3531"/>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531"/>
      <c r="Q34" s="1573" t="str">
        <f t="shared" si="11"/>
        <v>建筑结构</v>
      </c>
      <c r="R34" s="1574" t="s">
        <v>11</v>
      </c>
      <c r="S34" s="1575">
        <f t="shared" si="12"/>
        <v>100</v>
      </c>
      <c r="T34" s="1574" t="s">
        <v>11</v>
      </c>
      <c r="U34" s="1575">
        <f t="shared" si="13"/>
        <v>100</v>
      </c>
      <c r="V34" s="1574" t="s">
        <v>11</v>
      </c>
      <c r="W34" s="1575">
        <f t="shared" si="14"/>
        <v>100</v>
      </c>
      <c r="X34" s="1568"/>
      <c r="Y34" s="3531"/>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531"/>
      <c r="Q35" s="1573" t="str">
        <f t="shared" si="11"/>
        <v>建筑品质</v>
      </c>
      <c r="R35" s="1574" t="s">
        <v>11</v>
      </c>
      <c r="S35" s="1575">
        <f t="shared" si="12"/>
        <v>100</v>
      </c>
      <c r="T35" s="1574" t="s">
        <v>11</v>
      </c>
      <c r="U35" s="1575">
        <f t="shared" si="13"/>
        <v>100</v>
      </c>
      <c r="V35" s="1574" t="s">
        <v>11</v>
      </c>
      <c r="W35" s="1575">
        <f t="shared" si="14"/>
        <v>100</v>
      </c>
      <c r="X35" s="1568"/>
      <c r="Y35" s="3531"/>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531"/>
      <c r="Q36" s="1573" t="str">
        <f t="shared" si="11"/>
        <v>公共部分装修</v>
      </c>
      <c r="R36" s="1574" t="s">
        <v>11</v>
      </c>
      <c r="S36" s="1575">
        <f t="shared" si="12"/>
        <v>100</v>
      </c>
      <c r="T36" s="1574" t="s">
        <v>11</v>
      </c>
      <c r="U36" s="1575">
        <f t="shared" si="13"/>
        <v>100</v>
      </c>
      <c r="V36" s="1574" t="s">
        <v>11</v>
      </c>
      <c r="W36" s="1575">
        <f t="shared" si="14"/>
        <v>100</v>
      </c>
      <c r="X36" s="1568"/>
      <c r="Y36" s="3531"/>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531"/>
      <c r="Q37" s="1151" t="str">
        <f t="shared" si="11"/>
        <v>成新度</v>
      </c>
      <c r="R37" s="1569" t="s">
        <v>11</v>
      </c>
      <c r="S37" s="1570" t="e">
        <f t="shared" si="12"/>
        <v>#N/A</v>
      </c>
      <c r="T37" s="1569" t="s">
        <v>11</v>
      </c>
      <c r="U37" s="1570" t="e">
        <f t="shared" si="13"/>
        <v>#N/A</v>
      </c>
      <c r="V37" s="1569" t="s">
        <v>11</v>
      </c>
      <c r="W37" s="1570" t="e">
        <f t="shared" si="14"/>
        <v>#N/A</v>
      </c>
      <c r="X37" s="1571"/>
      <c r="Y37" s="3531"/>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531" t="s">
        <v>547</v>
      </c>
      <c r="Q38" s="1573" t="str">
        <f t="shared" si="11"/>
        <v>物业管理</v>
      </c>
      <c r="R38" s="1574" t="s">
        <v>11</v>
      </c>
      <c r="S38" s="1575">
        <f t="shared" si="12"/>
        <v>100</v>
      </c>
      <c r="T38" s="1574" t="s">
        <v>11</v>
      </c>
      <c r="U38" s="1575">
        <f t="shared" si="13"/>
        <v>100</v>
      </c>
      <c r="V38" s="1574" t="s">
        <v>11</v>
      </c>
      <c r="W38" s="1575">
        <f t="shared" si="14"/>
        <v>100</v>
      </c>
      <c r="X38" s="1568"/>
      <c r="Y38" s="3531"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531"/>
      <c r="Q39" s="1573" t="str">
        <f t="shared" si="11"/>
        <v>市政基础设施</v>
      </c>
      <c r="R39" s="1574" t="s">
        <v>11</v>
      </c>
      <c r="S39" s="1575">
        <f t="shared" si="12"/>
        <v>100</v>
      </c>
      <c r="T39" s="1574" t="s">
        <v>11</v>
      </c>
      <c r="U39" s="1575">
        <f t="shared" si="13"/>
        <v>100</v>
      </c>
      <c r="V39" s="1574" t="s">
        <v>11</v>
      </c>
      <c r="W39" s="1575">
        <f t="shared" si="14"/>
        <v>100</v>
      </c>
      <c r="X39" s="1568"/>
      <c r="Y39" s="3531"/>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531"/>
      <c r="Q40" s="1573" t="str">
        <f t="shared" si="11"/>
        <v>房型</v>
      </c>
      <c r="R40" s="1574" t="s">
        <v>11</v>
      </c>
      <c r="S40" s="1575">
        <f t="shared" si="12"/>
        <v>100</v>
      </c>
      <c r="T40" s="1574" t="s">
        <v>11</v>
      </c>
      <c r="U40" s="1575">
        <f t="shared" si="13"/>
        <v>100</v>
      </c>
      <c r="V40" s="1574" t="s">
        <v>11</v>
      </c>
      <c r="W40" s="1575">
        <f t="shared" si="14"/>
        <v>100</v>
      </c>
      <c r="X40" s="1568"/>
      <c r="Y40" s="3531"/>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531"/>
      <c r="Q41" s="1606" t="str">
        <f t="shared" si="11"/>
        <v>单套/主力户型建筑面积</v>
      </c>
      <c r="R41" s="1578" t="s">
        <v>11</v>
      </c>
      <c r="S41" s="1579">
        <f t="shared" si="12"/>
        <v>100</v>
      </c>
      <c r="T41" s="1578" t="s">
        <v>11</v>
      </c>
      <c r="U41" s="1579">
        <f t="shared" si="13"/>
        <v>100</v>
      </c>
      <c r="V41" s="1578" t="s">
        <v>11</v>
      </c>
      <c r="W41" s="1579">
        <f t="shared" si="14"/>
        <v>100</v>
      </c>
      <c r="X41" s="1580"/>
      <c r="Y41" s="3531"/>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531"/>
      <c r="Q42" s="1573" t="str">
        <f t="shared" si="11"/>
        <v>内部装修</v>
      </c>
      <c r="R42" s="1574" t="s">
        <v>11</v>
      </c>
      <c r="S42" s="1575">
        <f t="shared" si="12"/>
        <v>100</v>
      </c>
      <c r="T42" s="1574" t="s">
        <v>11</v>
      </c>
      <c r="U42" s="1575">
        <f t="shared" si="13"/>
        <v>100</v>
      </c>
      <c r="V42" s="1574" t="s">
        <v>11</v>
      </c>
      <c r="W42" s="1575">
        <f t="shared" si="14"/>
        <v>100</v>
      </c>
      <c r="X42" s="1568"/>
      <c r="Y42" s="3531"/>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531"/>
      <c r="Q43" s="1573" t="str">
        <f t="shared" si="11"/>
        <v>内部装修维护情况</v>
      </c>
      <c r="R43" s="1574" t="s">
        <v>11</v>
      </c>
      <c r="S43" s="1575">
        <f t="shared" si="12"/>
        <v>100</v>
      </c>
      <c r="T43" s="1574" t="s">
        <v>11</v>
      </c>
      <c r="U43" s="1575">
        <f t="shared" si="13"/>
        <v>100</v>
      </c>
      <c r="V43" s="1574" t="s">
        <v>11</v>
      </c>
      <c r="W43" s="1575">
        <f t="shared" si="14"/>
        <v>100</v>
      </c>
      <c r="X43" s="1568"/>
      <c r="Y43" s="353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531"/>
      <c r="Q44" s="1151">
        <f t="shared" si="11"/>
        <v>111</v>
      </c>
      <c r="R44" s="1569" t="s">
        <v>11</v>
      </c>
      <c r="S44" s="1570">
        <f t="shared" si="12"/>
        <v>100</v>
      </c>
      <c r="T44" s="1569" t="s">
        <v>11</v>
      </c>
      <c r="U44" s="1570">
        <f t="shared" si="13"/>
        <v>100</v>
      </c>
      <c r="V44" s="1569" t="s">
        <v>11</v>
      </c>
      <c r="W44" s="1570">
        <f t="shared" si="14"/>
        <v>100</v>
      </c>
      <c r="X44" s="1571"/>
      <c r="Y44" s="353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531"/>
      <c r="Q45" s="1573">
        <f t="shared" si="11"/>
        <v>111</v>
      </c>
      <c r="R45" s="1574" t="s">
        <v>11</v>
      </c>
      <c r="S45" s="1575">
        <f t="shared" si="12"/>
        <v>100</v>
      </c>
      <c r="T45" s="1574" t="s">
        <v>11</v>
      </c>
      <c r="U45" s="1575">
        <f t="shared" si="13"/>
        <v>100</v>
      </c>
      <c r="V45" s="1574" t="s">
        <v>11</v>
      </c>
      <c r="W45" s="1575">
        <f t="shared" si="14"/>
        <v>100</v>
      </c>
      <c r="X45" s="1568"/>
      <c r="Y45" s="353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69"/>
      <c r="Q46" s="1573">
        <f t="shared" si="11"/>
        <v>111</v>
      </c>
      <c r="R46" s="1574" t="s">
        <v>10</v>
      </c>
      <c r="S46" s="1575">
        <f t="shared" si="12"/>
        <v>100</v>
      </c>
      <c r="T46" s="1574" t="s">
        <v>10</v>
      </c>
      <c r="U46" s="1575">
        <f t="shared" si="13"/>
        <v>100</v>
      </c>
      <c r="V46" s="1574" t="s">
        <v>10</v>
      </c>
      <c r="W46" s="1575">
        <f t="shared" si="14"/>
        <v>100</v>
      </c>
      <c r="X46" s="1568"/>
      <c r="Y46" s="3569"/>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494" t="str">
        <f>A47</f>
        <v>成交单价（元/平方米）</v>
      </c>
      <c r="Q47" s="3494"/>
      <c r="R47" s="3566">
        <f>E47</f>
        <v>0</v>
      </c>
      <c r="S47" s="3566"/>
      <c r="T47" s="3566">
        <f>G47</f>
        <v>0</v>
      </c>
      <c r="U47" s="3566"/>
      <c r="V47" s="3566">
        <f>I47</f>
        <v>0</v>
      </c>
      <c r="W47" s="3566"/>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494" t="str">
        <f>A48</f>
        <v>比较价格（元/平方米）</v>
      </c>
      <c r="Q48" s="3494"/>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491" t="str">
        <f>A49</f>
        <v>估价对象XX用房的比较价格（楼面单价，元/平方米）</v>
      </c>
      <c r="Q49" s="3492"/>
      <c r="R49" s="3568" t="e">
        <f>IF(F1="售价",ROUND(AVERAGE(R48:V48),0),ROUND(AVERAGE(R48:V48),1))</f>
        <v>#DIV/0!</v>
      </c>
      <c r="S49" s="3568"/>
      <c r="T49" s="3568"/>
      <c r="U49" s="3568"/>
      <c r="V49" s="3568"/>
      <c r="W49" s="35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2019-9</v>
      </c>
      <c r="D58" s="2804">
        <f>EDATE(C58,-1)</f>
        <v>43678</v>
      </c>
      <c r="E58" s="2804">
        <f t="shared" ref="E58:O58" si="16">EDATE(D58,-1)</f>
        <v>43647</v>
      </c>
      <c r="F58" s="2804">
        <f t="shared" si="16"/>
        <v>43617</v>
      </c>
      <c r="G58" s="2804">
        <f t="shared" si="16"/>
        <v>43586</v>
      </c>
      <c r="H58" s="2804">
        <f t="shared" si="16"/>
        <v>43556</v>
      </c>
      <c r="I58" s="2804">
        <f t="shared" si="16"/>
        <v>43525</v>
      </c>
      <c r="J58" s="2804">
        <f t="shared" si="16"/>
        <v>43497</v>
      </c>
      <c r="K58" s="2804">
        <f t="shared" si="16"/>
        <v>43466</v>
      </c>
      <c r="L58" s="2804">
        <f t="shared" si="16"/>
        <v>43435</v>
      </c>
      <c r="M58" s="2804">
        <f t="shared" si="16"/>
        <v>43405</v>
      </c>
      <c r="N58" s="2804">
        <f t="shared" si="16"/>
        <v>43374</v>
      </c>
      <c r="O58" s="2804">
        <f t="shared" si="16"/>
        <v>43344</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500" t="s">
        <v>519</v>
      </c>
      <c r="D4" s="3501"/>
      <c r="E4" s="3534" t="s">
        <v>520</v>
      </c>
      <c r="F4" s="3535"/>
      <c r="G4" s="3500" t="s">
        <v>521</v>
      </c>
      <c r="H4" s="3501"/>
      <c r="I4" s="3500" t="s">
        <v>522</v>
      </c>
      <c r="J4" s="3501"/>
      <c r="K4" s="514" t="s">
        <v>523</v>
      </c>
      <c r="L4" s="2135"/>
      <c r="M4" s="2136"/>
      <c r="N4" s="2136"/>
      <c r="O4" s="2136"/>
      <c r="P4" s="3502" t="s">
        <v>524</v>
      </c>
      <c r="Q4" s="3503"/>
      <c r="R4" s="3508" t="s">
        <v>520</v>
      </c>
      <c r="S4" s="3509"/>
      <c r="T4" s="3508" t="s">
        <v>521</v>
      </c>
      <c r="U4" s="3509"/>
      <c r="V4" s="3495" t="s">
        <v>522</v>
      </c>
      <c r="W4" s="3495"/>
      <c r="X4" s="1568"/>
      <c r="Y4" s="3508" t="s">
        <v>524</v>
      </c>
      <c r="Z4" s="3509"/>
      <c r="AA4" s="3497" t="s">
        <v>520</v>
      </c>
      <c r="AB4" s="3498" t="s">
        <v>521</v>
      </c>
      <c r="AC4" s="3497" t="s">
        <v>522</v>
      </c>
    </row>
    <row r="5" spans="1:29" ht="15">
      <c r="A5" s="515"/>
      <c r="B5" s="516"/>
      <c r="C5" s="3516" t="s">
        <v>2925</v>
      </c>
      <c r="D5" s="3517"/>
      <c r="E5" s="3536" t="s">
        <v>2926</v>
      </c>
      <c r="F5" s="3537"/>
      <c r="G5" s="3516" t="s">
        <v>2927</v>
      </c>
      <c r="H5" s="3517"/>
      <c r="I5" s="3516" t="s">
        <v>2928</v>
      </c>
      <c r="J5" s="3517"/>
      <c r="K5" s="514"/>
      <c r="L5" s="2135"/>
      <c r="M5" s="2136"/>
      <c r="N5" s="2136"/>
      <c r="O5" s="2136"/>
      <c r="P5" s="3504"/>
      <c r="Q5" s="3505"/>
      <c r="R5" s="3510"/>
      <c r="S5" s="3511"/>
      <c r="T5" s="3510"/>
      <c r="U5" s="3511"/>
      <c r="V5" s="3495"/>
      <c r="W5" s="3495"/>
      <c r="X5" s="1568"/>
      <c r="Y5" s="3510"/>
      <c r="Z5" s="3511"/>
      <c r="AA5" s="3498"/>
      <c r="AB5" s="3498"/>
      <c r="AC5" s="3498"/>
    </row>
    <row r="6" spans="1:29" ht="15.75" thickBot="1">
      <c r="A6" s="517"/>
      <c r="B6" s="518"/>
      <c r="C6" s="3514" t="s">
        <v>2929</v>
      </c>
      <c r="D6" s="3515"/>
      <c r="E6" s="3532" t="s">
        <v>2929</v>
      </c>
      <c r="F6" s="3533"/>
      <c r="G6" s="3514" t="s">
        <v>2929</v>
      </c>
      <c r="H6" s="3515"/>
      <c r="I6" s="3514" t="s">
        <v>2929</v>
      </c>
      <c r="J6" s="3515"/>
      <c r="K6" s="514" t="s">
        <v>525</v>
      </c>
      <c r="L6" s="2135"/>
      <c r="M6" s="2136"/>
      <c r="N6" s="2136"/>
      <c r="O6" s="2136"/>
      <c r="P6" s="3506"/>
      <c r="Q6" s="3507"/>
      <c r="R6" s="3510"/>
      <c r="S6" s="3511"/>
      <c r="T6" s="3512"/>
      <c r="U6" s="3513"/>
      <c r="V6" s="3495"/>
      <c r="W6" s="3495"/>
      <c r="X6" s="1568"/>
      <c r="Y6" s="3512"/>
      <c r="Z6" s="3513"/>
      <c r="AA6" s="3499"/>
      <c r="AB6" s="3499"/>
      <c r="AC6" s="3499"/>
    </row>
    <row r="7" spans="1:29" s="1220" customFormat="1" ht="15.75" thickBot="1">
      <c r="A7" s="2912"/>
      <c r="B7" s="2919" t="s">
        <v>526</v>
      </c>
      <c r="C7" s="519">
        <f>'数据-取费表'!B2</f>
        <v>43711</v>
      </c>
      <c r="D7" s="520">
        <v>100</v>
      </c>
      <c r="E7" s="521"/>
      <c r="F7" s="522">
        <f>SUMIF(52:52,YEAR(E7)&amp;"-"&amp;MONTH(E7),53:53)</f>
        <v>0</v>
      </c>
      <c r="G7" s="521"/>
      <c r="H7" s="520">
        <f>SUMIF(52:52,YEAR(G7)&amp;"-"&amp;MONTH(G7),53:53)</f>
        <v>0</v>
      </c>
      <c r="I7" s="521"/>
      <c r="J7" s="520">
        <f>SUMIF(52:52,YEAR(I7)&amp;"-"&amp;MONTH(I7),53:53)</f>
        <v>0</v>
      </c>
      <c r="K7" s="524"/>
      <c r="L7" s="2137"/>
      <c r="M7" s="2138"/>
      <c r="N7" s="2138"/>
      <c r="O7" s="2138"/>
      <c r="P7" s="3525" t="s">
        <v>527</v>
      </c>
      <c r="Q7" s="3527"/>
      <c r="R7" s="1569" t="s">
        <v>8</v>
      </c>
      <c r="S7" s="1570">
        <f t="shared" ref="S7:S15" si="0">F7</f>
        <v>0</v>
      </c>
      <c r="T7" s="1569" t="s">
        <v>8</v>
      </c>
      <c r="U7" s="1570">
        <f t="shared" ref="U7:U15" si="1">H7</f>
        <v>0</v>
      </c>
      <c r="V7" s="1569" t="s">
        <v>8</v>
      </c>
      <c r="W7" s="1570">
        <f t="shared" ref="W7:W15" si="2">J7</f>
        <v>0</v>
      </c>
      <c r="X7" s="1571"/>
      <c r="Y7" s="3525" t="s">
        <v>527</v>
      </c>
      <c r="Z7" s="3526"/>
      <c r="AA7" s="1572" t="e">
        <f>D7/F7</f>
        <v>#DIV/0!</v>
      </c>
      <c r="AB7" s="1572" t="e">
        <f>D7/H7</f>
        <v>#DIV/0!</v>
      </c>
      <c r="AC7" s="1572" t="e">
        <f>D7/J7</f>
        <v>#DIV/0!</v>
      </c>
    </row>
    <row r="8" spans="1:29" s="1220" customFormat="1" ht="15.75" thickBot="1">
      <c r="A8" s="2913"/>
      <c r="B8" s="2920"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525" t="s">
        <v>530</v>
      </c>
      <c r="Q8" s="3526"/>
      <c r="R8" s="1569" t="s">
        <v>8</v>
      </c>
      <c r="S8" s="1570">
        <f t="shared" si="0"/>
        <v>0</v>
      </c>
      <c r="T8" s="1569" t="s">
        <v>8</v>
      </c>
      <c r="U8" s="1570">
        <f t="shared" si="1"/>
        <v>0</v>
      </c>
      <c r="V8" s="1569" t="s">
        <v>8</v>
      </c>
      <c r="W8" s="1570">
        <f t="shared" si="2"/>
        <v>0</v>
      </c>
      <c r="X8" s="1571"/>
      <c r="Y8" s="3525" t="s">
        <v>530</v>
      </c>
      <c r="Z8" s="3526"/>
      <c r="AA8" s="1572" t="e">
        <f t="shared" ref="AA8:AA40" si="3">D8/F8</f>
        <v>#DIV/0!</v>
      </c>
      <c r="AB8" s="1572" t="e">
        <f t="shared" ref="AB8:AB40" si="4">D8/H8</f>
        <v>#DIV/0!</v>
      </c>
      <c r="AC8" s="1572" t="e">
        <f t="shared" ref="AC8:AC40" si="5">D8/J8</f>
        <v>#DIV/0!</v>
      </c>
    </row>
    <row r="9" spans="1:29" s="1220" customFormat="1" ht="15">
      <c r="A9" s="2914"/>
      <c r="B9" s="2921"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94" t="s">
        <v>532</v>
      </c>
      <c r="Q9" s="1151" t="str">
        <f t="shared" ref="Q9:Q15" si="6">B9</f>
        <v>用途</v>
      </c>
      <c r="R9" s="1569" t="s">
        <v>8</v>
      </c>
      <c r="S9" s="1570">
        <f t="shared" si="0"/>
        <v>100</v>
      </c>
      <c r="T9" s="1569" t="s">
        <v>8</v>
      </c>
      <c r="U9" s="1570">
        <f t="shared" si="1"/>
        <v>100</v>
      </c>
      <c r="V9" s="1569" t="s">
        <v>8</v>
      </c>
      <c r="W9" s="1570">
        <f t="shared" si="2"/>
        <v>100</v>
      </c>
      <c r="X9" s="1571"/>
      <c r="Y9" s="3431"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94"/>
      <c r="Q10" s="1151" t="str">
        <f t="shared" si="6"/>
        <v>土地使用年限（年）</v>
      </c>
      <c r="R10" s="1569" t="s">
        <v>8</v>
      </c>
      <c r="S10" s="1570">
        <f t="shared" si="0"/>
        <v>100</v>
      </c>
      <c r="T10" s="1569" t="s">
        <v>8</v>
      </c>
      <c r="U10" s="1570">
        <f t="shared" si="1"/>
        <v>100</v>
      </c>
      <c r="V10" s="1569" t="s">
        <v>8</v>
      </c>
      <c r="W10" s="1570">
        <f t="shared" si="2"/>
        <v>100</v>
      </c>
      <c r="X10" s="1571"/>
      <c r="Y10" s="3431"/>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94"/>
      <c r="Q11" s="1151" t="str">
        <f t="shared" si="6"/>
        <v>容积率</v>
      </c>
      <c r="R11" s="1569" t="s">
        <v>8</v>
      </c>
      <c r="S11" s="1570" t="e">
        <f t="shared" si="0"/>
        <v>#N/A</v>
      </c>
      <c r="T11" s="1569" t="s">
        <v>8</v>
      </c>
      <c r="U11" s="1570" t="e">
        <f t="shared" si="1"/>
        <v>#N/A</v>
      </c>
      <c r="V11" s="1569" t="s">
        <v>8</v>
      </c>
      <c r="W11" s="1570" t="e">
        <f t="shared" si="2"/>
        <v>#N/A</v>
      </c>
      <c r="X11" s="1571"/>
      <c r="Y11" s="343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94"/>
      <c r="Q12" s="1151">
        <f t="shared" si="6"/>
        <v>111</v>
      </c>
      <c r="R12" s="1569" t="s">
        <v>8</v>
      </c>
      <c r="S12" s="1570">
        <f t="shared" si="0"/>
        <v>100</v>
      </c>
      <c r="T12" s="1569" t="s">
        <v>8</v>
      </c>
      <c r="U12" s="1570">
        <f t="shared" si="1"/>
        <v>100</v>
      </c>
      <c r="V12" s="1569" t="s">
        <v>8</v>
      </c>
      <c r="W12" s="1570">
        <f t="shared" si="2"/>
        <v>100</v>
      </c>
      <c r="X12" s="1571"/>
      <c r="Y12" s="3431"/>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94"/>
      <c r="Q13" s="1151">
        <f t="shared" si="6"/>
        <v>111</v>
      </c>
      <c r="R13" s="1569" t="s">
        <v>8</v>
      </c>
      <c r="S13" s="1570">
        <f t="shared" si="0"/>
        <v>100</v>
      </c>
      <c r="T13" s="1569" t="s">
        <v>8</v>
      </c>
      <c r="U13" s="1570">
        <f t="shared" si="1"/>
        <v>100</v>
      </c>
      <c r="V13" s="1569" t="s">
        <v>8</v>
      </c>
      <c r="W13" s="1570">
        <f t="shared" si="2"/>
        <v>100</v>
      </c>
      <c r="X13" s="1571"/>
      <c r="Y13" s="3431"/>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94"/>
      <c r="Q14" s="1151">
        <f t="shared" si="6"/>
        <v>111</v>
      </c>
      <c r="R14" s="1569" t="s">
        <v>8</v>
      </c>
      <c r="S14" s="1570">
        <f t="shared" si="0"/>
        <v>100</v>
      </c>
      <c r="T14" s="1569" t="s">
        <v>8</v>
      </c>
      <c r="U14" s="1570">
        <f t="shared" si="1"/>
        <v>100</v>
      </c>
      <c r="V14" s="1569" t="s">
        <v>8</v>
      </c>
      <c r="W14" s="1570">
        <f t="shared" si="2"/>
        <v>100</v>
      </c>
      <c r="X14" s="1571"/>
      <c r="Y14" s="3431"/>
      <c r="Z14" s="1150">
        <f t="shared" si="7"/>
        <v>111</v>
      </c>
      <c r="AA14" s="1572">
        <f t="shared" si="3"/>
        <v>1</v>
      </c>
      <c r="AB14" s="1572">
        <f t="shared" si="4"/>
        <v>1</v>
      </c>
      <c r="AC14" s="1572">
        <f t="shared" si="5"/>
        <v>1</v>
      </c>
    </row>
    <row r="15" spans="1:29" ht="57">
      <c r="A15" s="2910"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528" t="s">
        <v>537</v>
      </c>
      <c r="Q15" s="1573" t="str">
        <f t="shared" si="6"/>
        <v>产业集聚程度</v>
      </c>
      <c r="R15" s="1574" t="s">
        <v>8</v>
      </c>
      <c r="S15" s="1575">
        <f t="shared" si="0"/>
        <v>100</v>
      </c>
      <c r="T15" s="1574" t="s">
        <v>8</v>
      </c>
      <c r="U15" s="1575">
        <f t="shared" si="1"/>
        <v>100</v>
      </c>
      <c r="V15" s="1574" t="s">
        <v>8</v>
      </c>
      <c r="W15" s="1575">
        <f t="shared" si="2"/>
        <v>100</v>
      </c>
      <c r="X15" s="1568"/>
      <c r="Y15" s="3528"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29"/>
      <c r="Q16" s="1573"/>
      <c r="R16" s="1574"/>
      <c r="S16" s="1575"/>
      <c r="T16" s="1574"/>
      <c r="U16" s="1575"/>
      <c r="V16" s="1574"/>
      <c r="W16" s="1575"/>
      <c r="X16" s="1568"/>
      <c r="Y16" s="3529"/>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529"/>
      <c r="Q17" s="1573" t="str">
        <f>B17</f>
        <v>交通便捷度</v>
      </c>
      <c r="R17" s="1574" t="s">
        <v>8</v>
      </c>
      <c r="S17" s="1575">
        <f>F17</f>
        <v>100</v>
      </c>
      <c r="T17" s="1574" t="s">
        <v>8</v>
      </c>
      <c r="U17" s="1575">
        <f>H17</f>
        <v>100</v>
      </c>
      <c r="V17" s="1574" t="s">
        <v>8</v>
      </c>
      <c r="W17" s="1575">
        <f>J17</f>
        <v>100</v>
      </c>
      <c r="X17" s="1568"/>
      <c r="Y17" s="352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29"/>
      <c r="Q18" s="1573"/>
      <c r="R18" s="1574"/>
      <c r="S18" s="1575"/>
      <c r="T18" s="1574"/>
      <c r="U18" s="1575"/>
      <c r="V18" s="1574"/>
      <c r="W18" s="1575"/>
      <c r="X18" s="1568"/>
      <c r="Y18" s="3529"/>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529"/>
      <c r="Q19" s="1573" t="str">
        <f>B19</f>
        <v>公共配套设施</v>
      </c>
      <c r="R19" s="1574" t="s">
        <v>8</v>
      </c>
      <c r="S19" s="1575">
        <f>F19</f>
        <v>100</v>
      </c>
      <c r="T19" s="1574" t="s">
        <v>8</v>
      </c>
      <c r="U19" s="1575">
        <f>H19</f>
        <v>100</v>
      </c>
      <c r="V19" s="1574" t="s">
        <v>8</v>
      </c>
      <c r="W19" s="1575">
        <f>J19</f>
        <v>100</v>
      </c>
      <c r="X19" s="1568"/>
      <c r="Y19" s="352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529"/>
      <c r="Q20" s="1573"/>
      <c r="R20" s="1574"/>
      <c r="S20" s="1575"/>
      <c r="T20" s="1574"/>
      <c r="U20" s="1575"/>
      <c r="V20" s="1574"/>
      <c r="W20" s="1575"/>
      <c r="X20" s="1568"/>
      <c r="Y20" s="3529"/>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529"/>
      <c r="Q21" s="2581" t="str">
        <f>B21</f>
        <v>基础设施水平</v>
      </c>
      <c r="R21" s="1574" t="s">
        <v>8</v>
      </c>
      <c r="S21" s="1575">
        <f>F21</f>
        <v>100</v>
      </c>
      <c r="T21" s="1574" t="s">
        <v>8</v>
      </c>
      <c r="U21" s="1575">
        <f>H21</f>
        <v>100</v>
      </c>
      <c r="V21" s="1574" t="s">
        <v>8</v>
      </c>
      <c r="W21" s="1575">
        <f>J21</f>
        <v>100</v>
      </c>
      <c r="X21" s="2583"/>
      <c r="Y21" s="3529"/>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529"/>
      <c r="Q22" s="2581"/>
      <c r="R22" s="1574"/>
      <c r="S22" s="1575"/>
      <c r="T22" s="1574"/>
      <c r="U22" s="1575"/>
      <c r="V22" s="1574"/>
      <c r="W22" s="1575"/>
      <c r="X22" s="2583"/>
      <c r="Y22" s="3529"/>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529"/>
      <c r="Q23" s="1573" t="str">
        <f>B23</f>
        <v>环境质量</v>
      </c>
      <c r="R23" s="1574" t="s">
        <v>8</v>
      </c>
      <c r="S23" s="1575">
        <f>F23</f>
        <v>100</v>
      </c>
      <c r="T23" s="1574" t="s">
        <v>8</v>
      </c>
      <c r="U23" s="1575">
        <f>H23</f>
        <v>100</v>
      </c>
      <c r="V23" s="1574" t="s">
        <v>8</v>
      </c>
      <c r="W23" s="1575">
        <f>J23</f>
        <v>100</v>
      </c>
      <c r="X23" s="1568"/>
      <c r="Y23" s="352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529"/>
      <c r="Q24" s="1573"/>
      <c r="R24" s="1574"/>
      <c r="S24" s="1575"/>
      <c r="T24" s="1574"/>
      <c r="U24" s="1575"/>
      <c r="V24" s="1574"/>
      <c r="W24" s="1575"/>
      <c r="X24" s="1568"/>
      <c r="Y24" s="352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529"/>
      <c r="Q25" s="1573">
        <f>B25</f>
        <v>111</v>
      </c>
      <c r="R25" s="1574" t="s">
        <v>8</v>
      </c>
      <c r="S25" s="1575">
        <f>F25</f>
        <v>100</v>
      </c>
      <c r="T25" s="1574" t="s">
        <v>8</v>
      </c>
      <c r="U25" s="1575">
        <f>H25</f>
        <v>100</v>
      </c>
      <c r="V25" s="1574" t="s">
        <v>8</v>
      </c>
      <c r="W25" s="1575">
        <f>J25</f>
        <v>100</v>
      </c>
      <c r="X25" s="1568"/>
      <c r="Y25" s="352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529"/>
      <c r="Q26" s="1573">
        <f t="shared" ref="Q26:Q40" si="11">B26</f>
        <v>111</v>
      </c>
      <c r="R26" s="1574" t="s">
        <v>8</v>
      </c>
      <c r="S26" s="1575">
        <f>F26</f>
        <v>100</v>
      </c>
      <c r="T26" s="1574" t="s">
        <v>8</v>
      </c>
      <c r="U26" s="1575">
        <f>H26</f>
        <v>100</v>
      </c>
      <c r="V26" s="1574" t="s">
        <v>8</v>
      </c>
      <c r="W26" s="1575">
        <f>J26</f>
        <v>100</v>
      </c>
      <c r="X26" s="1568"/>
      <c r="Y26" s="352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529"/>
      <c r="Q27" s="1151">
        <f t="shared" si="11"/>
        <v>111</v>
      </c>
      <c r="R27" s="1569" t="s">
        <v>8</v>
      </c>
      <c r="S27" s="1570">
        <f>F27</f>
        <v>100</v>
      </c>
      <c r="T27" s="1569" t="s">
        <v>8</v>
      </c>
      <c r="U27" s="1570">
        <f>H27</f>
        <v>100</v>
      </c>
      <c r="V27" s="1569" t="s">
        <v>8</v>
      </c>
      <c r="W27" s="1570">
        <f>J27</f>
        <v>100</v>
      </c>
      <c r="X27" s="1571"/>
      <c r="Y27" s="352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529"/>
      <c r="Q28" s="1573">
        <f t="shared" si="11"/>
        <v>111</v>
      </c>
      <c r="R28" s="1574" t="s">
        <v>8</v>
      </c>
      <c r="S28" s="1575">
        <f t="shared" ref="S28:S40" si="12">F28</f>
        <v>100</v>
      </c>
      <c r="T28" s="1574" t="s">
        <v>8</v>
      </c>
      <c r="U28" s="1575">
        <f t="shared" ref="U28:U40" si="13">H28</f>
        <v>100</v>
      </c>
      <c r="V28" s="1574" t="s">
        <v>8</v>
      </c>
      <c r="W28" s="1575">
        <f t="shared" ref="W28:W40" si="14">J28</f>
        <v>100</v>
      </c>
      <c r="X28" s="1568"/>
      <c r="Y28" s="3529"/>
      <c r="Z28" s="1576">
        <f t="shared" ref="Z28:Z40" si="15">Q28</f>
        <v>111</v>
      </c>
      <c r="AA28" s="1577">
        <f t="shared" si="3"/>
        <v>1</v>
      </c>
      <c r="AB28" s="1577">
        <f t="shared" si="4"/>
        <v>1</v>
      </c>
      <c r="AC28" s="1577">
        <f t="shared" si="5"/>
        <v>1</v>
      </c>
    </row>
    <row r="29" spans="1:29" ht="15">
      <c r="A29" s="2907"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530" t="s">
        <v>547</v>
      </c>
      <c r="Q29" s="1573" t="str">
        <f t="shared" si="11"/>
        <v>建筑类型</v>
      </c>
      <c r="R29" s="1574" t="s">
        <v>8</v>
      </c>
      <c r="S29" s="1575">
        <f t="shared" si="12"/>
        <v>100</v>
      </c>
      <c r="T29" s="1574" t="s">
        <v>8</v>
      </c>
      <c r="U29" s="1575">
        <f t="shared" si="13"/>
        <v>100</v>
      </c>
      <c r="V29" s="1574" t="s">
        <v>8</v>
      </c>
      <c r="W29" s="1575">
        <f t="shared" si="14"/>
        <v>100</v>
      </c>
      <c r="X29" s="1568"/>
      <c r="Y29" s="3531"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531"/>
      <c r="Q30" s="1606" t="str">
        <f t="shared" si="11"/>
        <v>项目建筑规模</v>
      </c>
      <c r="R30" s="1578" t="s">
        <v>8</v>
      </c>
      <c r="S30" s="1579" t="e">
        <f t="shared" si="12"/>
        <v>#N/A</v>
      </c>
      <c r="T30" s="1578" t="s">
        <v>8</v>
      </c>
      <c r="U30" s="1579" t="e">
        <f t="shared" si="13"/>
        <v>#N/A</v>
      </c>
      <c r="V30" s="1578" t="s">
        <v>8</v>
      </c>
      <c r="W30" s="1579" t="e">
        <f t="shared" si="14"/>
        <v>#N/A</v>
      </c>
      <c r="X30" s="1580"/>
      <c r="Y30" s="3531"/>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531"/>
      <c r="Q31" s="1573" t="str">
        <f t="shared" si="11"/>
        <v>建筑结构</v>
      </c>
      <c r="R31" s="1574" t="s">
        <v>8</v>
      </c>
      <c r="S31" s="1575">
        <f t="shared" si="12"/>
        <v>100</v>
      </c>
      <c r="T31" s="1574" t="s">
        <v>8</v>
      </c>
      <c r="U31" s="1575">
        <f t="shared" si="13"/>
        <v>100</v>
      </c>
      <c r="V31" s="1574" t="s">
        <v>8</v>
      </c>
      <c r="W31" s="1575">
        <f t="shared" si="14"/>
        <v>100</v>
      </c>
      <c r="X31" s="1568"/>
      <c r="Y31" s="3531"/>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531"/>
      <c r="Q32" s="1573" t="str">
        <f t="shared" si="11"/>
        <v>公共部分装修</v>
      </c>
      <c r="R32" s="1574" t="s">
        <v>8</v>
      </c>
      <c r="S32" s="1575">
        <f t="shared" si="12"/>
        <v>100</v>
      </c>
      <c r="T32" s="1574" t="s">
        <v>8</v>
      </c>
      <c r="U32" s="1575">
        <f t="shared" si="13"/>
        <v>100</v>
      </c>
      <c r="V32" s="1574" t="s">
        <v>8</v>
      </c>
      <c r="W32" s="1575">
        <f t="shared" si="14"/>
        <v>100</v>
      </c>
      <c r="X32" s="1568"/>
      <c r="Y32" s="3531"/>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531"/>
      <c r="Q33" s="1573" t="str">
        <f t="shared" si="11"/>
        <v>成新度</v>
      </c>
      <c r="R33" s="1574" t="s">
        <v>8</v>
      </c>
      <c r="S33" s="1575" t="e">
        <f t="shared" si="12"/>
        <v>#N/A</v>
      </c>
      <c r="T33" s="1574" t="s">
        <v>8</v>
      </c>
      <c r="U33" s="1575" t="e">
        <f t="shared" si="13"/>
        <v>#N/A</v>
      </c>
      <c r="V33" s="1574" t="s">
        <v>8</v>
      </c>
      <c r="W33" s="1575" t="e">
        <f t="shared" si="14"/>
        <v>#N/A</v>
      </c>
      <c r="X33" s="1568"/>
      <c r="Y33" s="3531"/>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531"/>
      <c r="Q34" s="1151" t="str">
        <f t="shared" si="11"/>
        <v>物业管理</v>
      </c>
      <c r="R34" s="1569" t="s">
        <v>8</v>
      </c>
      <c r="S34" s="1570">
        <f t="shared" si="12"/>
        <v>100</v>
      </c>
      <c r="T34" s="1569" t="s">
        <v>8</v>
      </c>
      <c r="U34" s="1570">
        <f t="shared" si="13"/>
        <v>100</v>
      </c>
      <c r="V34" s="1569" t="s">
        <v>8</v>
      </c>
      <c r="W34" s="1570">
        <f t="shared" si="14"/>
        <v>100</v>
      </c>
      <c r="X34" s="1571"/>
      <c r="Y34" s="3531"/>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531" t="s">
        <v>547</v>
      </c>
      <c r="Q35" s="1573" t="str">
        <f t="shared" si="11"/>
        <v>市政基础设施</v>
      </c>
      <c r="R35" s="1574" t="s">
        <v>8</v>
      </c>
      <c r="S35" s="1575">
        <f t="shared" si="12"/>
        <v>100</v>
      </c>
      <c r="T35" s="1574" t="s">
        <v>8</v>
      </c>
      <c r="U35" s="1575">
        <f t="shared" si="13"/>
        <v>100</v>
      </c>
      <c r="V35" s="1574" t="s">
        <v>8</v>
      </c>
      <c r="W35" s="1575">
        <f t="shared" si="14"/>
        <v>100</v>
      </c>
      <c r="X35" s="1568"/>
      <c r="Y35" s="3531"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531"/>
      <c r="Q36" s="1573" t="str">
        <f t="shared" si="11"/>
        <v>内部装修</v>
      </c>
      <c r="R36" s="1574" t="s">
        <v>8</v>
      </c>
      <c r="S36" s="1575">
        <f t="shared" si="12"/>
        <v>100</v>
      </c>
      <c r="T36" s="1574" t="s">
        <v>8</v>
      </c>
      <c r="U36" s="1575">
        <f t="shared" si="13"/>
        <v>100</v>
      </c>
      <c r="V36" s="1574" t="s">
        <v>8</v>
      </c>
      <c r="W36" s="1575">
        <f t="shared" si="14"/>
        <v>100</v>
      </c>
      <c r="X36" s="1568"/>
      <c r="Y36" s="3531"/>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531"/>
      <c r="Q37" s="1573" t="str">
        <f t="shared" si="11"/>
        <v>内部装修状况</v>
      </c>
      <c r="R37" s="1574" t="s">
        <v>8</v>
      </c>
      <c r="S37" s="1575">
        <f t="shared" si="12"/>
        <v>100</v>
      </c>
      <c r="T37" s="1574" t="s">
        <v>8</v>
      </c>
      <c r="U37" s="1575">
        <f t="shared" si="13"/>
        <v>100</v>
      </c>
      <c r="V37" s="1574" t="s">
        <v>8</v>
      </c>
      <c r="W37" s="1575">
        <f t="shared" si="14"/>
        <v>100</v>
      </c>
      <c r="X37" s="1568"/>
      <c r="Y37" s="353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531"/>
      <c r="Q38" s="1606">
        <f t="shared" si="11"/>
        <v>111</v>
      </c>
      <c r="R38" s="1578" t="s">
        <v>8</v>
      </c>
      <c r="S38" s="1579">
        <f t="shared" si="12"/>
        <v>100</v>
      </c>
      <c r="T38" s="1578" t="s">
        <v>8</v>
      </c>
      <c r="U38" s="1579">
        <f t="shared" si="13"/>
        <v>100</v>
      </c>
      <c r="V38" s="1578" t="s">
        <v>8</v>
      </c>
      <c r="W38" s="1579">
        <f t="shared" si="14"/>
        <v>100</v>
      </c>
      <c r="X38" s="1580"/>
      <c r="Y38" s="353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531"/>
      <c r="Q39" s="1573">
        <f t="shared" si="11"/>
        <v>111</v>
      </c>
      <c r="R39" s="1574" t="s">
        <v>8</v>
      </c>
      <c r="S39" s="1575">
        <f t="shared" si="12"/>
        <v>100</v>
      </c>
      <c r="T39" s="1574" t="s">
        <v>8</v>
      </c>
      <c r="U39" s="1575">
        <f t="shared" si="13"/>
        <v>100</v>
      </c>
      <c r="V39" s="1574" t="s">
        <v>8</v>
      </c>
      <c r="W39" s="1575">
        <f t="shared" si="14"/>
        <v>100</v>
      </c>
      <c r="X39" s="1568"/>
      <c r="Y39" s="353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69"/>
      <c r="Q40" s="1573">
        <f t="shared" si="11"/>
        <v>111</v>
      </c>
      <c r="R40" s="1574" t="s">
        <v>8</v>
      </c>
      <c r="S40" s="1575">
        <f t="shared" si="12"/>
        <v>100</v>
      </c>
      <c r="T40" s="1574" t="s">
        <v>8</v>
      </c>
      <c r="U40" s="1575">
        <f t="shared" si="13"/>
        <v>100</v>
      </c>
      <c r="V40" s="1574" t="s">
        <v>8</v>
      </c>
      <c r="W40" s="1575">
        <f t="shared" si="14"/>
        <v>100</v>
      </c>
      <c r="X40" s="1568"/>
      <c r="Y40" s="3569"/>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494" t="str">
        <f>A41</f>
        <v>成交单价（元/平方米）</v>
      </c>
      <c r="Q41" s="3494"/>
      <c r="R41" s="3566">
        <f>E41</f>
        <v>0</v>
      </c>
      <c r="S41" s="3566"/>
      <c r="T41" s="3566">
        <f>G41</f>
        <v>0</v>
      </c>
      <c r="U41" s="3566"/>
      <c r="V41" s="3566">
        <f>I41</f>
        <v>0</v>
      </c>
      <c r="W41" s="3566"/>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494" t="str">
        <f>A42</f>
        <v>比较价格（元/平方米）</v>
      </c>
      <c r="Q42" s="3494"/>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91" t="str">
        <f>A43</f>
        <v>估价对象XX用房的比较价格（楼面单价，元/平方米）</v>
      </c>
      <c r="Q43" s="3492"/>
      <c r="R43" s="3568" t="e">
        <f>IF(F1="售价",ROUND(AVERAGE(R42:V42),0),ROUND(AVERAGE(R42:V42),1))</f>
        <v>#DIV/0!</v>
      </c>
      <c r="S43" s="3568"/>
      <c r="T43" s="3568"/>
      <c r="U43" s="3568"/>
      <c r="V43" s="3568"/>
      <c r="W43" s="35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2" t="str">
        <f>YEAR(C7)&amp;"-"&amp;MONTH(C7)</f>
        <v>2019-9</v>
      </c>
      <c r="D52" s="2804">
        <f>EDATE(C52,-1)</f>
        <v>43678</v>
      </c>
      <c r="E52" s="2804">
        <f t="shared" ref="E52:O52" si="16">EDATE(D52,-1)</f>
        <v>43647</v>
      </c>
      <c r="F52" s="2804">
        <f t="shared" si="16"/>
        <v>43617</v>
      </c>
      <c r="G52" s="2804">
        <f t="shared" si="16"/>
        <v>43586</v>
      </c>
      <c r="H52" s="2804">
        <f t="shared" si="16"/>
        <v>43556</v>
      </c>
      <c r="I52" s="2804">
        <f t="shared" si="16"/>
        <v>43525</v>
      </c>
      <c r="J52" s="2804">
        <f t="shared" si="16"/>
        <v>43497</v>
      </c>
      <c r="K52" s="2804">
        <f t="shared" si="16"/>
        <v>43466</v>
      </c>
      <c r="L52" s="2804">
        <f t="shared" si="16"/>
        <v>43435</v>
      </c>
      <c r="M52" s="2804">
        <f t="shared" si="16"/>
        <v>43405</v>
      </c>
      <c r="N52" s="2804">
        <f t="shared" si="16"/>
        <v>43374</v>
      </c>
      <c r="O52" s="2804">
        <f t="shared" si="16"/>
        <v>43344</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7"/>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500" t="s">
        <v>795</v>
      </c>
      <c r="D4" s="3501"/>
      <c r="E4" s="3500" t="s">
        <v>796</v>
      </c>
      <c r="F4" s="3501"/>
      <c r="G4" s="3500" t="s">
        <v>797</v>
      </c>
      <c r="H4" s="3501"/>
      <c r="I4" s="3500" t="s">
        <v>798</v>
      </c>
      <c r="J4" s="3501"/>
      <c r="K4" s="514" t="s">
        <v>799</v>
      </c>
      <c r="L4" s="2135"/>
      <c r="M4" s="2136"/>
      <c r="N4" s="2136"/>
      <c r="O4" s="2136"/>
      <c r="P4" s="3502" t="s">
        <v>800</v>
      </c>
      <c r="Q4" s="3503"/>
      <c r="R4" s="3508" t="s">
        <v>796</v>
      </c>
      <c r="S4" s="3509"/>
      <c r="T4" s="3508" t="s">
        <v>797</v>
      </c>
      <c r="U4" s="3509"/>
      <c r="V4" s="3495" t="s">
        <v>798</v>
      </c>
      <c r="W4" s="3495"/>
      <c r="X4" s="1568"/>
      <c r="Y4" s="3508" t="s">
        <v>800</v>
      </c>
      <c r="Z4" s="3509"/>
      <c r="AA4" s="3497" t="s">
        <v>796</v>
      </c>
      <c r="AB4" s="3498" t="s">
        <v>797</v>
      </c>
      <c r="AC4" s="3497" t="s">
        <v>798</v>
      </c>
    </row>
    <row r="5" spans="1:29" ht="15">
      <c r="A5" s="515"/>
      <c r="B5" s="516"/>
      <c r="C5" s="3516" t="s">
        <v>2925</v>
      </c>
      <c r="D5" s="3517"/>
      <c r="E5" s="3516" t="s">
        <v>2926</v>
      </c>
      <c r="F5" s="3517"/>
      <c r="G5" s="3516" t="s">
        <v>2927</v>
      </c>
      <c r="H5" s="3517"/>
      <c r="I5" s="3516" t="s">
        <v>2928</v>
      </c>
      <c r="J5" s="3517"/>
      <c r="K5" s="514"/>
      <c r="L5" s="2135"/>
      <c r="M5" s="2136"/>
      <c r="N5" s="2136"/>
      <c r="O5" s="2136"/>
      <c r="P5" s="3504"/>
      <c r="Q5" s="3505"/>
      <c r="R5" s="3510"/>
      <c r="S5" s="3511"/>
      <c r="T5" s="3510"/>
      <c r="U5" s="3511"/>
      <c r="V5" s="3495"/>
      <c r="W5" s="3495"/>
      <c r="X5" s="1568"/>
      <c r="Y5" s="3510"/>
      <c r="Z5" s="3511"/>
      <c r="AA5" s="3498"/>
      <c r="AB5" s="3498"/>
      <c r="AC5" s="3498"/>
    </row>
    <row r="6" spans="1:29" ht="15.75" thickBot="1">
      <c r="A6" s="517"/>
      <c r="B6" s="518"/>
      <c r="C6" s="3514" t="s">
        <v>2929</v>
      </c>
      <c r="D6" s="3515"/>
      <c r="E6" s="3518" t="s">
        <v>2929</v>
      </c>
      <c r="F6" s="3519"/>
      <c r="G6" s="3514" t="s">
        <v>2929</v>
      </c>
      <c r="H6" s="3515"/>
      <c r="I6" s="3514" t="s">
        <v>2929</v>
      </c>
      <c r="J6" s="3515"/>
      <c r="K6" s="514" t="s">
        <v>525</v>
      </c>
      <c r="L6" s="2135"/>
      <c r="M6" s="2136"/>
      <c r="N6" s="2136"/>
      <c r="O6" s="2136"/>
      <c r="P6" s="3506"/>
      <c r="Q6" s="3507"/>
      <c r="R6" s="3510"/>
      <c r="S6" s="3511"/>
      <c r="T6" s="3512"/>
      <c r="U6" s="3513"/>
      <c r="V6" s="3495"/>
      <c r="W6" s="3495"/>
      <c r="X6" s="1568"/>
      <c r="Y6" s="3512"/>
      <c r="Z6" s="3513"/>
      <c r="AA6" s="3499"/>
      <c r="AB6" s="3499"/>
      <c r="AC6" s="3499"/>
    </row>
    <row r="7" spans="1:29" s="1220" customFormat="1" ht="15.75" thickBot="1">
      <c r="A7" s="2912"/>
      <c r="B7" s="2919" t="s">
        <v>526</v>
      </c>
      <c r="C7" s="519">
        <f>'数据-取费表'!B2</f>
        <v>43711</v>
      </c>
      <c r="D7" s="520">
        <v>100</v>
      </c>
      <c r="E7" s="521"/>
      <c r="F7" s="522">
        <f>SUMIF(48:48,YEAR(E7)&amp;"-"&amp;MONTH(E7),49:49)</f>
        <v>0</v>
      </c>
      <c r="G7" s="523"/>
      <c r="H7" s="520">
        <f>SUMIF(48:48,YEAR(G7)&amp;"-"&amp;MONTH(G7),49:49)</f>
        <v>0</v>
      </c>
      <c r="I7" s="523"/>
      <c r="J7" s="520">
        <f>SUMIF(48:48,YEAR(I7)&amp;"-"&amp;MONTH(I7),49:49)</f>
        <v>0</v>
      </c>
      <c r="K7" s="524"/>
      <c r="L7" s="2137"/>
      <c r="M7" s="2138"/>
      <c r="N7" s="2138"/>
      <c r="O7" s="2138"/>
      <c r="P7" s="3525" t="s">
        <v>527</v>
      </c>
      <c r="Q7" s="3527"/>
      <c r="R7" s="1569" t="s">
        <v>8</v>
      </c>
      <c r="S7" s="1570">
        <f t="shared" ref="S7:S14" si="0">F7</f>
        <v>0</v>
      </c>
      <c r="T7" s="1569" t="s">
        <v>8</v>
      </c>
      <c r="U7" s="1570">
        <f t="shared" ref="U7:U14" si="1">H7</f>
        <v>0</v>
      </c>
      <c r="V7" s="1569" t="s">
        <v>8</v>
      </c>
      <c r="W7" s="1570">
        <f t="shared" ref="W7:W14" si="2">J7</f>
        <v>0</v>
      </c>
      <c r="X7" s="1571"/>
      <c r="Y7" s="3525" t="s">
        <v>527</v>
      </c>
      <c r="Z7" s="3526"/>
      <c r="AA7" s="1572" t="e">
        <f>D7/F7</f>
        <v>#DIV/0!</v>
      </c>
      <c r="AB7" s="1572" t="e">
        <f>D7/H7</f>
        <v>#DIV/0!</v>
      </c>
      <c r="AC7" s="1572" t="e">
        <f>D7/J7</f>
        <v>#DIV/0!</v>
      </c>
    </row>
    <row r="8" spans="1:29" s="1220" customFormat="1" ht="15.75" thickBot="1">
      <c r="A8" s="2913"/>
      <c r="B8" s="2920"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525" t="s">
        <v>530</v>
      </c>
      <c r="Q8" s="3526"/>
      <c r="R8" s="1569" t="s">
        <v>8</v>
      </c>
      <c r="S8" s="1570">
        <f t="shared" si="0"/>
        <v>0</v>
      </c>
      <c r="T8" s="1569" t="s">
        <v>8</v>
      </c>
      <c r="U8" s="1570">
        <f t="shared" si="1"/>
        <v>0</v>
      </c>
      <c r="V8" s="1569" t="s">
        <v>8</v>
      </c>
      <c r="W8" s="1570">
        <f t="shared" si="2"/>
        <v>0</v>
      </c>
      <c r="X8" s="1571"/>
      <c r="Y8" s="3525" t="s">
        <v>530</v>
      </c>
      <c r="Z8" s="3526"/>
      <c r="AA8" s="1572" t="e">
        <f t="shared" ref="AA8:AA36" si="3">D8/F8</f>
        <v>#DIV/0!</v>
      </c>
      <c r="AB8" s="1572" t="e">
        <f t="shared" ref="AB8:AB36" si="4">D8/H8</f>
        <v>#DIV/0!</v>
      </c>
      <c r="AC8" s="1572" t="e">
        <f t="shared" ref="AC8:AC36" si="5">D8/J8</f>
        <v>#DIV/0!</v>
      </c>
    </row>
    <row r="9" spans="1:29" s="1220" customFormat="1" ht="15">
      <c r="A9" s="2914"/>
      <c r="B9" s="2921"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94" t="s">
        <v>532</v>
      </c>
      <c r="Q9" s="1151" t="str">
        <f t="shared" ref="Q9:Q14" si="6">B9</f>
        <v>用途</v>
      </c>
      <c r="R9" s="1569" t="s">
        <v>8</v>
      </c>
      <c r="S9" s="1570">
        <f t="shared" si="0"/>
        <v>100</v>
      </c>
      <c r="T9" s="1569" t="s">
        <v>8</v>
      </c>
      <c r="U9" s="1570">
        <f t="shared" si="1"/>
        <v>100</v>
      </c>
      <c r="V9" s="1569" t="s">
        <v>8</v>
      </c>
      <c r="W9" s="1570">
        <f t="shared" si="2"/>
        <v>100</v>
      </c>
      <c r="X9" s="1571"/>
      <c r="Y9" s="3431" t="s">
        <v>533</v>
      </c>
      <c r="Z9" s="1150" t="str">
        <f t="shared" ref="Z9:Z14" si="7">Q9</f>
        <v>用途</v>
      </c>
      <c r="AA9" s="1572">
        <f t="shared" si="3"/>
        <v>1</v>
      </c>
      <c r="AB9" s="1572">
        <f t="shared" si="4"/>
        <v>1</v>
      </c>
      <c r="AC9" s="1572">
        <f t="shared" si="5"/>
        <v>1</v>
      </c>
    </row>
    <row r="10" spans="1:29" s="1338" customFormat="1" ht="27">
      <c r="A10" s="2915"/>
      <c r="B10" s="2920"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94"/>
      <c r="Q10" s="1151" t="str">
        <f t="shared" si="6"/>
        <v>土地使用年限（年）</v>
      </c>
      <c r="R10" s="1569" t="s">
        <v>8</v>
      </c>
      <c r="S10" s="1570">
        <f t="shared" si="0"/>
        <v>100</v>
      </c>
      <c r="T10" s="1569" t="s">
        <v>8</v>
      </c>
      <c r="U10" s="1570">
        <f t="shared" si="1"/>
        <v>100</v>
      </c>
      <c r="V10" s="1569" t="s">
        <v>8</v>
      </c>
      <c r="W10" s="1570">
        <f t="shared" si="2"/>
        <v>100</v>
      </c>
      <c r="X10" s="1571"/>
      <c r="Y10" s="3431"/>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94"/>
      <c r="Q11" s="1151">
        <f t="shared" si="6"/>
        <v>111</v>
      </c>
      <c r="R11" s="1569" t="s">
        <v>8</v>
      </c>
      <c r="S11" s="1570">
        <f t="shared" si="0"/>
        <v>100</v>
      </c>
      <c r="T11" s="1569" t="s">
        <v>8</v>
      </c>
      <c r="U11" s="1570">
        <f t="shared" si="1"/>
        <v>100</v>
      </c>
      <c r="V11" s="1569" t="s">
        <v>8</v>
      </c>
      <c r="W11" s="1570">
        <f t="shared" si="2"/>
        <v>100</v>
      </c>
      <c r="X11" s="1571"/>
      <c r="Y11" s="3431"/>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94"/>
      <c r="Q12" s="1151">
        <f t="shared" si="6"/>
        <v>111</v>
      </c>
      <c r="R12" s="1569" t="s">
        <v>8</v>
      </c>
      <c r="S12" s="1570">
        <f t="shared" si="0"/>
        <v>100</v>
      </c>
      <c r="T12" s="1569" t="s">
        <v>8</v>
      </c>
      <c r="U12" s="1570">
        <f t="shared" si="1"/>
        <v>100</v>
      </c>
      <c r="V12" s="1569" t="s">
        <v>8</v>
      </c>
      <c r="W12" s="1570">
        <f t="shared" si="2"/>
        <v>100</v>
      </c>
      <c r="X12" s="1571"/>
      <c r="Y12" s="3431"/>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94"/>
      <c r="Q13" s="1151">
        <f t="shared" si="6"/>
        <v>111</v>
      </c>
      <c r="R13" s="1569" t="s">
        <v>8</v>
      </c>
      <c r="S13" s="1570">
        <f t="shared" si="0"/>
        <v>100</v>
      </c>
      <c r="T13" s="1569" t="s">
        <v>8</v>
      </c>
      <c r="U13" s="1570">
        <f t="shared" si="1"/>
        <v>100</v>
      </c>
      <c r="V13" s="1569" t="s">
        <v>8</v>
      </c>
      <c r="W13" s="1570">
        <f t="shared" si="2"/>
        <v>100</v>
      </c>
      <c r="X13" s="1571"/>
      <c r="Y13" s="3431"/>
      <c r="Z13" s="1150">
        <f t="shared" si="7"/>
        <v>111</v>
      </c>
      <c r="AA13" s="1572">
        <f t="shared" si="3"/>
        <v>1</v>
      </c>
      <c r="AB13" s="1572">
        <f t="shared" si="4"/>
        <v>1</v>
      </c>
      <c r="AC13" s="1572">
        <f t="shared" si="5"/>
        <v>1</v>
      </c>
    </row>
    <row r="14" spans="1:29" ht="85.5">
      <c r="A14" s="2910"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528" t="s">
        <v>537</v>
      </c>
      <c r="Q14" s="1573" t="str">
        <f t="shared" si="6"/>
        <v>交通便捷度</v>
      </c>
      <c r="R14" s="1574" t="s">
        <v>8</v>
      </c>
      <c r="S14" s="1575">
        <f t="shared" si="0"/>
        <v>100</v>
      </c>
      <c r="T14" s="1574" t="s">
        <v>8</v>
      </c>
      <c r="U14" s="1575">
        <f t="shared" si="1"/>
        <v>100</v>
      </c>
      <c r="V14" s="1574" t="s">
        <v>8</v>
      </c>
      <c r="W14" s="1575">
        <f t="shared" si="2"/>
        <v>100</v>
      </c>
      <c r="X14" s="1568"/>
      <c r="Y14" s="3528"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529"/>
      <c r="Q15" s="1573"/>
      <c r="R15" s="1574"/>
      <c r="S15" s="1575"/>
      <c r="T15" s="1574"/>
      <c r="U15" s="1575"/>
      <c r="V15" s="1574"/>
      <c r="W15" s="1575"/>
      <c r="X15" s="1568"/>
      <c r="Y15" s="3529"/>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529"/>
      <c r="Q16" s="1573" t="str">
        <f>B16</f>
        <v>公共配套设施</v>
      </c>
      <c r="R16" s="1574" t="s">
        <v>8</v>
      </c>
      <c r="S16" s="1575">
        <f>F16</f>
        <v>100</v>
      </c>
      <c r="T16" s="1574" t="s">
        <v>8</v>
      </c>
      <c r="U16" s="1575">
        <f>H16</f>
        <v>100</v>
      </c>
      <c r="V16" s="1574" t="s">
        <v>8</v>
      </c>
      <c r="W16" s="1575">
        <f>J16</f>
        <v>100</v>
      </c>
      <c r="X16" s="1568"/>
      <c r="Y16" s="352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529"/>
      <c r="Q17" s="1573"/>
      <c r="R17" s="1574"/>
      <c r="S17" s="1575"/>
      <c r="T17" s="1574"/>
      <c r="U17" s="1575"/>
      <c r="V17" s="1574"/>
      <c r="W17" s="1575"/>
      <c r="X17" s="1568"/>
      <c r="Y17" s="3529"/>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529"/>
      <c r="Q18" s="2581" t="str">
        <f>B18</f>
        <v>基础设施水平</v>
      </c>
      <c r="R18" s="1574" t="s">
        <v>8</v>
      </c>
      <c r="S18" s="1575">
        <f>F18</f>
        <v>100</v>
      </c>
      <c r="T18" s="1574" t="s">
        <v>8</v>
      </c>
      <c r="U18" s="1575">
        <f>H18</f>
        <v>100</v>
      </c>
      <c r="V18" s="1574" t="s">
        <v>8</v>
      </c>
      <c r="W18" s="1575">
        <f>J18</f>
        <v>100</v>
      </c>
      <c r="X18" s="2583"/>
      <c r="Y18" s="3529"/>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529"/>
      <c r="Q19" s="2581"/>
      <c r="R19" s="1574"/>
      <c r="S19" s="1575"/>
      <c r="T19" s="1574"/>
      <c r="U19" s="1575"/>
      <c r="V19" s="1574"/>
      <c r="W19" s="1575"/>
      <c r="X19" s="2583"/>
      <c r="Y19" s="3529"/>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529"/>
      <c r="Q20" s="1573" t="str">
        <f>B20</f>
        <v>自然及人文环境</v>
      </c>
      <c r="R20" s="1574" t="s">
        <v>8</v>
      </c>
      <c r="S20" s="1575">
        <f>F20</f>
        <v>100</v>
      </c>
      <c r="T20" s="1574" t="s">
        <v>8</v>
      </c>
      <c r="U20" s="1575">
        <f>H20</f>
        <v>100</v>
      </c>
      <c r="V20" s="1574" t="s">
        <v>8</v>
      </c>
      <c r="W20" s="1575">
        <f>J20</f>
        <v>100</v>
      </c>
      <c r="X20" s="1568"/>
      <c r="Y20" s="352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529"/>
      <c r="Q21" s="1573"/>
      <c r="R21" s="1574"/>
      <c r="S21" s="1575"/>
      <c r="T21" s="1574"/>
      <c r="U21" s="1575"/>
      <c r="V21" s="1574"/>
      <c r="W21" s="1575"/>
      <c r="X21" s="1568"/>
      <c r="Y21" s="3529"/>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529"/>
      <c r="Q22" s="1573" t="str">
        <f>B22</f>
        <v>楼层</v>
      </c>
      <c r="R22" s="1574" t="s">
        <v>8</v>
      </c>
      <c r="S22" s="1575">
        <f>F22</f>
        <v>100</v>
      </c>
      <c r="T22" s="1574" t="s">
        <v>8</v>
      </c>
      <c r="U22" s="1575">
        <f>H22</f>
        <v>100</v>
      </c>
      <c r="V22" s="1574" t="s">
        <v>8</v>
      </c>
      <c r="W22" s="1575">
        <f>J22</f>
        <v>100</v>
      </c>
      <c r="X22" s="1568"/>
      <c r="Y22" s="352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529"/>
      <c r="Q23" s="1573">
        <f>B23</f>
        <v>111</v>
      </c>
      <c r="R23" s="1574" t="s">
        <v>8</v>
      </c>
      <c r="S23" s="1575">
        <f>F23</f>
        <v>100</v>
      </c>
      <c r="T23" s="1574" t="s">
        <v>8</v>
      </c>
      <c r="U23" s="1575">
        <f>H23</f>
        <v>100</v>
      </c>
      <c r="V23" s="1574" t="s">
        <v>8</v>
      </c>
      <c r="W23" s="1575">
        <f>J23</f>
        <v>100</v>
      </c>
      <c r="X23" s="1568"/>
      <c r="Y23" s="352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529"/>
      <c r="Q24" s="1573">
        <f t="shared" ref="Q24:Q36" si="11">B24</f>
        <v>111</v>
      </c>
      <c r="R24" s="1574" t="s">
        <v>8</v>
      </c>
      <c r="S24" s="1575">
        <f>F24</f>
        <v>100</v>
      </c>
      <c r="T24" s="1574" t="s">
        <v>8</v>
      </c>
      <c r="U24" s="1575">
        <f>H24</f>
        <v>100</v>
      </c>
      <c r="V24" s="1574" t="s">
        <v>8</v>
      </c>
      <c r="W24" s="1575">
        <f>J24</f>
        <v>100</v>
      </c>
      <c r="X24" s="1568"/>
      <c r="Y24" s="352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529"/>
      <c r="Q25" s="1151">
        <f t="shared" si="11"/>
        <v>111</v>
      </c>
      <c r="R25" s="1569" t="s">
        <v>8</v>
      </c>
      <c r="S25" s="1570">
        <f>F25</f>
        <v>100</v>
      </c>
      <c r="T25" s="1569" t="s">
        <v>8</v>
      </c>
      <c r="U25" s="1570">
        <f>H25</f>
        <v>100</v>
      </c>
      <c r="V25" s="1569" t="s">
        <v>8</v>
      </c>
      <c r="W25" s="1570">
        <f>J25</f>
        <v>100</v>
      </c>
      <c r="X25" s="1571"/>
      <c r="Y25" s="3529"/>
      <c r="Z25" s="1150">
        <f>Q25</f>
        <v>111</v>
      </c>
      <c r="AA25" s="1577">
        <f>D25/F25</f>
        <v>1</v>
      </c>
      <c r="AB25" s="1577">
        <f>D25/H25</f>
        <v>1</v>
      </c>
      <c r="AC25" s="1577">
        <f>D25/J25</f>
        <v>1</v>
      </c>
    </row>
    <row r="26" spans="1:29" ht="15">
      <c r="A26" s="2907"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530"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31"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531"/>
      <c r="Q27" s="1606" t="str">
        <f t="shared" si="11"/>
        <v>项目停车位配比</v>
      </c>
      <c r="R27" s="1578" t="s">
        <v>8</v>
      </c>
      <c r="S27" s="1579">
        <f t="shared" si="12"/>
        <v>100</v>
      </c>
      <c r="T27" s="1578" t="s">
        <v>8</v>
      </c>
      <c r="U27" s="1579">
        <f t="shared" si="13"/>
        <v>100</v>
      </c>
      <c r="V27" s="1578" t="s">
        <v>8</v>
      </c>
      <c r="W27" s="1579">
        <f t="shared" si="14"/>
        <v>100</v>
      </c>
      <c r="X27" s="1580"/>
      <c r="Y27" s="3531"/>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531"/>
      <c r="Q28" s="1573" t="str">
        <f t="shared" si="11"/>
        <v>公共部分装修</v>
      </c>
      <c r="R28" s="1574" t="s">
        <v>8</v>
      </c>
      <c r="S28" s="1575">
        <f t="shared" si="12"/>
        <v>100</v>
      </c>
      <c r="T28" s="1574" t="s">
        <v>8</v>
      </c>
      <c r="U28" s="1575">
        <f t="shared" si="13"/>
        <v>100</v>
      </c>
      <c r="V28" s="1574" t="s">
        <v>8</v>
      </c>
      <c r="W28" s="1575">
        <f t="shared" si="14"/>
        <v>100</v>
      </c>
      <c r="X28" s="1568"/>
      <c r="Y28" s="3531"/>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531"/>
      <c r="Q29" s="1573" t="str">
        <f t="shared" si="11"/>
        <v>成新率</v>
      </c>
      <c r="R29" s="1574" t="s">
        <v>8</v>
      </c>
      <c r="S29" s="1575" t="e">
        <f t="shared" si="12"/>
        <v>#N/A</v>
      </c>
      <c r="T29" s="1574" t="s">
        <v>8</v>
      </c>
      <c r="U29" s="1575" t="e">
        <f t="shared" si="13"/>
        <v>#N/A</v>
      </c>
      <c r="V29" s="1574" t="s">
        <v>8</v>
      </c>
      <c r="W29" s="1575" t="e">
        <f t="shared" si="14"/>
        <v>#N/A</v>
      </c>
      <c r="X29" s="1568"/>
      <c r="Y29" s="3531"/>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531"/>
      <c r="Q30" s="1573" t="str">
        <f t="shared" si="11"/>
        <v>物业等级</v>
      </c>
      <c r="R30" s="1574" t="s">
        <v>8</v>
      </c>
      <c r="S30" s="1575">
        <f t="shared" si="12"/>
        <v>100</v>
      </c>
      <c r="T30" s="1574" t="s">
        <v>8</v>
      </c>
      <c r="U30" s="1575">
        <f t="shared" si="13"/>
        <v>100</v>
      </c>
      <c r="V30" s="1574" t="s">
        <v>8</v>
      </c>
      <c r="W30" s="1575">
        <f t="shared" si="14"/>
        <v>100</v>
      </c>
      <c r="X30" s="1568"/>
      <c r="Y30" s="3531"/>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531"/>
      <c r="Q31" s="1151" t="str">
        <f t="shared" si="11"/>
        <v>停车位面积</v>
      </c>
      <c r="R31" s="1569" t="s">
        <v>8</v>
      </c>
      <c r="S31" s="1570" t="e">
        <f t="shared" si="12"/>
        <v>#N/A</v>
      </c>
      <c r="T31" s="1569" t="s">
        <v>8</v>
      </c>
      <c r="U31" s="1570" t="e">
        <f t="shared" si="13"/>
        <v>#N/A</v>
      </c>
      <c r="V31" s="1569" t="s">
        <v>8</v>
      </c>
      <c r="W31" s="1570" t="e">
        <f t="shared" si="14"/>
        <v>#N/A</v>
      </c>
      <c r="X31" s="1571"/>
      <c r="Y31" s="3531"/>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531" t="s">
        <v>547</v>
      </c>
      <c r="Q32" s="1573" t="str">
        <f t="shared" si="11"/>
        <v>车位类型</v>
      </c>
      <c r="R32" s="1574" t="s">
        <v>8</v>
      </c>
      <c r="S32" s="1575">
        <f t="shared" si="12"/>
        <v>100</v>
      </c>
      <c r="T32" s="1574" t="s">
        <v>8</v>
      </c>
      <c r="U32" s="1575">
        <f t="shared" si="13"/>
        <v>100</v>
      </c>
      <c r="V32" s="1574" t="s">
        <v>8</v>
      </c>
      <c r="W32" s="1575">
        <f t="shared" si="14"/>
        <v>100</v>
      </c>
      <c r="X32" s="1568"/>
      <c r="Y32" s="3531"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531"/>
      <c r="Q33" s="1573" t="str">
        <f t="shared" si="11"/>
        <v>是否直接入户</v>
      </c>
      <c r="R33" s="1574" t="s">
        <v>8</v>
      </c>
      <c r="S33" s="1575">
        <f t="shared" si="12"/>
        <v>100</v>
      </c>
      <c r="T33" s="1574" t="s">
        <v>8</v>
      </c>
      <c r="U33" s="1575">
        <f t="shared" si="13"/>
        <v>100</v>
      </c>
      <c r="V33" s="1574" t="s">
        <v>8</v>
      </c>
      <c r="W33" s="1575">
        <f t="shared" si="14"/>
        <v>100</v>
      </c>
      <c r="X33" s="1568"/>
      <c r="Y33" s="353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531"/>
      <c r="Q34" s="1573">
        <f t="shared" si="11"/>
        <v>111</v>
      </c>
      <c r="R34" s="1574" t="s">
        <v>8</v>
      </c>
      <c r="S34" s="1575">
        <f t="shared" si="12"/>
        <v>100</v>
      </c>
      <c r="T34" s="1574" t="s">
        <v>8</v>
      </c>
      <c r="U34" s="1575">
        <f t="shared" si="13"/>
        <v>100</v>
      </c>
      <c r="V34" s="1574" t="s">
        <v>8</v>
      </c>
      <c r="W34" s="1575">
        <f t="shared" si="14"/>
        <v>100</v>
      </c>
      <c r="X34" s="1568"/>
      <c r="Y34" s="353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531"/>
      <c r="Q35" s="1606">
        <f t="shared" si="11"/>
        <v>111</v>
      </c>
      <c r="R35" s="1578" t="s">
        <v>8</v>
      </c>
      <c r="S35" s="1579">
        <f t="shared" si="12"/>
        <v>100</v>
      </c>
      <c r="T35" s="1578" t="s">
        <v>8</v>
      </c>
      <c r="U35" s="1579">
        <f t="shared" si="13"/>
        <v>100</v>
      </c>
      <c r="V35" s="1578" t="s">
        <v>8</v>
      </c>
      <c r="W35" s="1579">
        <f t="shared" si="14"/>
        <v>100</v>
      </c>
      <c r="X35" s="1580"/>
      <c r="Y35" s="353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531"/>
      <c r="Q36" s="1573">
        <f t="shared" si="11"/>
        <v>111</v>
      </c>
      <c r="R36" s="1574" t="s">
        <v>8</v>
      </c>
      <c r="S36" s="1575">
        <f t="shared" si="12"/>
        <v>100</v>
      </c>
      <c r="T36" s="1574" t="s">
        <v>8</v>
      </c>
      <c r="U36" s="1575">
        <f t="shared" si="13"/>
        <v>100</v>
      </c>
      <c r="V36" s="1574" t="s">
        <v>8</v>
      </c>
      <c r="W36" s="1575">
        <f t="shared" si="14"/>
        <v>100</v>
      </c>
      <c r="X36" s="1568"/>
      <c r="Y36" s="3531"/>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494" t="str">
        <f>A37</f>
        <v>成交单价</v>
      </c>
      <c r="Q37" s="3494"/>
      <c r="R37" s="3566">
        <f>E37</f>
        <v>0</v>
      </c>
      <c r="S37" s="3566"/>
      <c r="T37" s="3566">
        <f>G37</f>
        <v>0</v>
      </c>
      <c r="U37" s="3566"/>
      <c r="V37" s="3566">
        <f>I37</f>
        <v>0</v>
      </c>
      <c r="W37" s="3566"/>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494" t="str">
        <f>A38</f>
        <v>比较价格（元/平方米）</v>
      </c>
      <c r="Q38" s="3494"/>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91" t="str">
        <f>A39</f>
        <v>估价对象XX用房的比较价格（楼面单价，元/平方米）</v>
      </c>
      <c r="Q39" s="3492"/>
      <c r="R39" s="3568" t="e">
        <f>IF(F1="售价",ROUND(AVERAGE(R38:V38),0),ROUND(AVERAGE(R38:V38),1))</f>
        <v>#DIV/0!</v>
      </c>
      <c r="S39" s="3568"/>
      <c r="T39" s="3568"/>
      <c r="U39" s="3568"/>
      <c r="V39" s="3568"/>
      <c r="W39" s="35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2" t="str">
        <f>YEAR(C7)&amp;"-"&amp;MONTH(C7)</f>
        <v>2019-9</v>
      </c>
      <c r="D48" s="2804">
        <f>EDATE(C48,-1)</f>
        <v>43678</v>
      </c>
      <c r="E48" s="2804">
        <f t="shared" ref="E48:O48" si="16">EDATE(D48,-1)</f>
        <v>43647</v>
      </c>
      <c r="F48" s="2804">
        <f t="shared" si="16"/>
        <v>43617</v>
      </c>
      <c r="G48" s="2804">
        <f t="shared" si="16"/>
        <v>43586</v>
      </c>
      <c r="H48" s="2804">
        <f t="shared" si="16"/>
        <v>43556</v>
      </c>
      <c r="I48" s="2804">
        <f t="shared" si="16"/>
        <v>43525</v>
      </c>
      <c r="J48" s="2804">
        <f t="shared" si="16"/>
        <v>43497</v>
      </c>
      <c r="K48" s="2804">
        <f t="shared" si="16"/>
        <v>43466</v>
      </c>
      <c r="L48" s="2804">
        <f t="shared" si="16"/>
        <v>43435</v>
      </c>
      <c r="M48" s="2804">
        <f t="shared" si="16"/>
        <v>43405</v>
      </c>
      <c r="N48" s="2804">
        <f t="shared" si="16"/>
        <v>43374</v>
      </c>
      <c r="O48" s="2804">
        <f t="shared" si="16"/>
        <v>43344</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7"/>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500" t="s">
        <v>795</v>
      </c>
      <c r="D4" s="3501"/>
      <c r="E4" s="3534" t="s">
        <v>796</v>
      </c>
      <c r="F4" s="3535"/>
      <c r="G4" s="3500" t="s">
        <v>797</v>
      </c>
      <c r="H4" s="3501"/>
      <c r="I4" s="3500" t="s">
        <v>798</v>
      </c>
      <c r="J4" s="3501"/>
      <c r="K4" s="514" t="s">
        <v>799</v>
      </c>
      <c r="L4" s="2135"/>
      <c r="M4" s="2136"/>
      <c r="N4" s="2136"/>
      <c r="O4" s="2136"/>
      <c r="P4" s="3502" t="s">
        <v>800</v>
      </c>
      <c r="Q4" s="3503"/>
      <c r="R4" s="3508" t="s">
        <v>796</v>
      </c>
      <c r="S4" s="3509"/>
      <c r="T4" s="3508" t="s">
        <v>797</v>
      </c>
      <c r="U4" s="3509"/>
      <c r="V4" s="3495" t="s">
        <v>798</v>
      </c>
      <c r="W4" s="3495"/>
      <c r="X4" s="1568"/>
      <c r="Y4" s="3508" t="s">
        <v>800</v>
      </c>
      <c r="Z4" s="3509"/>
      <c r="AA4" s="3497" t="s">
        <v>796</v>
      </c>
      <c r="AB4" s="3498" t="s">
        <v>797</v>
      </c>
      <c r="AC4" s="3497" t="s">
        <v>798</v>
      </c>
    </row>
    <row r="5" spans="1:29" ht="15">
      <c r="A5" s="515"/>
      <c r="B5" s="516"/>
      <c r="C5" s="3516" t="s">
        <v>2925</v>
      </c>
      <c r="D5" s="3517"/>
      <c r="E5" s="3536" t="s">
        <v>2926</v>
      </c>
      <c r="F5" s="3537"/>
      <c r="G5" s="3516" t="s">
        <v>2927</v>
      </c>
      <c r="H5" s="3517"/>
      <c r="I5" s="3516" t="s">
        <v>2928</v>
      </c>
      <c r="J5" s="3517"/>
      <c r="K5" s="514"/>
      <c r="L5" s="2135"/>
      <c r="M5" s="2136"/>
      <c r="N5" s="2136"/>
      <c r="O5" s="2136"/>
      <c r="P5" s="3504"/>
      <c r="Q5" s="3505"/>
      <c r="R5" s="3510"/>
      <c r="S5" s="3511"/>
      <c r="T5" s="3510"/>
      <c r="U5" s="3511"/>
      <c r="V5" s="3495"/>
      <c r="W5" s="3495"/>
      <c r="X5" s="1568"/>
      <c r="Y5" s="3510"/>
      <c r="Z5" s="3511"/>
      <c r="AA5" s="3498"/>
      <c r="AB5" s="3498"/>
      <c r="AC5" s="3498"/>
    </row>
    <row r="6" spans="1:29" ht="15.75" thickBot="1">
      <c r="A6" s="517"/>
      <c r="B6" s="518"/>
      <c r="C6" s="3514" t="s">
        <v>2929</v>
      </c>
      <c r="D6" s="3515"/>
      <c r="E6" s="3532" t="s">
        <v>2929</v>
      </c>
      <c r="F6" s="3533"/>
      <c r="G6" s="3514" t="s">
        <v>2929</v>
      </c>
      <c r="H6" s="3515"/>
      <c r="I6" s="3514" t="s">
        <v>2929</v>
      </c>
      <c r="J6" s="3515"/>
      <c r="K6" s="514" t="s">
        <v>525</v>
      </c>
      <c r="L6" s="2135"/>
      <c r="M6" s="2136"/>
      <c r="N6" s="2136"/>
      <c r="O6" s="2136"/>
      <c r="P6" s="3506"/>
      <c r="Q6" s="3507"/>
      <c r="R6" s="3510"/>
      <c r="S6" s="3511"/>
      <c r="T6" s="3512"/>
      <c r="U6" s="3513"/>
      <c r="V6" s="3495"/>
      <c r="W6" s="3495"/>
      <c r="X6" s="1568"/>
      <c r="Y6" s="3512"/>
      <c r="Z6" s="3513"/>
      <c r="AA6" s="3499"/>
      <c r="AB6" s="3499"/>
      <c r="AC6" s="3499"/>
    </row>
    <row r="7" spans="1:29" s="1220" customFormat="1" ht="15.75" thickBot="1">
      <c r="A7" s="2912"/>
      <c r="B7" s="2919" t="s">
        <v>526</v>
      </c>
      <c r="C7" s="519">
        <f>'数据-取费表'!B2</f>
        <v>43711</v>
      </c>
      <c r="D7" s="520">
        <v>100</v>
      </c>
      <c r="E7" s="521"/>
      <c r="F7" s="522">
        <f>SUMIF(46:46,YEAR(E7)&amp;"-"&amp;MONTH(E7),47:47)</f>
        <v>0</v>
      </c>
      <c r="G7" s="523"/>
      <c r="H7" s="520">
        <f>SUMIF(46:46,YEAR(G7)&amp;"-"&amp;MONTH(G7),47:47)</f>
        <v>0</v>
      </c>
      <c r="I7" s="523"/>
      <c r="J7" s="520">
        <f>SUMIF(46:46,YEAR(I7)&amp;"-"&amp;MONTH(I7),47:47)</f>
        <v>0</v>
      </c>
      <c r="K7" s="524"/>
      <c r="L7" s="2137"/>
      <c r="M7" s="2138"/>
      <c r="N7" s="2138"/>
      <c r="O7" s="2138"/>
      <c r="P7" s="3525" t="s">
        <v>527</v>
      </c>
      <c r="Q7" s="3527"/>
      <c r="R7" s="1569" t="s">
        <v>8</v>
      </c>
      <c r="S7" s="1570">
        <f t="shared" ref="S7:S14" si="0">F7</f>
        <v>0</v>
      </c>
      <c r="T7" s="1569" t="s">
        <v>8</v>
      </c>
      <c r="U7" s="1570">
        <f t="shared" ref="U7:U14" si="1">H7</f>
        <v>0</v>
      </c>
      <c r="V7" s="1569" t="s">
        <v>8</v>
      </c>
      <c r="W7" s="1570">
        <f t="shared" ref="W7:W14" si="2">J7</f>
        <v>0</v>
      </c>
      <c r="X7" s="1571"/>
      <c r="Y7" s="3525" t="s">
        <v>527</v>
      </c>
      <c r="Z7" s="3526"/>
      <c r="AA7" s="1572" t="e">
        <f>D7/F7</f>
        <v>#DIV/0!</v>
      </c>
      <c r="AB7" s="1572" t="e">
        <f>D7/H7</f>
        <v>#DIV/0!</v>
      </c>
      <c r="AC7" s="1572" t="e">
        <f>D7/J7</f>
        <v>#DIV/0!</v>
      </c>
    </row>
    <row r="8" spans="1:29" s="1220" customFormat="1" ht="15.75" thickBot="1">
      <c r="A8" s="2913"/>
      <c r="B8" s="2920"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525" t="s">
        <v>530</v>
      </c>
      <c r="Q8" s="3526"/>
      <c r="R8" s="1569" t="s">
        <v>8</v>
      </c>
      <c r="S8" s="1570">
        <f t="shared" si="0"/>
        <v>0</v>
      </c>
      <c r="T8" s="1569" t="s">
        <v>8</v>
      </c>
      <c r="U8" s="1570">
        <f t="shared" si="1"/>
        <v>0</v>
      </c>
      <c r="V8" s="1569" t="s">
        <v>8</v>
      </c>
      <c r="W8" s="1570">
        <f t="shared" si="2"/>
        <v>0</v>
      </c>
      <c r="X8" s="1571"/>
      <c r="Y8" s="3525" t="s">
        <v>530</v>
      </c>
      <c r="Z8" s="3526"/>
      <c r="AA8" s="1572" t="e">
        <f t="shared" ref="AA8:AA34" si="3">D8/F8</f>
        <v>#DIV/0!</v>
      </c>
      <c r="AB8" s="1572" t="e">
        <f t="shared" ref="AB8:AB34" si="4">D8/H8</f>
        <v>#DIV/0!</v>
      </c>
      <c r="AC8" s="1572" t="e">
        <f t="shared" ref="AC8:AC34" si="5">D8/J8</f>
        <v>#DIV/0!</v>
      </c>
    </row>
    <row r="9" spans="1:29" s="1220" customFormat="1" ht="15">
      <c r="A9" s="2914"/>
      <c r="B9" s="2921"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94" t="s">
        <v>532</v>
      </c>
      <c r="Q9" s="1151" t="str">
        <f t="shared" ref="Q9:Q14" si="6">B9</f>
        <v>用途</v>
      </c>
      <c r="R9" s="1569" t="s">
        <v>8</v>
      </c>
      <c r="S9" s="1570">
        <f t="shared" si="0"/>
        <v>100</v>
      </c>
      <c r="T9" s="1569" t="s">
        <v>8</v>
      </c>
      <c r="U9" s="1570">
        <f t="shared" si="1"/>
        <v>100</v>
      </c>
      <c r="V9" s="1569" t="s">
        <v>8</v>
      </c>
      <c r="W9" s="1570">
        <f t="shared" si="2"/>
        <v>100</v>
      </c>
      <c r="X9" s="1571"/>
      <c r="Y9" s="3431" t="s">
        <v>533</v>
      </c>
      <c r="Z9" s="1150" t="str">
        <f t="shared" ref="Z9:Z14" si="7">Q9</f>
        <v>用途</v>
      </c>
      <c r="AA9" s="1572">
        <f t="shared" si="3"/>
        <v>1</v>
      </c>
      <c r="AB9" s="1572">
        <f t="shared" si="4"/>
        <v>1</v>
      </c>
      <c r="AC9" s="1572">
        <f t="shared" si="5"/>
        <v>1</v>
      </c>
    </row>
    <row r="10" spans="1:29" s="1338" customFormat="1" ht="27">
      <c r="A10" s="2915"/>
      <c r="B10" s="2920"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94"/>
      <c r="Q10" s="1151" t="str">
        <f t="shared" si="6"/>
        <v>土地使用年限（年）</v>
      </c>
      <c r="R10" s="1569" t="s">
        <v>8</v>
      </c>
      <c r="S10" s="1570">
        <f t="shared" si="0"/>
        <v>100</v>
      </c>
      <c r="T10" s="1569" t="s">
        <v>8</v>
      </c>
      <c r="U10" s="1570">
        <f t="shared" si="1"/>
        <v>100</v>
      </c>
      <c r="V10" s="1569" t="s">
        <v>8</v>
      </c>
      <c r="W10" s="1570">
        <f t="shared" si="2"/>
        <v>100</v>
      </c>
      <c r="X10" s="1571"/>
      <c r="Y10" s="3431"/>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94"/>
      <c r="Q11" s="1151">
        <f t="shared" si="6"/>
        <v>111</v>
      </c>
      <c r="R11" s="1569" t="s">
        <v>8</v>
      </c>
      <c r="S11" s="1570">
        <f t="shared" si="0"/>
        <v>100</v>
      </c>
      <c r="T11" s="1569" t="s">
        <v>8</v>
      </c>
      <c r="U11" s="1570">
        <f t="shared" si="1"/>
        <v>100</v>
      </c>
      <c r="V11" s="1569" t="s">
        <v>8</v>
      </c>
      <c r="W11" s="1570">
        <f t="shared" si="2"/>
        <v>100</v>
      </c>
      <c r="X11" s="1571"/>
      <c r="Y11" s="3431"/>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94"/>
      <c r="Q12" s="1151">
        <f t="shared" si="6"/>
        <v>111</v>
      </c>
      <c r="R12" s="1569" t="s">
        <v>8</v>
      </c>
      <c r="S12" s="1570">
        <f t="shared" si="0"/>
        <v>100</v>
      </c>
      <c r="T12" s="1569" t="s">
        <v>8</v>
      </c>
      <c r="U12" s="1570">
        <f t="shared" si="1"/>
        <v>100</v>
      </c>
      <c r="V12" s="1569" t="s">
        <v>8</v>
      </c>
      <c r="W12" s="1570">
        <f t="shared" si="2"/>
        <v>100</v>
      </c>
      <c r="X12" s="1571"/>
      <c r="Y12" s="3431"/>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94"/>
      <c r="Q13" s="1151">
        <f t="shared" si="6"/>
        <v>111</v>
      </c>
      <c r="R13" s="1569" t="s">
        <v>8</v>
      </c>
      <c r="S13" s="1570">
        <f t="shared" si="0"/>
        <v>100</v>
      </c>
      <c r="T13" s="1569" t="s">
        <v>8</v>
      </c>
      <c r="U13" s="1570">
        <f t="shared" si="1"/>
        <v>100</v>
      </c>
      <c r="V13" s="1569" t="s">
        <v>8</v>
      </c>
      <c r="W13" s="1570">
        <f t="shared" si="2"/>
        <v>100</v>
      </c>
      <c r="X13" s="1571"/>
      <c r="Y13" s="3431"/>
      <c r="Z13" s="1150">
        <f t="shared" si="7"/>
        <v>111</v>
      </c>
      <c r="AA13" s="1572">
        <f t="shared" si="3"/>
        <v>1</v>
      </c>
      <c r="AB13" s="1572">
        <f t="shared" si="4"/>
        <v>1</v>
      </c>
      <c r="AC13" s="1572">
        <f t="shared" si="5"/>
        <v>1</v>
      </c>
    </row>
    <row r="14" spans="1:29" ht="85.5">
      <c r="A14" s="2910"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528" t="s">
        <v>537</v>
      </c>
      <c r="Q14" s="1573" t="str">
        <f t="shared" si="6"/>
        <v>交通便捷度</v>
      </c>
      <c r="R14" s="1574" t="s">
        <v>8</v>
      </c>
      <c r="S14" s="1575">
        <f t="shared" si="0"/>
        <v>100</v>
      </c>
      <c r="T14" s="1574" t="s">
        <v>8</v>
      </c>
      <c r="U14" s="1575">
        <f t="shared" si="1"/>
        <v>100</v>
      </c>
      <c r="V14" s="1574" t="s">
        <v>8</v>
      </c>
      <c r="W14" s="1575">
        <f t="shared" si="2"/>
        <v>100</v>
      </c>
      <c r="X14" s="1568"/>
      <c r="Y14" s="3528"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529"/>
      <c r="Q15" s="1573"/>
      <c r="R15" s="1574"/>
      <c r="S15" s="1575"/>
      <c r="T15" s="1574"/>
      <c r="U15" s="1575"/>
      <c r="V15" s="1574"/>
      <c r="W15" s="1575"/>
      <c r="X15" s="1568"/>
      <c r="Y15" s="3529"/>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529"/>
      <c r="Q16" s="1573" t="str">
        <f>B16</f>
        <v>公共配套设施</v>
      </c>
      <c r="R16" s="1574" t="s">
        <v>8</v>
      </c>
      <c r="S16" s="1575">
        <f>F16</f>
        <v>100</v>
      </c>
      <c r="T16" s="1574" t="s">
        <v>8</v>
      </c>
      <c r="U16" s="1575">
        <f>H16</f>
        <v>100</v>
      </c>
      <c r="V16" s="1574" t="s">
        <v>8</v>
      </c>
      <c r="W16" s="1575">
        <f>J16</f>
        <v>100</v>
      </c>
      <c r="X16" s="1568"/>
      <c r="Y16" s="352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529"/>
      <c r="Q17" s="1573"/>
      <c r="R17" s="1574"/>
      <c r="S17" s="1575"/>
      <c r="T17" s="1574"/>
      <c r="U17" s="1575"/>
      <c r="V17" s="1574"/>
      <c r="W17" s="1575"/>
      <c r="X17" s="1568"/>
      <c r="Y17" s="3529"/>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529"/>
      <c r="Q18" s="2581" t="str">
        <f>B18</f>
        <v>基础设施水平</v>
      </c>
      <c r="R18" s="1574" t="s">
        <v>8</v>
      </c>
      <c r="S18" s="1575">
        <f>F18</f>
        <v>100</v>
      </c>
      <c r="T18" s="1574" t="s">
        <v>8</v>
      </c>
      <c r="U18" s="1575">
        <f>H18</f>
        <v>100</v>
      </c>
      <c r="V18" s="1574" t="s">
        <v>8</v>
      </c>
      <c r="W18" s="1575">
        <f>J18</f>
        <v>100</v>
      </c>
      <c r="X18" s="2583"/>
      <c r="Y18" s="3529"/>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529"/>
      <c r="Q19" s="2581"/>
      <c r="R19" s="1574"/>
      <c r="S19" s="1575"/>
      <c r="T19" s="1574"/>
      <c r="U19" s="1575"/>
      <c r="V19" s="1574"/>
      <c r="W19" s="1575"/>
      <c r="X19" s="2583"/>
      <c r="Y19" s="3529"/>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529"/>
      <c r="Q20" s="1573" t="str">
        <f>B20</f>
        <v>自然及人文环境</v>
      </c>
      <c r="R20" s="1574" t="s">
        <v>8</v>
      </c>
      <c r="S20" s="1575">
        <f>F20</f>
        <v>100</v>
      </c>
      <c r="T20" s="1574" t="s">
        <v>8</v>
      </c>
      <c r="U20" s="1575">
        <f>H20</f>
        <v>100</v>
      </c>
      <c r="V20" s="1574" t="s">
        <v>8</v>
      </c>
      <c r="W20" s="1575">
        <f>J20</f>
        <v>100</v>
      </c>
      <c r="X20" s="1568"/>
      <c r="Y20" s="352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529"/>
      <c r="Q21" s="1573"/>
      <c r="R21" s="1574"/>
      <c r="S21" s="1575"/>
      <c r="T21" s="1574"/>
      <c r="U21" s="1575"/>
      <c r="V21" s="1574"/>
      <c r="W21" s="1575"/>
      <c r="X21" s="1568"/>
      <c r="Y21" s="3529"/>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529"/>
      <c r="Q22" s="1573" t="str">
        <f>B22</f>
        <v>楼层</v>
      </c>
      <c r="R22" s="1574" t="s">
        <v>8</v>
      </c>
      <c r="S22" s="1575">
        <f>F22</f>
        <v>100</v>
      </c>
      <c r="T22" s="1574" t="s">
        <v>8</v>
      </c>
      <c r="U22" s="1575">
        <f>H22</f>
        <v>100</v>
      </c>
      <c r="V22" s="1574" t="s">
        <v>8</v>
      </c>
      <c r="W22" s="1575">
        <f>J22</f>
        <v>100</v>
      </c>
      <c r="X22" s="1568"/>
      <c r="Y22" s="352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529"/>
      <c r="Q23" s="1573">
        <f>B23</f>
        <v>111</v>
      </c>
      <c r="R23" s="1574" t="s">
        <v>8</v>
      </c>
      <c r="S23" s="1575">
        <f>F23</f>
        <v>100</v>
      </c>
      <c r="T23" s="1574" t="s">
        <v>8</v>
      </c>
      <c r="U23" s="1575">
        <f>H23</f>
        <v>100</v>
      </c>
      <c r="V23" s="1574" t="s">
        <v>8</v>
      </c>
      <c r="W23" s="1575">
        <f>J23</f>
        <v>100</v>
      </c>
      <c r="X23" s="1568"/>
      <c r="Y23" s="352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529"/>
      <c r="Q24" s="1573">
        <f t="shared" ref="Q24:Q34" si="11">B24</f>
        <v>111</v>
      </c>
      <c r="R24" s="1574" t="s">
        <v>8</v>
      </c>
      <c r="S24" s="1575">
        <f>F24</f>
        <v>100</v>
      </c>
      <c r="T24" s="1574" t="s">
        <v>8</v>
      </c>
      <c r="U24" s="1575">
        <f>H24</f>
        <v>100</v>
      </c>
      <c r="V24" s="1574" t="s">
        <v>8</v>
      </c>
      <c r="W24" s="1575">
        <f>J24</f>
        <v>100</v>
      </c>
      <c r="X24" s="1568"/>
      <c r="Y24" s="352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529"/>
      <c r="Q25" s="1151">
        <f t="shared" si="11"/>
        <v>111</v>
      </c>
      <c r="R25" s="1569" t="s">
        <v>8</v>
      </c>
      <c r="S25" s="1570">
        <f>F25</f>
        <v>100</v>
      </c>
      <c r="T25" s="1569" t="s">
        <v>8</v>
      </c>
      <c r="U25" s="1570">
        <f>H25</f>
        <v>100</v>
      </c>
      <c r="V25" s="1569" t="s">
        <v>8</v>
      </c>
      <c r="W25" s="1570">
        <f>J25</f>
        <v>100</v>
      </c>
      <c r="X25" s="1571"/>
      <c r="Y25" s="3529"/>
      <c r="Z25" s="1150">
        <f>Q25</f>
        <v>111</v>
      </c>
      <c r="AA25" s="1577">
        <f>D25/F25</f>
        <v>1</v>
      </c>
      <c r="AB25" s="1577">
        <f>D25/H25</f>
        <v>1</v>
      </c>
      <c r="AC25" s="1577">
        <f>D25/J25</f>
        <v>1</v>
      </c>
    </row>
    <row r="26" spans="1:29" ht="15">
      <c r="A26" s="2907"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530"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31"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531"/>
      <c r="Q27" s="1606" t="str">
        <f t="shared" si="11"/>
        <v>成新率</v>
      </c>
      <c r="R27" s="1578" t="s">
        <v>8</v>
      </c>
      <c r="S27" s="1579" t="e">
        <f t="shared" si="12"/>
        <v>#N/A</v>
      </c>
      <c r="T27" s="1578" t="s">
        <v>8</v>
      </c>
      <c r="U27" s="1579" t="e">
        <f t="shared" si="13"/>
        <v>#N/A</v>
      </c>
      <c r="V27" s="1578" t="s">
        <v>8</v>
      </c>
      <c r="W27" s="1579" t="e">
        <f t="shared" si="14"/>
        <v>#N/A</v>
      </c>
      <c r="X27" s="1580"/>
      <c r="Y27" s="3531"/>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531"/>
      <c r="Q28" s="1573" t="str">
        <f t="shared" si="11"/>
        <v>物业等级</v>
      </c>
      <c r="R28" s="1574" t="s">
        <v>8</v>
      </c>
      <c r="S28" s="1575">
        <f t="shared" si="12"/>
        <v>100</v>
      </c>
      <c r="T28" s="1574" t="s">
        <v>8</v>
      </c>
      <c r="U28" s="1575">
        <f t="shared" si="13"/>
        <v>100</v>
      </c>
      <c r="V28" s="1574" t="s">
        <v>8</v>
      </c>
      <c r="W28" s="1575">
        <f t="shared" si="14"/>
        <v>100</v>
      </c>
      <c r="X28" s="1568"/>
      <c r="Y28" s="3531"/>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531"/>
      <c r="Q29" s="1573" t="str">
        <f t="shared" si="11"/>
        <v>有无电梯</v>
      </c>
      <c r="R29" s="1574" t="s">
        <v>8</v>
      </c>
      <c r="S29" s="1575">
        <f t="shared" si="12"/>
        <v>100</v>
      </c>
      <c r="T29" s="1574" t="s">
        <v>8</v>
      </c>
      <c r="U29" s="1575">
        <f t="shared" si="13"/>
        <v>100</v>
      </c>
      <c r="V29" s="1574" t="s">
        <v>8</v>
      </c>
      <c r="W29" s="1575">
        <f t="shared" si="14"/>
        <v>100</v>
      </c>
      <c r="X29" s="1568"/>
      <c r="Y29" s="3531"/>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531"/>
      <c r="Q30" s="1573" t="str">
        <f t="shared" si="11"/>
        <v>建筑面积</v>
      </c>
      <c r="R30" s="1574" t="s">
        <v>8</v>
      </c>
      <c r="S30" s="1575" t="e">
        <f t="shared" si="12"/>
        <v>#N/A</v>
      </c>
      <c r="T30" s="1574" t="s">
        <v>8</v>
      </c>
      <c r="U30" s="1575" t="e">
        <f t="shared" si="13"/>
        <v>#N/A</v>
      </c>
      <c r="V30" s="1574" t="s">
        <v>8</v>
      </c>
      <c r="W30" s="1575" t="e">
        <f t="shared" si="14"/>
        <v>#N/A</v>
      </c>
      <c r="X30" s="1568"/>
      <c r="Y30" s="3531"/>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531"/>
      <c r="Q31" s="1151" t="str">
        <f t="shared" si="11"/>
        <v>是否封闭</v>
      </c>
      <c r="R31" s="1569" t="s">
        <v>8</v>
      </c>
      <c r="S31" s="1570">
        <f t="shared" si="12"/>
        <v>100</v>
      </c>
      <c r="T31" s="1569" t="s">
        <v>8</v>
      </c>
      <c r="U31" s="1570">
        <f t="shared" si="13"/>
        <v>100</v>
      </c>
      <c r="V31" s="1569" t="s">
        <v>8</v>
      </c>
      <c r="W31" s="1570">
        <f t="shared" si="14"/>
        <v>100</v>
      </c>
      <c r="X31" s="1571"/>
      <c r="Y31" s="353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531" t="s">
        <v>547</v>
      </c>
      <c r="Q32" s="1573">
        <f t="shared" si="11"/>
        <v>111</v>
      </c>
      <c r="R32" s="1574" t="s">
        <v>8</v>
      </c>
      <c r="S32" s="1575">
        <f t="shared" si="12"/>
        <v>100</v>
      </c>
      <c r="T32" s="1574" t="s">
        <v>8</v>
      </c>
      <c r="U32" s="1575">
        <f t="shared" si="13"/>
        <v>100</v>
      </c>
      <c r="V32" s="1574" t="s">
        <v>8</v>
      </c>
      <c r="W32" s="1575">
        <f t="shared" si="14"/>
        <v>100</v>
      </c>
      <c r="X32" s="1568"/>
      <c r="Y32" s="3531"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531"/>
      <c r="Q33" s="1573">
        <f t="shared" si="11"/>
        <v>111</v>
      </c>
      <c r="R33" s="1574" t="s">
        <v>8</v>
      </c>
      <c r="S33" s="1575">
        <f t="shared" si="12"/>
        <v>100</v>
      </c>
      <c r="T33" s="1574" t="s">
        <v>8</v>
      </c>
      <c r="U33" s="1575">
        <f t="shared" si="13"/>
        <v>100</v>
      </c>
      <c r="V33" s="1574" t="s">
        <v>8</v>
      </c>
      <c r="W33" s="1575">
        <f t="shared" si="14"/>
        <v>100</v>
      </c>
      <c r="X33" s="1568"/>
      <c r="Y33" s="353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531"/>
      <c r="Q34" s="1573">
        <f t="shared" si="11"/>
        <v>111</v>
      </c>
      <c r="R34" s="1574" t="s">
        <v>8</v>
      </c>
      <c r="S34" s="1575">
        <f t="shared" si="12"/>
        <v>100</v>
      </c>
      <c r="T34" s="1574" t="s">
        <v>8</v>
      </c>
      <c r="U34" s="1575">
        <f t="shared" si="13"/>
        <v>100</v>
      </c>
      <c r="V34" s="1574" t="s">
        <v>8</v>
      </c>
      <c r="W34" s="1575">
        <f t="shared" si="14"/>
        <v>100</v>
      </c>
      <c r="X34" s="1568"/>
      <c r="Y34" s="3531"/>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494" t="str">
        <f>A35</f>
        <v>成交单价（元/平方米）</v>
      </c>
      <c r="Q35" s="3494"/>
      <c r="R35" s="3566">
        <f>E35</f>
        <v>0</v>
      </c>
      <c r="S35" s="3566"/>
      <c r="T35" s="3566">
        <f>G35</f>
        <v>0</v>
      </c>
      <c r="U35" s="3566"/>
      <c r="V35" s="3566">
        <f>I35</f>
        <v>0</v>
      </c>
      <c r="W35" s="3566"/>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494" t="str">
        <f>A36</f>
        <v>比较价格（元/平方米）</v>
      </c>
      <c r="Q36" s="3494"/>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91" t="str">
        <f>A37</f>
        <v>估价对象XX用房的比较价格（楼面单价，元/平方米）</v>
      </c>
      <c r="Q37" s="3492"/>
      <c r="R37" s="3568" t="e">
        <f>IF(F1="售价",ROUND(AVERAGE(R36:V36),0),ROUND(AVERAGE(R36:V36),1))</f>
        <v>#DIV/0!</v>
      </c>
      <c r="S37" s="3568"/>
      <c r="T37" s="3568"/>
      <c r="U37" s="3568"/>
      <c r="V37" s="3568"/>
      <c r="W37" s="35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2" t="str">
        <f>YEAR(C7)&amp;"-"&amp;MONTH(C7)</f>
        <v>2019-9</v>
      </c>
      <c r="D46" s="2804">
        <f>EDATE(C46,-1)</f>
        <v>43678</v>
      </c>
      <c r="E46" s="2804">
        <f t="shared" ref="E46:O46" si="16">EDATE(D46,-1)</f>
        <v>43647</v>
      </c>
      <c r="F46" s="2804">
        <f t="shared" si="16"/>
        <v>43617</v>
      </c>
      <c r="G46" s="2804">
        <f t="shared" si="16"/>
        <v>43586</v>
      </c>
      <c r="H46" s="2804">
        <f t="shared" si="16"/>
        <v>43556</v>
      </c>
      <c r="I46" s="2804">
        <f t="shared" si="16"/>
        <v>43525</v>
      </c>
      <c r="J46" s="2804">
        <f t="shared" si="16"/>
        <v>43497</v>
      </c>
      <c r="K46" s="2804">
        <f t="shared" si="16"/>
        <v>43466</v>
      </c>
      <c r="L46" s="2804">
        <f t="shared" si="16"/>
        <v>43435</v>
      </c>
      <c r="M46" s="2804">
        <f t="shared" si="16"/>
        <v>43405</v>
      </c>
      <c r="N46" s="2804">
        <f t="shared" si="16"/>
        <v>43374</v>
      </c>
      <c r="O46" s="2804">
        <f t="shared" si="16"/>
        <v>43344</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616" t="s">
        <v>2300</v>
      </c>
      <c r="D1" s="3617"/>
      <c r="E1" s="3617"/>
      <c r="F1" s="3617"/>
      <c r="G1" s="3617"/>
      <c r="H1" s="3617"/>
      <c r="I1" s="3617"/>
      <c r="J1" s="3617"/>
      <c r="K1" s="3617"/>
      <c r="L1" s="3617"/>
      <c r="M1" s="3617"/>
      <c r="N1" s="3617"/>
      <c r="O1" s="3617"/>
      <c r="P1" s="3617"/>
      <c r="Q1" s="3617"/>
      <c r="R1" s="3617"/>
      <c r="S1" s="3618"/>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613" t="s">
        <v>20</v>
      </c>
      <c r="D22" s="3614"/>
      <c r="E22" s="3614"/>
      <c r="F22" s="3614"/>
      <c r="G22" s="3614"/>
      <c r="H22" s="3614"/>
      <c r="I22" s="3614"/>
      <c r="J22" s="3614"/>
      <c r="K22" s="3614"/>
      <c r="L22" s="3614"/>
      <c r="M22" s="3614"/>
      <c r="N22" s="3614"/>
      <c r="O22" s="3614"/>
      <c r="P22" s="3614"/>
      <c r="Q22" s="3615"/>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2783</v>
      </c>
      <c r="C1" s="3004">
        <f>项目基本情况!D3</f>
        <v>43711</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2814</v>
      </c>
      <c r="C2" s="3005">
        <f>'数据-取费表'!B22</f>
        <v>3</v>
      </c>
      <c r="D2" s="3000" t="s">
        <v>2784</v>
      </c>
      <c r="E2" s="3003">
        <f ca="1">INDIRECT("I"&amp;$I$1)/100</f>
        <v>4.7500000000000001E-2</v>
      </c>
      <c r="G2" s="2940"/>
      <c r="H2" s="2940"/>
      <c r="I2" s="2940" t="s">
        <v>2785</v>
      </c>
      <c r="K2" s="2940"/>
      <c r="L2" s="2940"/>
      <c r="M2" s="2940"/>
      <c r="N2" s="2940" t="s">
        <v>2786</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2816</v>
      </c>
      <c r="C3" s="3002">
        <f>'数据-取费表'!B19</f>
        <v>0</v>
      </c>
      <c r="D3" s="3000" t="s">
        <v>2784</v>
      </c>
      <c r="E3" s="3003">
        <f ca="1">INDIRECT("J"&amp;$J$1)/100</f>
        <v>0</v>
      </c>
      <c r="G3" s="2942" t="s">
        <v>2787</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2815</v>
      </c>
      <c r="C4" s="3003">
        <f ca="1">N4/100</f>
        <v>1.4999999999999999E-2</v>
      </c>
      <c r="G4" s="2948" t="s">
        <v>2788</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2789</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2790</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2791</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2792</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2793</v>
      </c>
      <c r="C10" s="2967"/>
      <c r="D10" s="2967"/>
      <c r="E10" s="2967"/>
      <c r="F10" s="2967"/>
      <c r="G10" s="2967"/>
      <c r="H10" s="2967"/>
      <c r="I10" s="2941"/>
      <c r="J10" s="2941"/>
      <c r="K10" s="2967"/>
      <c r="L10" s="2968" t="s">
        <v>2794</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2795</v>
      </c>
      <c r="C11" s="2972" t="s">
        <v>2796</v>
      </c>
      <c r="D11" s="2973" t="s">
        <v>2797</v>
      </c>
      <c r="E11" s="2974"/>
      <c r="F11" s="2973" t="s">
        <v>2798</v>
      </c>
      <c r="G11" s="2975"/>
      <c r="H11" s="2974"/>
      <c r="I11" s="2973" t="s">
        <v>2799</v>
      </c>
      <c r="J11" s="2974"/>
      <c r="K11" s="2970"/>
      <c r="L11" s="2971" t="s">
        <v>2795</v>
      </c>
      <c r="M11" s="2972" t="s">
        <v>2796</v>
      </c>
      <c r="N11" s="2971" t="s">
        <v>2800</v>
      </c>
      <c r="O11" s="2973" t="s">
        <v>2801</v>
      </c>
      <c r="P11" s="2975"/>
      <c r="Q11" s="2975"/>
      <c r="R11" s="2975"/>
      <c r="S11" s="2975"/>
      <c r="T11" s="2974"/>
      <c r="U11" s="2973" t="s">
        <v>2802</v>
      </c>
      <c r="V11" s="2975"/>
      <c r="W11" s="2974"/>
      <c r="X11" s="2971" t="s">
        <v>2803</v>
      </c>
      <c r="Y11" s="2971" t="s">
        <v>2804</v>
      </c>
      <c r="Z11" s="2971" t="s">
        <v>2805</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2806</v>
      </c>
      <c r="E12" s="2980" t="s">
        <v>2807</v>
      </c>
      <c r="F12" s="2980" t="s">
        <v>2808</v>
      </c>
      <c r="G12" s="2980" t="s">
        <v>2809</v>
      </c>
      <c r="H12" s="2980" t="s">
        <v>2791</v>
      </c>
      <c r="I12" s="2981" t="s">
        <v>2810</v>
      </c>
      <c r="J12" s="2981" t="s">
        <v>2810</v>
      </c>
      <c r="K12" s="2977"/>
      <c r="L12" s="2978"/>
      <c r="M12" s="2979"/>
      <c r="N12" s="2978"/>
      <c r="O12" s="2981" t="s">
        <v>2811</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2812</v>
      </c>
      <c r="C13" s="2985">
        <v>42301</v>
      </c>
      <c r="D13" s="2986">
        <v>4.3499999999999996</v>
      </c>
      <c r="E13" s="2986">
        <v>4.3499999999999996</v>
      </c>
      <c r="F13" s="2986">
        <v>4.75</v>
      </c>
      <c r="G13" s="2986">
        <v>4.75</v>
      </c>
      <c r="H13" s="2986">
        <v>4.9000000000000004</v>
      </c>
      <c r="I13" s="2986">
        <v>2.75</v>
      </c>
      <c r="J13" s="2986">
        <v>3.25</v>
      </c>
      <c r="K13" s="2983"/>
      <c r="L13" s="2984" t="s">
        <v>2812</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2813</v>
      </c>
      <c r="Y42" s="2990" t="s">
        <v>2813</v>
      </c>
      <c r="Z42" s="2990" t="s">
        <v>2813</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2813</v>
      </c>
      <c r="Y43" s="2990" t="s">
        <v>2813</v>
      </c>
      <c r="Z43" s="2990" t="s">
        <v>2813</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2813</v>
      </c>
      <c r="Y44" s="2990" t="s">
        <v>2813</v>
      </c>
      <c r="Z44" s="2990" t="s">
        <v>2813</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2813</v>
      </c>
      <c r="Y45" s="2990" t="s">
        <v>2813</v>
      </c>
      <c r="Z45" s="2990" t="s">
        <v>2813</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2813</v>
      </c>
      <c r="Y46" s="2990" t="s">
        <v>2813</v>
      </c>
      <c r="Z46" s="2990" t="s">
        <v>2813</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2813</v>
      </c>
      <c r="Y47" s="2990" t="s">
        <v>2813</v>
      </c>
      <c r="Z47" s="2990" t="s">
        <v>2813</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2813</v>
      </c>
      <c r="Y48" s="2990" t="s">
        <v>2813</v>
      </c>
      <c r="Z48" s="2990" t="s">
        <v>2813</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2813</v>
      </c>
      <c r="Y49" s="2990" t="s">
        <v>2813</v>
      </c>
      <c r="Z49" s="2990" t="s">
        <v>2813</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2813</v>
      </c>
      <c r="Y50" s="2990" t="s">
        <v>2813</v>
      </c>
      <c r="Z50" s="2990" t="s">
        <v>2813</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2813</v>
      </c>
      <c r="V51" s="2990" t="s">
        <v>2813</v>
      </c>
      <c r="W51" s="2990" t="s">
        <v>2813</v>
      </c>
      <c r="X51" s="2990" t="s">
        <v>2813</v>
      </c>
      <c r="Y51" s="2990" t="s">
        <v>2813</v>
      </c>
      <c r="Z51" s="2990" t="s">
        <v>2813</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2813</v>
      </c>
      <c r="J55" s="2990" t="s">
        <v>2813</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F24" sqref="F24"/>
    </sheetView>
  </sheetViews>
  <sheetFormatPr defaultRowHeight="13.5"/>
  <cols>
    <col min="1" max="1" width="9" style="3197"/>
    <col min="2" max="3" width="9" style="3197" customWidth="1"/>
    <col min="4" max="4" width="14.625" style="3197" customWidth="1"/>
    <col min="5" max="7" width="9" style="3197" customWidth="1"/>
    <col min="8" max="9" width="13" style="3197" customWidth="1"/>
    <col min="10" max="14" width="9" style="3197" customWidth="1"/>
    <col min="15" max="15" width="10.875" style="3197" customWidth="1"/>
    <col min="16" max="16" width="0" style="3197" hidden="1" customWidth="1"/>
    <col min="17" max="16384" width="9" style="3197"/>
  </cols>
  <sheetData>
    <row r="1" spans="1:16">
      <c r="B1" s="3198" t="s">
        <v>3048</v>
      </c>
      <c r="C1" s="3198" t="s">
        <v>3049</v>
      </c>
    </row>
    <row r="2" spans="1:16">
      <c r="A2" s="3198" t="s">
        <v>3050</v>
      </c>
      <c r="B2" s="3197">
        <f>E14+E11*0.3</f>
        <v>50371.5</v>
      </c>
      <c r="C2" s="3197">
        <v>15300</v>
      </c>
      <c r="D2" s="3197">
        <f>B2*C2</f>
        <v>770683950</v>
      </c>
    </row>
    <row r="3" spans="1:16">
      <c r="A3" s="3198" t="s">
        <v>3051</v>
      </c>
      <c r="B3" s="3197">
        <f>E7+E8+E9+E13</f>
        <v>292155</v>
      </c>
      <c r="C3" s="3197">
        <v>8900</v>
      </c>
      <c r="D3" s="3197">
        <f>B3*C3</f>
        <v>2600179500</v>
      </c>
    </row>
    <row r="4" spans="1:16">
      <c r="B4" s="3199">
        <f>B2+B3</f>
        <v>342526.5</v>
      </c>
      <c r="C4" s="3197">
        <f>D4/B4</f>
        <v>9841.1756462638659</v>
      </c>
      <c r="D4" s="3199">
        <f>D2+D3</f>
        <v>3370863450</v>
      </c>
    </row>
    <row r="6" spans="1:16">
      <c r="A6" s="3200" t="s">
        <v>3052</v>
      </c>
      <c r="B6" s="3200" t="s">
        <v>3053</v>
      </c>
      <c r="C6" s="3200" t="s">
        <v>3054</v>
      </c>
      <c r="D6" s="3200" t="s">
        <v>3055</v>
      </c>
      <c r="E6" s="3200" t="s">
        <v>3056</v>
      </c>
      <c r="F6" s="3201" t="s">
        <v>3172</v>
      </c>
      <c r="G6" s="3201" t="s">
        <v>3173</v>
      </c>
      <c r="H6" s="3201" t="s">
        <v>3174</v>
      </c>
      <c r="I6" s="3201" t="s">
        <v>3175</v>
      </c>
      <c r="J6" s="3201" t="s">
        <v>3176</v>
      </c>
      <c r="K6" s="3201" t="s">
        <v>3177</v>
      </c>
      <c r="L6" s="3201" t="s">
        <v>3178</v>
      </c>
      <c r="M6" s="3201" t="s">
        <v>3179</v>
      </c>
      <c r="N6" s="3201" t="s">
        <v>3180</v>
      </c>
      <c r="O6" s="3201" t="s">
        <v>3181</v>
      </c>
      <c r="P6" s="3201" t="s">
        <v>3182</v>
      </c>
    </row>
    <row r="7" spans="1:16">
      <c r="A7" s="3201">
        <v>6076</v>
      </c>
      <c r="B7" s="3200" t="s">
        <v>3057</v>
      </c>
      <c r="C7" s="3201">
        <v>42064</v>
      </c>
      <c r="D7" s="3201">
        <v>2.2999999999999998</v>
      </c>
      <c r="E7" s="3201">
        <v>96747</v>
      </c>
      <c r="F7" s="3201" t="e">
        <f>结果表汇总!#REF!</f>
        <v>#REF!</v>
      </c>
      <c r="G7" s="3201" t="e">
        <f>ROUND(F7*E7/C7,0)</f>
        <v>#REF!</v>
      </c>
      <c r="H7" s="3201" t="e">
        <f>结果表汇总!#REF!</f>
        <v>#REF!</v>
      </c>
      <c r="I7" s="3201" t="e">
        <f>ROUND(H7*D7,0)</f>
        <v>#REF!</v>
      </c>
      <c r="J7" s="3201" t="e">
        <f>结果表汇总!#REF!</f>
        <v>#REF!</v>
      </c>
      <c r="K7" s="3201" t="e">
        <f>ROUND(J7*D7,0)</f>
        <v>#REF!</v>
      </c>
      <c r="L7" s="3201"/>
      <c r="M7" s="3201"/>
      <c r="N7" s="3201" t="e">
        <f>ROUND(G7*0.25,1)</f>
        <v>#REF!</v>
      </c>
      <c r="O7" s="3201" t="e">
        <f>ROUND((C7/$C$16*$C$18)*G7/10000,2)</f>
        <v>#REF!</v>
      </c>
      <c r="P7" s="3201" t="e">
        <f>ROUND(O7*10000/C7,0)</f>
        <v>#REF!</v>
      </c>
    </row>
    <row r="8" spans="1:16">
      <c r="A8" s="3201">
        <v>6077</v>
      </c>
      <c r="B8" s="3200" t="s">
        <v>3057</v>
      </c>
      <c r="C8" s="3201">
        <v>36139.5</v>
      </c>
      <c r="D8" s="3201">
        <v>2.2999999999999998</v>
      </c>
      <c r="E8" s="3201">
        <v>83121</v>
      </c>
      <c r="F8" s="3201" t="e">
        <f>F7</f>
        <v>#REF!</v>
      </c>
      <c r="G8" s="3201" t="e">
        <f t="shared" ref="G8:G15" si="0">ROUND(F8*E8/C8,0)</f>
        <v>#REF!</v>
      </c>
      <c r="H8" s="3201" t="e">
        <f>H7</f>
        <v>#REF!</v>
      </c>
      <c r="I8" s="3201" t="e">
        <f t="shared" ref="I8:I15" si="1">ROUND(H8*D8,0)</f>
        <v>#REF!</v>
      </c>
      <c r="J8" s="3201" t="e">
        <f>J7</f>
        <v>#REF!</v>
      </c>
      <c r="K8" s="3201" t="e">
        <f t="shared" ref="K8:K15" si="2">ROUND(J8*D8,0)</f>
        <v>#REF!</v>
      </c>
      <c r="L8" s="3201"/>
      <c r="M8" s="3201"/>
      <c r="N8" s="3201" t="e">
        <f t="shared" ref="N8:N15" si="3">ROUND(G8*0.25,1)</f>
        <v>#REF!</v>
      </c>
      <c r="O8" s="3201" t="e">
        <f t="shared" ref="O8:O14" si="4">ROUND((C8/$C$16*$C$18)*G8/10000,2)</f>
        <v>#REF!</v>
      </c>
      <c r="P8" s="3201" t="e">
        <f t="shared" ref="P8:P18" si="5">ROUND(O8*10000/C8,0)</f>
        <v>#REF!</v>
      </c>
    </row>
    <row r="9" spans="1:16">
      <c r="A9" s="3201">
        <v>6078</v>
      </c>
      <c r="B9" s="3200" t="s">
        <v>3057</v>
      </c>
      <c r="C9" s="3201">
        <v>26471.29</v>
      </c>
      <c r="D9" s="3201">
        <v>2.2999999999999998</v>
      </c>
      <c r="E9" s="3201">
        <v>60884</v>
      </c>
      <c r="F9" s="3201" t="e">
        <f>F8</f>
        <v>#REF!</v>
      </c>
      <c r="G9" s="3201" t="e">
        <f t="shared" si="0"/>
        <v>#REF!</v>
      </c>
      <c r="H9" s="3201" t="e">
        <f>H8</f>
        <v>#REF!</v>
      </c>
      <c r="I9" s="3201" t="e">
        <f t="shared" si="1"/>
        <v>#REF!</v>
      </c>
      <c r="J9" s="3201" t="e">
        <f>J8</f>
        <v>#REF!</v>
      </c>
      <c r="K9" s="3201" t="e">
        <f t="shared" si="2"/>
        <v>#REF!</v>
      </c>
      <c r="L9" s="3201"/>
      <c r="M9" s="3201"/>
      <c r="N9" s="3201" t="e">
        <f t="shared" si="3"/>
        <v>#REF!</v>
      </c>
      <c r="O9" s="3201" t="e">
        <f t="shared" si="4"/>
        <v>#REF!</v>
      </c>
      <c r="P9" s="3201" t="e">
        <f t="shared" si="5"/>
        <v>#REF!</v>
      </c>
    </row>
    <row r="10" spans="1:16">
      <c r="A10" s="3201">
        <v>6080</v>
      </c>
      <c r="B10" s="3200" t="s">
        <v>3058</v>
      </c>
      <c r="C10" s="3201"/>
      <c r="D10" s="3201"/>
      <c r="E10" s="3201"/>
      <c r="F10" s="3201"/>
      <c r="G10" s="3201" t="e">
        <f t="shared" si="0"/>
        <v>#DIV/0!</v>
      </c>
      <c r="H10" s="3201"/>
      <c r="I10" s="3201"/>
      <c r="J10" s="3201"/>
      <c r="K10" s="3201"/>
      <c r="L10" s="3201"/>
      <c r="M10" s="3201"/>
      <c r="N10" s="3201" t="e">
        <f t="shared" si="3"/>
        <v>#DIV/0!</v>
      </c>
      <c r="O10" s="3201"/>
      <c r="P10" s="3201"/>
    </row>
    <row r="11" spans="1:16">
      <c r="A11" s="3202">
        <v>6081</v>
      </c>
      <c r="B11" s="3203" t="s">
        <v>3059</v>
      </c>
      <c r="C11" s="3201">
        <v>9183.9</v>
      </c>
      <c r="D11" s="3201">
        <v>2.8</v>
      </c>
      <c r="E11" s="3201">
        <v>25715</v>
      </c>
      <c r="F11" s="3201">
        <f>结果表汇总!O6</f>
        <v>5546</v>
      </c>
      <c r="G11" s="3201">
        <f t="shared" si="0"/>
        <v>15529</v>
      </c>
      <c r="H11" s="3201">
        <f>结果表汇总!H6</f>
        <v>4636</v>
      </c>
      <c r="I11" s="3201">
        <f t="shared" si="1"/>
        <v>12981</v>
      </c>
      <c r="J11" s="3201">
        <f>结果表汇总!J6</f>
        <v>6659</v>
      </c>
      <c r="K11" s="3201">
        <f t="shared" si="2"/>
        <v>18645</v>
      </c>
      <c r="L11" s="3201">
        <f>结果表汇总!M6</f>
        <v>4129</v>
      </c>
      <c r="M11" s="3201">
        <f>ROUND(L11*D11,0)</f>
        <v>11561</v>
      </c>
      <c r="N11" s="3201">
        <f t="shared" si="3"/>
        <v>3882.3</v>
      </c>
      <c r="O11" s="3201">
        <f t="shared" si="4"/>
        <v>14457.03</v>
      </c>
      <c r="P11" s="3201">
        <f t="shared" si="5"/>
        <v>15742</v>
      </c>
    </row>
    <row r="12" spans="1:16">
      <c r="A12" s="3201">
        <v>6083</v>
      </c>
      <c r="B12" s="3200" t="s">
        <v>3060</v>
      </c>
      <c r="C12" s="3201"/>
      <c r="D12" s="3201"/>
      <c r="E12" s="3201"/>
      <c r="F12" s="3201"/>
      <c r="G12" s="3201" t="e">
        <f t="shared" si="0"/>
        <v>#DIV/0!</v>
      </c>
      <c r="H12" s="3201"/>
      <c r="I12" s="3201"/>
      <c r="J12" s="3201"/>
      <c r="K12" s="3201"/>
      <c r="L12" s="3201"/>
      <c r="M12" s="3201">
        <f t="shared" ref="M12:M15" si="6">ROUND(L12*D12,0)</f>
        <v>0</v>
      </c>
      <c r="N12" s="3201" t="e">
        <f t="shared" si="3"/>
        <v>#DIV/0!</v>
      </c>
      <c r="O12" s="3201"/>
      <c r="P12" s="3201"/>
    </row>
    <row r="13" spans="1:16">
      <c r="A13" s="3201">
        <v>6084</v>
      </c>
      <c r="B13" s="3200" t="s">
        <v>3057</v>
      </c>
      <c r="C13" s="3201">
        <v>23364.85</v>
      </c>
      <c r="D13" s="3201">
        <v>2.2000000000000002</v>
      </c>
      <c r="E13" s="3201">
        <v>51403</v>
      </c>
      <c r="F13" s="3201" t="e">
        <f>F9</f>
        <v>#REF!</v>
      </c>
      <c r="G13" s="3201" t="e">
        <f t="shared" si="0"/>
        <v>#REF!</v>
      </c>
      <c r="H13" s="3201" t="e">
        <f>H9</f>
        <v>#REF!</v>
      </c>
      <c r="I13" s="3201" t="e">
        <f t="shared" si="1"/>
        <v>#REF!</v>
      </c>
      <c r="J13" s="3201" t="e">
        <f>J9</f>
        <v>#REF!</v>
      </c>
      <c r="K13" s="3201" t="e">
        <f t="shared" si="2"/>
        <v>#REF!</v>
      </c>
      <c r="L13" s="3201"/>
      <c r="M13" s="3201">
        <f t="shared" si="6"/>
        <v>0</v>
      </c>
      <c r="N13" s="3201" t="e">
        <f t="shared" si="3"/>
        <v>#REF!</v>
      </c>
      <c r="O13" s="3201" t="e">
        <f t="shared" si="4"/>
        <v>#REF!</v>
      </c>
      <c r="P13" s="3201" t="e">
        <f t="shared" si="5"/>
        <v>#REF!</v>
      </c>
    </row>
    <row r="14" spans="1:16">
      <c r="A14" s="3202">
        <v>6085</v>
      </c>
      <c r="B14" s="3203" t="s">
        <v>3061</v>
      </c>
      <c r="C14" s="3201">
        <v>19389.439999999999</v>
      </c>
      <c r="D14" s="3201">
        <v>2.2000000000000002</v>
      </c>
      <c r="E14" s="3201">
        <v>42657</v>
      </c>
      <c r="F14" s="3201">
        <f ca="1">结果表汇总!O5</f>
        <v>11530</v>
      </c>
      <c r="G14" s="3201">
        <f t="shared" ca="1" si="0"/>
        <v>25366</v>
      </c>
      <c r="H14" s="3201">
        <f ca="1">结果表汇总!H5</f>
        <v>5504</v>
      </c>
      <c r="I14" s="3201">
        <f t="shared" ca="1" si="1"/>
        <v>12109</v>
      </c>
      <c r="J14" s="3201">
        <f ca="1">结果表汇总!J5</f>
        <v>15548</v>
      </c>
      <c r="K14" s="3201">
        <f t="shared" ca="1" si="2"/>
        <v>34206</v>
      </c>
      <c r="L14" s="3201"/>
      <c r="M14" s="3201">
        <f t="shared" si="6"/>
        <v>0</v>
      </c>
      <c r="N14" s="3201">
        <f t="shared" ca="1" si="3"/>
        <v>6341.5</v>
      </c>
      <c r="O14" s="3201">
        <f t="shared" ca="1" si="4"/>
        <v>49856.95</v>
      </c>
      <c r="P14" s="3201">
        <f t="shared" ca="1" si="5"/>
        <v>25713</v>
      </c>
    </row>
    <row r="15" spans="1:16">
      <c r="A15" s="3202">
        <v>6086</v>
      </c>
      <c r="B15" s="3203" t="s">
        <v>3062</v>
      </c>
      <c r="C15" s="3201">
        <v>14364.09</v>
      </c>
      <c r="D15" s="3201">
        <v>3</v>
      </c>
      <c r="E15" s="3201">
        <v>43092</v>
      </c>
      <c r="F15" s="3201">
        <f>结果表汇总!O6</f>
        <v>5546</v>
      </c>
      <c r="G15" s="3201">
        <f t="shared" si="0"/>
        <v>16638</v>
      </c>
      <c r="H15" s="3201">
        <f>H11</f>
        <v>4636</v>
      </c>
      <c r="I15" s="3201">
        <f t="shared" si="1"/>
        <v>13908</v>
      </c>
      <c r="J15" s="3201">
        <f>J11</f>
        <v>6659</v>
      </c>
      <c r="K15" s="3201">
        <f t="shared" si="2"/>
        <v>19977</v>
      </c>
      <c r="L15" s="3201">
        <f>L11</f>
        <v>4129</v>
      </c>
      <c r="M15" s="3201">
        <f t="shared" si="6"/>
        <v>12387</v>
      </c>
      <c r="N15" s="3201">
        <f t="shared" si="3"/>
        <v>4159.5</v>
      </c>
      <c r="O15" s="3201">
        <f>ROUND((C15/$C$16*$C$18)*G15/10000,2)+3.42</f>
        <v>24229.75</v>
      </c>
      <c r="P15" s="3201">
        <f t="shared" si="5"/>
        <v>16868</v>
      </c>
    </row>
    <row r="16" spans="1:16" ht="22.5" hidden="1" customHeight="1">
      <c r="A16" s="3201"/>
      <c r="B16" s="3201"/>
      <c r="C16" s="3200">
        <f>C7+C8+C9+C11+C13+C14+C15</f>
        <v>170977.07</v>
      </c>
      <c r="D16" s="3201">
        <f>E16/C16</f>
        <v>2.3606615787719369</v>
      </c>
      <c r="E16" s="3200">
        <f>E7+E8+E9+E11+E13+E14+E15</f>
        <v>403619</v>
      </c>
      <c r="O16" s="3197" t="e">
        <f>SUM(O7:O15)</f>
        <v>#REF!</v>
      </c>
      <c r="P16" s="3197" t="e">
        <f t="shared" si="5"/>
        <v>#REF!</v>
      </c>
    </row>
    <row r="17" spans="3:16" hidden="1">
      <c r="C17" s="3197">
        <v>2342</v>
      </c>
      <c r="O17" s="3197">
        <v>336001.95</v>
      </c>
      <c r="P17" s="3197">
        <f t="shared" si="5"/>
        <v>1434680</v>
      </c>
    </row>
    <row r="18" spans="3:16" hidden="1">
      <c r="C18" s="3197">
        <f>C17+C16</f>
        <v>173319.07</v>
      </c>
      <c r="O18" s="3197" t="e">
        <f>O17-O16</f>
        <v>#REF!</v>
      </c>
      <c r="P18" s="3197" t="e">
        <f t="shared" si="5"/>
        <v>#REF!</v>
      </c>
    </row>
    <row r="19" spans="3:16" hidden="1">
      <c r="O19" s="3197" t="e">
        <f>SUM(O7:O15)</f>
        <v>#REF!</v>
      </c>
    </row>
  </sheetData>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193" customWidth="1"/>
    <col min="2" max="3" width="17.75" style="3193" customWidth="1"/>
    <col min="4" max="4" width="17.75" style="2" customWidth="1"/>
    <col min="5" max="5" width="11.625" style="2" customWidth="1"/>
    <col min="6" max="16384" width="9" style="2"/>
  </cols>
  <sheetData>
    <row r="1" spans="1:5" ht="30.75" customHeight="1">
      <c r="A1" s="3619" t="s">
        <v>3006</v>
      </c>
      <c r="B1" s="3619"/>
      <c r="C1" s="3619"/>
      <c r="D1" s="3619"/>
    </row>
    <row r="2" spans="1:5" ht="33.75" customHeight="1">
      <c r="A2" s="3183"/>
      <c r="B2" s="3183" t="s">
        <v>3007</v>
      </c>
      <c r="C2" s="3183" t="s">
        <v>3008</v>
      </c>
      <c r="D2" s="3183" t="s">
        <v>3009</v>
      </c>
      <c r="E2" s="3184" t="s">
        <v>3010</v>
      </c>
    </row>
    <row r="3" spans="1:5" ht="26.25" customHeight="1">
      <c r="A3" s="3183" t="s">
        <v>3011</v>
      </c>
      <c r="B3" s="3183">
        <v>3000</v>
      </c>
      <c r="C3" s="3183">
        <v>70000</v>
      </c>
      <c r="D3" s="3183">
        <f>ROUND(B3*C3/10000,2)</f>
        <v>21000</v>
      </c>
    </row>
    <row r="4" spans="1:5" ht="26.25" customHeight="1">
      <c r="A4" s="3183" t="s">
        <v>3012</v>
      </c>
      <c r="B4" s="3183">
        <v>3500</v>
      </c>
      <c r="C4" s="3183">
        <v>30000</v>
      </c>
      <c r="D4" s="3183">
        <f t="shared" ref="D4:D5" si="0">ROUND(B4*C4/10000,2)</f>
        <v>10500</v>
      </c>
    </row>
    <row r="5" spans="1:5" ht="26.25" customHeight="1">
      <c r="A5" s="3183" t="s">
        <v>3013</v>
      </c>
      <c r="B5" s="3183">
        <v>3400</v>
      </c>
      <c r="C5" s="3183" t="s">
        <v>3014</v>
      </c>
      <c r="D5" s="3183" t="e">
        <f t="shared" si="0"/>
        <v>#VALUE!</v>
      </c>
    </row>
    <row r="6" spans="1:5" s="3186" customFormat="1" ht="26.25" customHeight="1">
      <c r="A6" s="3185" t="s">
        <v>3015</v>
      </c>
      <c r="B6" s="3185" t="s">
        <v>3016</v>
      </c>
      <c r="C6" s="3185" t="s">
        <v>3016</v>
      </c>
      <c r="D6" s="3185" t="s">
        <v>3016</v>
      </c>
    </row>
    <row r="7" spans="1:5" ht="26.25" customHeight="1">
      <c r="A7" s="3183" t="s">
        <v>3017</v>
      </c>
      <c r="B7" s="3183"/>
      <c r="C7" s="3183"/>
      <c r="D7" s="3183" t="e">
        <f>SUM(D3:D5)</f>
        <v>#VALUE!</v>
      </c>
    </row>
    <row r="8" spans="1:5" ht="26.25" customHeight="1">
      <c r="A8" s="3187"/>
      <c r="B8" s="3187"/>
      <c r="C8" s="3187"/>
      <c r="D8" s="3188"/>
    </row>
    <row r="9" spans="1:5" ht="33.75" customHeight="1">
      <c r="A9" s="3183"/>
      <c r="B9" s="3183" t="s">
        <v>3007</v>
      </c>
      <c r="C9" s="3183" t="s">
        <v>3008</v>
      </c>
      <c r="D9" s="3183" t="s">
        <v>3009</v>
      </c>
    </row>
    <row r="10" spans="1:5" ht="26.25" customHeight="1">
      <c r="A10" s="3183" t="s">
        <v>3018</v>
      </c>
      <c r="B10" s="3183">
        <f>ROUND(B3/4,0)</f>
        <v>750</v>
      </c>
      <c r="C10" s="3183">
        <f>C3</f>
        <v>70000</v>
      </c>
      <c r="D10" s="3183">
        <f t="shared" ref="D10:D12" si="1">ROUND(B10*C10/10000,2)</f>
        <v>5250</v>
      </c>
    </row>
    <row r="11" spans="1:5" ht="26.25" customHeight="1">
      <c r="A11" s="3183" t="s">
        <v>3019</v>
      </c>
      <c r="B11" s="3183">
        <f t="shared" ref="B11:B12" si="2">ROUND(B4/4,0)</f>
        <v>875</v>
      </c>
      <c r="C11" s="3183">
        <f>C4</f>
        <v>30000</v>
      </c>
      <c r="D11" s="3183">
        <f t="shared" si="1"/>
        <v>2625</v>
      </c>
    </row>
    <row r="12" spans="1:5" ht="26.25" customHeight="1">
      <c r="A12" s="3183" t="s">
        <v>3020</v>
      </c>
      <c r="B12" s="3183">
        <f t="shared" si="2"/>
        <v>850</v>
      </c>
      <c r="C12" s="3183" t="str">
        <f>C5</f>
        <v>-</v>
      </c>
      <c r="D12" s="3183" t="e">
        <f t="shared" si="1"/>
        <v>#VALUE!</v>
      </c>
    </row>
    <row r="13" spans="1:5" s="3186" customFormat="1" ht="26.25" customHeight="1">
      <c r="A13" s="3185" t="s">
        <v>3021</v>
      </c>
      <c r="B13" s="3185" t="s">
        <v>3016</v>
      </c>
      <c r="C13" s="3185" t="s">
        <v>3016</v>
      </c>
      <c r="D13" s="3185" t="s">
        <v>3016</v>
      </c>
    </row>
    <row r="14" spans="1:5" ht="26.25" customHeight="1">
      <c r="A14" s="3183" t="s">
        <v>3022</v>
      </c>
      <c r="B14" s="3183"/>
      <c r="C14" s="3183"/>
      <c r="D14" s="3183" t="e">
        <f>SUM(D10:D12)</f>
        <v>#VALUE!</v>
      </c>
    </row>
    <row r="15" spans="1:5" ht="38.25" customHeight="1">
      <c r="A15" s="3620" t="s">
        <v>3023</v>
      </c>
      <c r="B15" s="3621"/>
      <c r="C15" s="3621"/>
      <c r="D15" s="3621"/>
    </row>
    <row r="16" spans="1:5" ht="38.25" customHeight="1">
      <c r="A16" s="3622" t="s">
        <v>3024</v>
      </c>
      <c r="B16" s="3623"/>
      <c r="C16" s="3623"/>
      <c r="D16" s="3623"/>
    </row>
    <row r="17" spans="1:4" ht="14.25">
      <c r="A17" s="3189"/>
      <c r="B17" s="3190"/>
      <c r="C17" s="3190"/>
      <c r="D17" s="3190"/>
    </row>
    <row r="18" spans="1:4">
      <c r="A18" s="3624" t="s">
        <v>3025</v>
      </c>
      <c r="B18" s="3624"/>
      <c r="C18" s="3624"/>
      <c r="D18" s="3624"/>
    </row>
    <row r="19" spans="1:4" ht="13.5">
      <c r="A19" s="3625" t="s">
        <v>3026</v>
      </c>
      <c r="B19" s="3625"/>
      <c r="C19" s="3625"/>
      <c r="D19" s="3625"/>
    </row>
    <row r="20" spans="1:4" ht="13.5">
      <c r="A20" s="3625"/>
      <c r="B20" s="3625"/>
      <c r="C20" s="3625"/>
      <c r="D20" s="3625"/>
    </row>
    <row r="21" spans="1:4" ht="13.5">
      <c r="A21" s="3625"/>
      <c r="B21" s="3625"/>
      <c r="C21" s="3625"/>
      <c r="D21" s="3625"/>
    </row>
    <row r="22" spans="1:4" ht="13.5">
      <c r="A22" s="3625"/>
      <c r="B22" s="3625"/>
      <c r="C22" s="3625"/>
      <c r="D22" s="3625"/>
    </row>
    <row r="23" spans="1:4" ht="13.5">
      <c r="A23" s="3625"/>
      <c r="B23" s="3625"/>
      <c r="C23" s="3625"/>
      <c r="D23" s="3625"/>
    </row>
    <row r="24" spans="1:4" ht="13.5">
      <c r="A24" s="3625"/>
      <c r="B24" s="3625"/>
      <c r="C24" s="3625"/>
      <c r="D24" s="3625"/>
    </row>
    <row r="25" spans="1:4" ht="13.5">
      <c r="A25" s="3625"/>
      <c r="B25" s="3625"/>
      <c r="C25" s="3625"/>
      <c r="D25" s="3625"/>
    </row>
    <row r="26" spans="1:4">
      <c r="A26" s="3191"/>
      <c r="B26" s="3191"/>
      <c r="C26" s="3191"/>
      <c r="D26" s="3192"/>
    </row>
    <row r="27" spans="1:4">
      <c r="A27" s="3191"/>
      <c r="B27" s="3191"/>
      <c r="C27" s="3191"/>
      <c r="D27" s="319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6" t="s">
        <v>2034</v>
      </c>
      <c r="B1" s="3316"/>
      <c r="C1" s="3316"/>
      <c r="D1" s="3316"/>
      <c r="E1" s="3316"/>
      <c r="F1" s="3316"/>
      <c r="G1" s="3316"/>
      <c r="H1" s="3316"/>
      <c r="I1" s="3316"/>
      <c r="J1" s="3316"/>
      <c r="K1" s="3316"/>
      <c r="L1" s="3316"/>
      <c r="M1" s="3316"/>
      <c r="N1" s="3316"/>
      <c r="O1" s="3316"/>
      <c r="P1" s="3316"/>
      <c r="Q1" s="3316"/>
      <c r="R1" s="3316"/>
    </row>
    <row r="2" spans="1:18">
      <c r="A2" s="1809" t="s">
        <v>2036</v>
      </c>
      <c r="B2" s="1809"/>
      <c r="C2" s="1809"/>
      <c r="D2" s="1809"/>
      <c r="E2" s="1809"/>
      <c r="F2" s="1809"/>
      <c r="G2" s="1809"/>
      <c r="H2" s="1809"/>
      <c r="I2" s="1810"/>
      <c r="J2" s="1810"/>
      <c r="K2" s="1811" t="str">
        <f>"估价期日："&amp;TEXT(项目基本情况!D3,"yyyy年m月d日;;")</f>
        <v>估价期日：2019年9月3日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317" t="s">
        <v>2025</v>
      </c>
      <c r="B3" s="3317" t="s">
        <v>2727</v>
      </c>
      <c r="C3" s="3318" t="s">
        <v>2026</v>
      </c>
      <c r="D3" s="3317" t="s">
        <v>2731</v>
      </c>
      <c r="E3" s="3320" t="s">
        <v>2027</v>
      </c>
      <c r="F3" s="3320"/>
      <c r="G3" s="3320"/>
      <c r="H3" s="3320" t="s">
        <v>2028</v>
      </c>
      <c r="I3" s="3320"/>
      <c r="J3" s="3320"/>
      <c r="K3" s="3318" t="s">
        <v>2029</v>
      </c>
      <c r="L3" s="3318" t="s">
        <v>2030</v>
      </c>
      <c r="M3" s="3317" t="s">
        <v>2728</v>
      </c>
      <c r="N3" s="3319" t="str">
        <f>"（分摊）"&amp;项目基本情况!B16&amp;"国有建设用地使用权面积/㎡"</f>
        <v>（分摊）出让国有建设用地使用权面积/㎡</v>
      </c>
      <c r="O3" s="3317" t="s">
        <v>2059</v>
      </c>
      <c r="P3" s="3318" t="s">
        <v>2039</v>
      </c>
      <c r="Q3" s="3318" t="s">
        <v>2060</v>
      </c>
      <c r="R3" s="3318" t="s">
        <v>2031</v>
      </c>
    </row>
    <row r="4" spans="1:18" ht="36.75" customHeight="1">
      <c r="A4" s="3317"/>
      <c r="B4" s="3317"/>
      <c r="C4" s="3318"/>
      <c r="D4" s="3317"/>
      <c r="E4" s="2651" t="s">
        <v>2038</v>
      </c>
      <c r="F4" s="2651" t="s">
        <v>2740</v>
      </c>
      <c r="G4" s="2651" t="s">
        <v>2032</v>
      </c>
      <c r="H4" s="2651" t="s">
        <v>2033</v>
      </c>
      <c r="I4" s="2651" t="s">
        <v>2741</v>
      </c>
      <c r="J4" s="2651" t="s">
        <v>2032</v>
      </c>
      <c r="K4" s="3318"/>
      <c r="L4" s="3318"/>
      <c r="M4" s="3317"/>
      <c r="N4" s="3319"/>
      <c r="O4" s="3317"/>
      <c r="P4" s="3318"/>
      <c r="Q4" s="3318"/>
      <c r="R4" s="3318"/>
    </row>
    <row r="5" spans="1:18" ht="135" customHeight="1">
      <c r="A5" s="1945" t="s">
        <v>2651</v>
      </c>
      <c r="B5" s="2867"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145654.57999999999</v>
      </c>
      <c r="O5" s="1812">
        <f>项目基本情况!C21</f>
        <v>334812</v>
      </c>
      <c r="P5" s="1812">
        <f ca="1">结果表!E42</f>
        <v>28814</v>
      </c>
      <c r="Q5" s="1812">
        <f ca="1">结果表!D42</f>
        <v>12535</v>
      </c>
      <c r="R5" s="1813">
        <f ca="1">结果表!C42</f>
        <v>419686</v>
      </c>
    </row>
    <row r="6" spans="1:18">
      <c r="A6" s="3313" t="str">
        <f>IF(项目基本情况!B9="市场价格","——","抵押价格")</f>
        <v>——</v>
      </c>
      <c r="B6" s="3314"/>
      <c r="C6" s="3314"/>
      <c r="D6" s="3314"/>
      <c r="E6" s="3314"/>
      <c r="F6" s="3314"/>
      <c r="G6" s="3314"/>
      <c r="H6" s="3314"/>
      <c r="I6" s="3314"/>
      <c r="J6" s="3314"/>
      <c r="K6" s="3314"/>
      <c r="L6" s="3314"/>
      <c r="M6" s="3314"/>
      <c r="N6" s="3314"/>
      <c r="O6" s="3314"/>
      <c r="P6" s="3314"/>
      <c r="Q6" s="3315"/>
      <c r="R6" s="1814" t="str">
        <f>结果表!O39</f>
        <v>——</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814" t="str">
        <f>结果表!O40</f>
        <v>——</v>
      </c>
    </row>
    <row r="8" spans="1:18">
      <c r="A8" s="3313" t="str">
        <f>IF(项目基本情况!B9="市场价格","——",项目基本情况!E9)</f>
        <v>——</v>
      </c>
      <c r="B8" s="3314"/>
      <c r="C8" s="3314"/>
      <c r="D8" s="3314"/>
      <c r="E8" s="3314"/>
      <c r="F8" s="3314"/>
      <c r="G8" s="3314"/>
      <c r="H8" s="3314"/>
      <c r="I8" s="3314"/>
      <c r="J8" s="3314"/>
      <c r="K8" s="3314"/>
      <c r="L8" s="3314"/>
      <c r="M8" s="3314"/>
      <c r="N8" s="3314"/>
      <c r="O8" s="3314"/>
      <c r="P8" s="3314"/>
      <c r="Q8" s="3315"/>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322" t="s">
        <v>2061</v>
      </c>
      <c r="B1" s="3322"/>
      <c r="C1" s="3322"/>
      <c r="D1" s="3322"/>
    </row>
    <row r="2" spans="1:4" ht="47.25" customHeight="1">
      <c r="A2" s="3323" t="str">
        <f>"1.权利限制："&amp;项目基本情况!L24&amp;"未设定租赁等其他他项权利。"</f>
        <v>1.权利限制：根据估价对象《不动产权证书》原件、《国有土地使用权》复印件，截至估价期日，估价对象抵押权未见登记。未设定租赁等其他他项权利。</v>
      </c>
      <c r="B2" s="3323"/>
      <c r="C2" s="3323"/>
      <c r="D2" s="3323"/>
    </row>
    <row r="3" spans="1:4" ht="48" customHeight="1">
      <c r="A3" s="33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1" t="s">
        <v>2062</v>
      </c>
      <c r="B5" s="3321"/>
      <c r="C5" s="3321"/>
      <c r="D5" s="3321"/>
    </row>
    <row r="6" spans="1:4">
      <c r="A6" s="3322" t="s">
        <v>2040</v>
      </c>
      <c r="B6" s="3322"/>
      <c r="C6" s="3322"/>
      <c r="D6" s="3322"/>
    </row>
    <row r="7" spans="1:4" ht="33" customHeight="1">
      <c r="A7" s="3322" t="s">
        <v>2571</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2"/>
      <c r="C8" s="3322"/>
      <c r="D8" s="3322"/>
    </row>
    <row r="9" spans="1:4" ht="33.75" customHeight="1">
      <c r="A9" s="3322" t="str">
        <f>IF(项目基本情况!B8="抵押","3.抵押双方在办理抵押登记手续时，应使用本公司出具的正式《土地估价报告》，特提请报告使用者注意。","——")</f>
        <v>——</v>
      </c>
      <c r="B9" s="3322"/>
      <c r="C9" s="3322"/>
      <c r="D9" s="3322"/>
    </row>
    <row r="10" spans="1:4">
      <c r="A10" s="3322" t="str">
        <f>IF(项目基本情况!B8="抵押","4.估价师所知悉的法定优先受偿款情况为：","——")</f>
        <v>——</v>
      </c>
      <c r="B10" s="3322"/>
      <c r="C10" s="3322"/>
      <c r="D10" s="3322"/>
    </row>
    <row r="11" spans="1:4" ht="37.5" customHeight="1">
      <c r="A11" s="3324" t="str">
        <f>IF(项目基本情况!B8="抵押","（1）"&amp;CONCATENATE(项目基本情况!L24,项目基本情况!L25,项目基本情况!L26),"——")</f>
        <v>——</v>
      </c>
      <c r="B11" s="3324"/>
      <c r="C11" s="3324"/>
      <c r="D11" s="3324"/>
    </row>
    <row r="12" spans="1:4" ht="168" customHeight="1">
      <c r="A12" s="3321" t="s">
        <v>2064</v>
      </c>
      <c r="B12" s="3321"/>
      <c r="C12" s="3321"/>
      <c r="D12" s="3321"/>
    </row>
    <row r="13" spans="1:4">
      <c r="A13" s="3325" t="s">
        <v>2742</v>
      </c>
      <c r="B13" s="3325"/>
      <c r="C13" s="3325"/>
      <c r="D13" s="3325"/>
    </row>
    <row r="14" spans="1:4">
      <c r="A14" s="3324" t="str">
        <f>IF(项目基本情况!B8="抵押","综上，"&amp;结果表!K47,"——")</f>
        <v>——</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2698</v>
      </c>
      <c r="B17" s="3322"/>
      <c r="C17" s="3322"/>
      <c r="D17" s="3322"/>
    </row>
    <row r="18" spans="1:4">
      <c r="A18" s="3322" t="s">
        <v>2690</v>
      </c>
      <c r="B18" s="3322"/>
      <c r="C18" s="3322"/>
      <c r="D18" s="3322"/>
    </row>
    <row r="19" spans="1:4">
      <c r="A19" s="2868" t="s">
        <v>2691</v>
      </c>
      <c r="B19" s="2868" t="s">
        <v>2692</v>
      </c>
      <c r="C19" s="2868" t="s">
        <v>2693</v>
      </c>
      <c r="D19" s="2868" t="s">
        <v>2694</v>
      </c>
    </row>
    <row r="20" spans="1:4">
      <c r="A20" s="2868" t="str">
        <f>项目基本情况!B4</f>
        <v>陈颖</v>
      </c>
      <c r="B20" s="2868">
        <f ca="1">项目基本情况!C4</f>
        <v>2004110096</v>
      </c>
      <c r="C20" s="2870"/>
      <c r="D20" s="1802" t="s">
        <v>2699</v>
      </c>
    </row>
    <row r="21" spans="1:4">
      <c r="A21" s="2868" t="str">
        <f>项目基本情况!D4</f>
        <v>叶凌</v>
      </c>
      <c r="B21" s="2868">
        <f ca="1">项目基本情况!E4</f>
        <v>94010078</v>
      </c>
      <c r="C21" s="2870"/>
      <c r="D21" s="1802" t="s">
        <v>2700</v>
      </c>
    </row>
    <row r="23" spans="1:4">
      <c r="A23" s="3322" t="s">
        <v>2695</v>
      </c>
      <c r="B23" s="3322"/>
      <c r="C23" s="3322"/>
      <c r="D23" s="3322"/>
    </row>
    <row r="24" spans="1:4">
      <c r="A24" s="2868" t="s">
        <v>2691</v>
      </c>
      <c r="B24" s="2868" t="s">
        <v>2696</v>
      </c>
      <c r="C24" s="2868" t="s">
        <v>2693</v>
      </c>
      <c r="D24" s="2868" t="s">
        <v>2694</v>
      </c>
    </row>
    <row r="25" spans="1:4">
      <c r="A25" s="2871" t="s">
        <v>2697</v>
      </c>
      <c r="B25" s="2868" t="s">
        <v>949</v>
      </c>
      <c r="C25" s="2870"/>
      <c r="D25" s="1802" t="s">
        <v>2700</v>
      </c>
    </row>
    <row r="29" spans="1:4">
      <c r="D29" s="2869" t="s">
        <v>2035</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333" t="s">
        <v>53</v>
      </c>
      <c r="B15" s="3334" t="s">
        <v>843</v>
      </c>
      <c r="C15" s="3330"/>
    </row>
    <row r="16" spans="1:7" ht="14.25">
      <c r="A16" s="3333"/>
      <c r="B16" s="3331" t="s">
        <v>54</v>
      </c>
      <c r="C16" s="1172" t="s">
        <v>53</v>
      </c>
    </row>
    <row r="17" spans="1:3" ht="14.25">
      <c r="A17" s="3333"/>
      <c r="B17" s="3331"/>
      <c r="C17" s="1172" t="s">
        <v>55</v>
      </c>
    </row>
    <row r="18" spans="1:3" ht="14.25">
      <c r="A18" s="3333"/>
      <c r="B18" s="3331"/>
      <c r="C18" s="1172" t="s">
        <v>56</v>
      </c>
    </row>
    <row r="19" spans="1:3" ht="14.25">
      <c r="A19" s="3333"/>
      <c r="B19" s="3329" t="s">
        <v>57</v>
      </c>
      <c r="C19" s="3330"/>
    </row>
    <row r="20" spans="1:3" ht="14.25">
      <c r="A20" s="1173" t="s">
        <v>58</v>
      </c>
      <c r="B20" s="1174"/>
      <c r="C20" s="1175"/>
    </row>
    <row r="21" spans="1:3" ht="14.25">
      <c r="A21" s="3332" t="s">
        <v>59</v>
      </c>
      <c r="B21" s="3329" t="s">
        <v>60</v>
      </c>
      <c r="C21" s="3330"/>
    </row>
    <row r="22" spans="1:3" ht="14.25">
      <c r="A22" s="3332"/>
      <c r="B22" s="3329" t="s">
        <v>61</v>
      </c>
      <c r="C22" s="3330"/>
    </row>
    <row r="23" spans="1:3" ht="14.25">
      <c r="A23" s="3332"/>
      <c r="B23" s="3329" t="s">
        <v>62</v>
      </c>
      <c r="C23" s="3330"/>
    </row>
    <row r="24" spans="1:3" ht="14.25">
      <c r="A24" s="3332"/>
      <c r="B24" s="3335" t="s">
        <v>63</v>
      </c>
      <c r="C24" s="1176" t="s">
        <v>834</v>
      </c>
    </row>
    <row r="25" spans="1:3" ht="14.25">
      <c r="A25" s="3332"/>
      <c r="B25" s="3336"/>
      <c r="C25" s="1176" t="s">
        <v>835</v>
      </c>
    </row>
    <row r="26" spans="1:3" ht="14.25">
      <c r="A26" s="3332"/>
      <c r="B26" s="3336"/>
      <c r="C26" s="1176" t="s">
        <v>836</v>
      </c>
    </row>
    <row r="27" spans="1:3" ht="14.25">
      <c r="A27" s="3332"/>
      <c r="B27" s="3336"/>
      <c r="C27" s="1176" t="s">
        <v>837</v>
      </c>
    </row>
    <row r="28" spans="1:3" ht="14.25">
      <c r="A28" s="3332"/>
      <c r="B28" s="3336"/>
      <c r="C28" s="1176" t="s">
        <v>838</v>
      </c>
    </row>
    <row r="29" spans="1:3" ht="14.25">
      <c r="A29" s="3332"/>
      <c r="B29" s="3336"/>
      <c r="C29" s="1176" t="s">
        <v>839</v>
      </c>
    </row>
    <row r="30" spans="1:3" ht="14.25">
      <c r="A30" s="3332"/>
      <c r="B30" s="3336"/>
      <c r="C30" s="1176" t="s">
        <v>840</v>
      </c>
    </row>
    <row r="31" spans="1:3" ht="14.25">
      <c r="A31" s="3332"/>
      <c r="B31" s="3336"/>
      <c r="C31" s="1176" t="s">
        <v>841</v>
      </c>
    </row>
    <row r="32" spans="1:3" ht="14.25">
      <c r="A32" s="3332"/>
      <c r="B32" s="3336"/>
      <c r="C32" s="1176" t="s">
        <v>1643</v>
      </c>
    </row>
    <row r="33" spans="1:3" ht="14.25">
      <c r="A33" s="3332"/>
      <c r="B33" s="3326" t="s">
        <v>1649</v>
      </c>
      <c r="C33" s="1176" t="s">
        <v>1644</v>
      </c>
    </row>
    <row r="34" spans="1:3" ht="14.25">
      <c r="A34" s="3332"/>
      <c r="B34" s="3327"/>
      <c r="C34" s="1181" t="s">
        <v>1645</v>
      </c>
    </row>
    <row r="35" spans="1:3" ht="14.25">
      <c r="A35" s="3332"/>
      <c r="B35" s="3327"/>
      <c r="C35" s="1182" t="s">
        <v>1646</v>
      </c>
    </row>
    <row r="36" spans="1:3" ht="14.25">
      <c r="A36" s="3332"/>
      <c r="B36" s="3327"/>
      <c r="C36" s="1182" t="s">
        <v>1647</v>
      </c>
    </row>
    <row r="37" spans="1:3" ht="14.25">
      <c r="A37" s="3332"/>
      <c r="B37" s="3328"/>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43727</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6">
        <v>43849</v>
      </c>
      <c r="D4" s="2345" t="s">
        <v>1908</v>
      </c>
      <c r="E4" s="2345">
        <f ca="1">IF(F4&lt;B2,"已过期",96010014)</f>
        <v>96010014</v>
      </c>
      <c r="F4" s="3007">
        <v>47118</v>
      </c>
    </row>
    <row r="5" spans="1:6" ht="20.25" customHeight="1">
      <c r="A5" s="2345" t="s">
        <v>1909</v>
      </c>
      <c r="B5" s="2345">
        <f ca="1">IF(C5&lt;B2,"已过期",1119970074)</f>
        <v>1119970074</v>
      </c>
      <c r="C5" s="3006">
        <v>43849</v>
      </c>
      <c r="D5" s="2345" t="s">
        <v>1909</v>
      </c>
      <c r="E5" s="2345">
        <f ca="1">IF(F5&lt;B2,"已过期",2002110027)</f>
        <v>2002110027</v>
      </c>
      <c r="F5" s="3007">
        <v>46752</v>
      </c>
    </row>
    <row r="6" spans="1:6" ht="20.25" customHeight="1">
      <c r="A6" s="2345" t="s">
        <v>1910</v>
      </c>
      <c r="B6" s="2345">
        <f ca="1">IF(C6&lt;B2,"已过期",1119970111)</f>
        <v>1119970111</v>
      </c>
      <c r="C6" s="3006">
        <v>43849</v>
      </c>
      <c r="D6" s="2345" t="s">
        <v>1910</v>
      </c>
      <c r="E6" s="2345">
        <f ca="1">IF(F6&lt;B2,"已过期",94010078)</f>
        <v>94010078</v>
      </c>
      <c r="F6" s="3007">
        <v>46387</v>
      </c>
    </row>
    <row r="7" spans="1:6" ht="20.25" customHeight="1">
      <c r="A7" s="2345" t="s">
        <v>1911</v>
      </c>
      <c r="B7" s="2345">
        <f ca="1">IF(C7&lt;B2,"已过期",1120050019)</f>
        <v>1120050019</v>
      </c>
      <c r="C7" s="3006">
        <v>44395</v>
      </c>
      <c r="D7" s="2345" t="s">
        <v>1911</v>
      </c>
      <c r="E7" s="2345">
        <f ca="1">IF(F7&lt;B2,"已过期",2002110030)</f>
        <v>2002110030</v>
      </c>
      <c r="F7" s="3007">
        <v>46387</v>
      </c>
    </row>
    <row r="8" spans="1:6" ht="20.25" customHeight="1">
      <c r="A8" s="2345" t="s">
        <v>1912</v>
      </c>
      <c r="B8" s="2345">
        <f ca="1">IF(C8&lt;B2,"已过期",1120000080)</f>
        <v>1120000080</v>
      </c>
      <c r="C8" s="3006">
        <v>43849</v>
      </c>
      <c r="D8" s="2345" t="s">
        <v>1912</v>
      </c>
      <c r="E8" s="2345">
        <f ca="1">IF(F8&lt;B2,"已过期",2000110082)</f>
        <v>2000110082</v>
      </c>
      <c r="F8" s="3007">
        <v>46387</v>
      </c>
    </row>
    <row r="9" spans="1:6" ht="20.25" customHeight="1">
      <c r="A9" s="2345" t="s">
        <v>1913</v>
      </c>
      <c r="B9" s="2345">
        <f ca="1">IF(C9&lt;B2,"已过期",1419970001)</f>
        <v>1419970001</v>
      </c>
      <c r="C9" s="3006">
        <v>43867</v>
      </c>
      <c r="D9" s="2345" t="s">
        <v>1913</v>
      </c>
      <c r="E9" s="2345">
        <f ca="1">IF(F9&lt;B2,"已过期",2002110125)</f>
        <v>2002110125</v>
      </c>
      <c r="F9" s="3007">
        <v>47118</v>
      </c>
    </row>
    <row r="10" spans="1:6" ht="20.25" customHeight="1">
      <c r="A10" s="2345" t="s">
        <v>1914</v>
      </c>
      <c r="B10" s="2345" t="str">
        <f ca="1">IF(C10&lt;B2,"已过期",1120060040)</f>
        <v>已过期</v>
      </c>
      <c r="C10" s="3006">
        <v>43483</v>
      </c>
      <c r="D10" s="2345" t="s">
        <v>1914</v>
      </c>
      <c r="E10" s="2345">
        <f ca="1">IF(F10&lt;B2,"已过期",2004110096)</f>
        <v>2004110096</v>
      </c>
      <c r="F10" s="3007">
        <v>47118</v>
      </c>
    </row>
    <row r="11" spans="1:6" ht="20.25" customHeight="1">
      <c r="A11" s="2345" t="s">
        <v>1915</v>
      </c>
      <c r="B11" s="2345" t="str">
        <f ca="1">IF(C11&lt;B2,"已过期",1120100036)</f>
        <v>已过期</v>
      </c>
      <c r="C11" s="3006">
        <v>43622</v>
      </c>
      <c r="D11" s="2345" t="s">
        <v>1915</v>
      </c>
      <c r="E11" s="2345">
        <f ca="1">IF(F11&lt;B2,"已过期",2010110070)</f>
        <v>2010110070</v>
      </c>
      <c r="F11" s="3007">
        <v>47907</v>
      </c>
    </row>
    <row r="12" spans="1:6" ht="20.25" customHeight="1">
      <c r="A12" s="2345" t="s">
        <v>2973</v>
      </c>
      <c r="B12" s="2345">
        <v>1120110054</v>
      </c>
      <c r="C12" s="3006">
        <v>43937</v>
      </c>
      <c r="D12" s="2345" t="s">
        <v>2973</v>
      </c>
      <c r="E12" s="2345">
        <v>2008110060</v>
      </c>
      <c r="F12" s="3007">
        <v>47177</v>
      </c>
    </row>
    <row r="13" spans="1:6" ht="20.25" customHeight="1">
      <c r="A13" s="2345" t="s">
        <v>1916</v>
      </c>
      <c r="B13" s="2345">
        <f ca="1">IF(C13&lt;B2,"已过期",1120070131)</f>
        <v>1120070131</v>
      </c>
      <c r="C13" s="3006">
        <v>43814</v>
      </c>
      <c r="D13" s="2345" t="s">
        <v>1916</v>
      </c>
      <c r="E13" s="2345">
        <v>2014110011</v>
      </c>
      <c r="F13" s="3007">
        <v>49302</v>
      </c>
    </row>
    <row r="14" spans="1:6" ht="20.25" customHeight="1">
      <c r="A14" s="2345" t="s">
        <v>1917</v>
      </c>
      <c r="B14" s="2345" t="str">
        <f ca="1">IF(C14&lt;B2,"已过期",1120130020)</f>
        <v>已过期</v>
      </c>
      <c r="C14" s="3006">
        <v>43622</v>
      </c>
      <c r="D14" s="2345"/>
      <c r="E14" s="2345"/>
      <c r="F14" s="2345"/>
    </row>
    <row r="15" spans="1:6" ht="20.25" customHeight="1">
      <c r="A15" s="2345" t="s">
        <v>2570</v>
      </c>
      <c r="B15" s="2345">
        <v>1120070085</v>
      </c>
      <c r="C15" s="3006">
        <v>43814</v>
      </c>
      <c r="D15" s="2345" t="s">
        <v>2570</v>
      </c>
      <c r="E15" s="2345">
        <v>2004110128</v>
      </c>
      <c r="F15" s="3007">
        <v>47118</v>
      </c>
    </row>
    <row r="16" spans="1:6" ht="20.25" customHeight="1">
      <c r="A16" s="2345" t="s">
        <v>1918</v>
      </c>
      <c r="B16" s="2345">
        <f ca="1">IF(C16&lt;B2,"已过期",1120140022)</f>
        <v>1120140022</v>
      </c>
      <c r="C16" s="3006">
        <v>44029</v>
      </c>
      <c r="D16" s="2345" t="s">
        <v>1918</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1919</v>
      </c>
      <c r="E21" s="2345">
        <f ca="1">IF(F21&lt;B2,"已过期",2011110090)</f>
        <v>2011110090</v>
      </c>
      <c r="F21" s="3007">
        <v>48302</v>
      </c>
    </row>
    <row r="22" spans="1:7" ht="20.25" customHeight="1">
      <c r="A22" s="2345" t="s">
        <v>1920</v>
      </c>
      <c r="B22" s="2345">
        <f ca="1">IF(C22&lt;B2,"已过期",1120020033)</f>
        <v>1120020033</v>
      </c>
      <c r="C22" s="3006">
        <v>44339</v>
      </c>
      <c r="D22" s="2345" t="s">
        <v>1920</v>
      </c>
      <c r="E22" s="2345">
        <f ca="1">IF(F22&lt;B2,"已过期",2000110137)</f>
        <v>2000110137</v>
      </c>
      <c r="F22" s="3007">
        <v>46387</v>
      </c>
    </row>
    <row r="23" spans="1:7" ht="20.25" customHeight="1">
      <c r="A23" s="2345" t="s">
        <v>1921</v>
      </c>
      <c r="B23" s="2345" t="str">
        <f ca="1">IF(C23&lt;B2,"已过期",1120130048)</f>
        <v>已过期</v>
      </c>
      <c r="C23" s="3006">
        <v>43686</v>
      </c>
      <c r="D23" s="2345"/>
      <c r="E23" s="2345"/>
      <c r="F23" s="2345"/>
    </row>
    <row r="24" spans="1:7" s="2349" customFormat="1" ht="20.25" customHeight="1">
      <c r="A24" s="2347" t="s">
        <v>2049</v>
      </c>
      <c r="B24" s="2347" t="s">
        <v>2049</v>
      </c>
      <c r="C24" s="3006"/>
      <c r="D24" s="3008" t="s">
        <v>2049</v>
      </c>
      <c r="E24" s="2347" t="s">
        <v>2049</v>
      </c>
      <c r="F24" s="2348"/>
    </row>
    <row r="25" spans="1:7" ht="20.25" customHeight="1">
      <c r="A25" s="3337" t="s">
        <v>1922</v>
      </c>
      <c r="B25" s="3337"/>
      <c r="C25" s="3337"/>
      <c r="D25" s="3337"/>
      <c r="E25" s="3337"/>
      <c r="F25" s="3337"/>
      <c r="G25" s="3337"/>
    </row>
    <row r="26" spans="1:7" ht="20.25" customHeight="1">
      <c r="A26" s="3338" t="s">
        <v>1923</v>
      </c>
      <c r="B26" s="3338"/>
      <c r="C26" s="3338"/>
      <c r="D26" s="3338" t="s">
        <v>1924</v>
      </c>
      <c r="E26" s="3338"/>
      <c r="F26" s="3338"/>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2994</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2997</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2988</v>
      </c>
      <c r="C13" s="1552" t="s">
        <v>1714</v>
      </c>
    </row>
    <row r="14" spans="1:23">
      <c r="A14" s="8" t="s">
        <v>114</v>
      </c>
      <c r="B14" s="1936" t="s">
        <v>2989</v>
      </c>
      <c r="C14" s="1555" t="s">
        <v>1890</v>
      </c>
    </row>
    <row r="15" spans="1:23">
      <c r="A15" s="8" t="s">
        <v>115</v>
      </c>
      <c r="B15" s="1936" t="s">
        <v>2990</v>
      </c>
      <c r="C15" s="1555"/>
    </row>
    <row r="16" spans="1:23">
      <c r="A16" s="8" t="s">
        <v>116</v>
      </c>
      <c r="B16" s="1936" t="s">
        <v>2991</v>
      </c>
      <c r="C16" s="1555"/>
    </row>
    <row r="17" spans="1:3">
      <c r="A17" s="8" t="s">
        <v>117</v>
      </c>
      <c r="B17" s="1936" t="s">
        <v>2992</v>
      </c>
      <c r="C17" s="1555"/>
    </row>
    <row r="18" spans="1:3">
      <c r="A18" s="8" t="s">
        <v>118</v>
      </c>
      <c r="B18" s="1936" t="s">
        <v>2952</v>
      </c>
      <c r="C18" s="1555"/>
    </row>
    <row r="19" spans="1:3">
      <c r="A19" s="8" t="s">
        <v>119</v>
      </c>
      <c r="B19" s="1936" t="s">
        <v>2960</v>
      </c>
      <c r="C19" s="1555"/>
    </row>
    <row r="20" spans="1:3">
      <c r="A20" s="8" t="s">
        <v>120</v>
      </c>
      <c r="B20" s="1936" t="s">
        <v>2985</v>
      </c>
      <c r="C20" s="1555"/>
    </row>
    <row r="21" spans="1:3">
      <c r="A21" s="8" t="s">
        <v>121</v>
      </c>
      <c r="B21" s="1936" t="s">
        <v>2986</v>
      </c>
      <c r="C21" s="1555"/>
    </row>
    <row r="22" spans="1:3">
      <c r="A22" s="8" t="s">
        <v>122</v>
      </c>
      <c r="B22" s="1936" t="s">
        <v>2987</v>
      </c>
      <c r="C22" s="1555"/>
    </row>
    <row r="23" spans="1:3">
      <c r="A23" s="8" t="s">
        <v>123</v>
      </c>
      <c r="B23" s="1936" t="s">
        <v>2995</v>
      </c>
      <c r="C23" s="1555"/>
    </row>
    <row r="24" spans="1:3">
      <c r="A24" s="8" t="s">
        <v>12</v>
      </c>
      <c r="B24" s="1936" t="s">
        <v>2996</v>
      </c>
      <c r="C24" s="1555"/>
    </row>
    <row r="25" spans="1:3">
      <c r="A25" s="8" t="s">
        <v>124</v>
      </c>
      <c r="B25" s="3113" t="s">
        <v>2998</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339"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c r="D53" s="1769"/>
      <c r="E53" s="1769"/>
    </row>
    <row r="54" spans="1:5">
      <c r="A54" s="3339"/>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39"/>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39"/>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39"/>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2019-09-18T16:00:34Z</dcterms:modified>
</cp:coreProperties>
</file>